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BF5CCC79-65BE-49A9-9CFD-F5E7C4F4E194}" xr6:coauthVersionLast="46" xr6:coauthVersionMax="46" xr10:uidLastSave="{00000000-0000-0000-0000-000000000000}"/>
  <bookViews>
    <workbookView xWindow="-120" yWindow="-120" windowWidth="29040" windowHeight="15840" tabRatio="723" firstSheet="5" activeTab="5"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 r:id="rId16"/>
    <externalReference r:id="rId17"/>
  </externalReferences>
  <definedNames>
    <definedName name="_Dates_Conc">[1]Dealers!$BF$37:$KA$63</definedName>
    <definedName name="_xlnm._FilterDatabase" localSheetId="7" hidden="1">BV_Data_An_Cour!$A$1:$X$1055</definedName>
    <definedName name="_xlnm._FilterDatabase" localSheetId="8" hidden="1">BV_Data_An_Prec!$A$1:$X$1055</definedName>
    <definedName name="_xlnm._FilterDatabase" localSheetId="9" hidden="1">Data_Validation!$A$1:$G$870</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O6" i="3" l="1"/>
  <c r="O6" i="17"/>
  <c r="V306" i="17"/>
  <c r="U306" i="17"/>
  <c r="W8" i="17" l="1"/>
  <c r="A358" i="17" l="1"/>
  <c r="A359" i="17"/>
  <c r="G359" i="17" s="1"/>
  <c r="G361" i="17" s="1"/>
  <c r="I359" i="17"/>
  <c r="I361" i="17" s="1"/>
  <c r="A360" i="17"/>
  <c r="A361" i="17"/>
  <c r="O361" i="17"/>
  <c r="P361" i="17" s="1"/>
  <c r="A362" i="17"/>
  <c r="N362" i="17"/>
  <c r="A363" i="17"/>
  <c r="A364" i="17"/>
  <c r="I364" i="17"/>
  <c r="A365" i="17"/>
  <c r="A366" i="17"/>
  <c r="I366" i="17" s="1"/>
  <c r="A367" i="17"/>
  <c r="I367" i="17"/>
  <c r="A368" i="17"/>
  <c r="A369" i="17"/>
  <c r="A370" i="17"/>
  <c r="I370" i="17" s="1"/>
  <c r="A371" i="17"/>
  <c r="I371" i="17" s="1"/>
  <c r="A372" i="17"/>
  <c r="I372" i="17" s="1"/>
  <c r="A373" i="17"/>
  <c r="A374" i="17"/>
  <c r="I374" i="17" s="1"/>
  <c r="A375" i="17"/>
  <c r="I375" i="17"/>
  <c r="A376" i="17"/>
  <c r="A377" i="17"/>
  <c r="A378" i="17"/>
  <c r="I378" i="17" s="1"/>
  <c r="A379" i="17"/>
  <c r="A380" i="17"/>
  <c r="I380" i="17"/>
  <c r="A381" i="17"/>
  <c r="A382" i="17"/>
  <c r="I382" i="17" s="1"/>
  <c r="A383" i="17"/>
  <c r="A384" i="17"/>
  <c r="I384" i="17" s="1"/>
  <c r="A385" i="17"/>
  <c r="A386" i="17"/>
  <c r="I386" i="17" s="1"/>
  <c r="A387" i="17"/>
  <c r="A388" i="17"/>
  <c r="I388" i="17"/>
  <c r="A389" i="17"/>
  <c r="A390" i="17"/>
  <c r="I390" i="17" s="1"/>
  <c r="A391" i="17"/>
  <c r="A392" i="17"/>
  <c r="I392" i="17" s="1"/>
  <c r="A393" i="17"/>
  <c r="R359" i="17" l="1"/>
  <c r="M361" i="17"/>
  <c r="H361" i="17"/>
  <c r="I391" i="17"/>
  <c r="I379" i="17"/>
  <c r="I387" i="17"/>
  <c r="I383" i="17"/>
  <c r="I368" i="17"/>
  <c r="R361" i="17"/>
  <c r="M359" i="17"/>
  <c r="H359" i="17"/>
  <c r="I393" i="17"/>
  <c r="I389" i="17"/>
  <c r="I385" i="17"/>
  <c r="I381" i="17"/>
  <c r="I377" i="17"/>
  <c r="I373" i="17"/>
  <c r="I369" i="17"/>
  <c r="I365"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70" i="5"/>
  <c r="Q70" i="5"/>
  <c r="R70" i="5"/>
  <c r="S70" i="5"/>
  <c r="M71" i="5"/>
  <c r="Q71" i="5"/>
  <c r="P71" i="5" s="1"/>
  <c r="R71" i="5"/>
  <c r="S71" i="5"/>
  <c r="M72" i="5"/>
  <c r="Q72" i="5"/>
  <c r="R72" i="5"/>
  <c r="S72" i="5"/>
  <c r="M73" i="5"/>
  <c r="Q73" i="5"/>
  <c r="R73" i="5"/>
  <c r="S73" i="5"/>
  <c r="M74" i="5"/>
  <c r="Q74" i="5"/>
  <c r="N74" i="5" s="1"/>
  <c r="R74" i="5"/>
  <c r="S74" i="5"/>
  <c r="M75" i="5"/>
  <c r="Q75" i="5"/>
  <c r="P75" i="5" s="1"/>
  <c r="R75" i="5"/>
  <c r="S75" i="5"/>
  <c r="M76" i="5"/>
  <c r="Q76" i="5"/>
  <c r="N76" i="5" s="1"/>
  <c r="R76" i="5"/>
  <c r="S76" i="5"/>
  <c r="M77" i="5"/>
  <c r="Q77" i="5"/>
  <c r="P77" i="5" s="1"/>
  <c r="R77" i="5"/>
  <c r="S77" i="5"/>
  <c r="M78" i="5"/>
  <c r="Q78" i="5"/>
  <c r="P78" i="5" s="1"/>
  <c r="R78" i="5"/>
  <c r="S78" i="5"/>
  <c r="M79" i="5"/>
  <c r="Q79" i="5"/>
  <c r="R79" i="5"/>
  <c r="S79" i="5"/>
  <c r="M80" i="5"/>
  <c r="Q80" i="5"/>
  <c r="N80" i="5" s="1"/>
  <c r="R80" i="5"/>
  <c r="S80" i="5"/>
  <c r="M81" i="5"/>
  <c r="Q81" i="5"/>
  <c r="R81" i="5"/>
  <c r="S81" i="5"/>
  <c r="M82" i="5"/>
  <c r="Q82" i="5"/>
  <c r="P82" i="5" s="1"/>
  <c r="R82" i="5"/>
  <c r="S82" i="5"/>
  <c r="M83" i="5"/>
  <c r="Q83" i="5"/>
  <c r="R83" i="5"/>
  <c r="S83" i="5"/>
  <c r="M84" i="5"/>
  <c r="Q84" i="5"/>
  <c r="R84" i="5"/>
  <c r="S84" i="5"/>
  <c r="M85" i="5"/>
  <c r="Q85" i="5"/>
  <c r="R85" i="5"/>
  <c r="S85" i="5"/>
  <c r="M86" i="5"/>
  <c r="Q86" i="5"/>
  <c r="R86" i="5"/>
  <c r="S86" i="5"/>
  <c r="M87" i="5"/>
  <c r="Q87" i="5"/>
  <c r="P87" i="5" s="1"/>
  <c r="R87" i="5"/>
  <c r="S87" i="5"/>
  <c r="M88" i="5"/>
  <c r="Q88" i="5"/>
  <c r="R88" i="5"/>
  <c r="S88" i="5"/>
  <c r="M89" i="5"/>
  <c r="Q89" i="5"/>
  <c r="P89" i="5" s="1"/>
  <c r="R89" i="5"/>
  <c r="S89" i="5"/>
  <c r="M90" i="5"/>
  <c r="Q90" i="5"/>
  <c r="N90" i="5" s="1"/>
  <c r="R90" i="5"/>
  <c r="S90" i="5"/>
  <c r="M91" i="5"/>
  <c r="Q91" i="5"/>
  <c r="P91" i="5" s="1"/>
  <c r="R91" i="5"/>
  <c r="S91" i="5"/>
  <c r="M92" i="5"/>
  <c r="Q92" i="5"/>
  <c r="N92" i="5" s="1"/>
  <c r="R92" i="5"/>
  <c r="S92" i="5"/>
  <c r="M93" i="5"/>
  <c r="Q93" i="5"/>
  <c r="P93" i="5" s="1"/>
  <c r="R93" i="5"/>
  <c r="S93" i="5"/>
  <c r="M94" i="5"/>
  <c r="Q94" i="5"/>
  <c r="R94" i="5"/>
  <c r="S94" i="5"/>
  <c r="M95" i="5"/>
  <c r="Q95" i="5"/>
  <c r="R95" i="5"/>
  <c r="S95" i="5"/>
  <c r="M96" i="5"/>
  <c r="Q96" i="5"/>
  <c r="N96" i="5" s="1"/>
  <c r="R96" i="5"/>
  <c r="S96" i="5"/>
  <c r="M97" i="5"/>
  <c r="Q97" i="5"/>
  <c r="N97" i="5" s="1"/>
  <c r="R97" i="5"/>
  <c r="S97" i="5"/>
  <c r="M98" i="5"/>
  <c r="Q98" i="5"/>
  <c r="O98" i="5" s="1"/>
  <c r="R98" i="5"/>
  <c r="S98" i="5"/>
  <c r="M99" i="5"/>
  <c r="Q99" i="5"/>
  <c r="N99" i="5" s="1"/>
  <c r="R99" i="5"/>
  <c r="S99" i="5"/>
  <c r="M100" i="5"/>
  <c r="Q100" i="5"/>
  <c r="P100" i="5" s="1"/>
  <c r="R100" i="5"/>
  <c r="S100" i="5"/>
  <c r="M101" i="5"/>
  <c r="Q101" i="5"/>
  <c r="P101" i="5" s="1"/>
  <c r="R101" i="5"/>
  <c r="S101" i="5"/>
  <c r="M102" i="5"/>
  <c r="Q102" i="5"/>
  <c r="P102" i="5" s="1"/>
  <c r="R102" i="5"/>
  <c r="S102" i="5"/>
  <c r="M103" i="5"/>
  <c r="Q103" i="5"/>
  <c r="N103" i="5" s="1"/>
  <c r="R103" i="5"/>
  <c r="S103" i="5"/>
  <c r="M104" i="5"/>
  <c r="Q104" i="5"/>
  <c r="O104" i="5" s="1"/>
  <c r="R104" i="5"/>
  <c r="S104" i="5"/>
  <c r="M105" i="5"/>
  <c r="Q105" i="5"/>
  <c r="R105" i="5"/>
  <c r="S105" i="5"/>
  <c r="M106" i="5"/>
  <c r="Q106" i="5"/>
  <c r="P106" i="5" s="1"/>
  <c r="R106" i="5"/>
  <c r="S106" i="5"/>
  <c r="M107" i="5"/>
  <c r="Q107" i="5"/>
  <c r="R107" i="5"/>
  <c r="S107" i="5"/>
  <c r="M108" i="5"/>
  <c r="Q108" i="5"/>
  <c r="O108" i="5" s="1"/>
  <c r="R108" i="5"/>
  <c r="S108" i="5"/>
  <c r="M109" i="5"/>
  <c r="Q109" i="5"/>
  <c r="P109" i="5" s="1"/>
  <c r="R109" i="5"/>
  <c r="S109" i="5"/>
  <c r="M110" i="5"/>
  <c r="Q110" i="5"/>
  <c r="N110" i="5" s="1"/>
  <c r="R110" i="5"/>
  <c r="S110" i="5"/>
  <c r="M111" i="5"/>
  <c r="Q111" i="5"/>
  <c r="N111" i="5" s="1"/>
  <c r="R111" i="5"/>
  <c r="S111" i="5"/>
  <c r="M112" i="5"/>
  <c r="Q112" i="5"/>
  <c r="R112" i="5"/>
  <c r="S112" i="5"/>
  <c r="M113" i="5"/>
  <c r="Q113" i="5"/>
  <c r="P113" i="5" s="1"/>
  <c r="R113" i="5"/>
  <c r="S113" i="5"/>
  <c r="M114" i="5"/>
  <c r="Q114" i="5"/>
  <c r="R114" i="5"/>
  <c r="S114" i="5"/>
  <c r="M115" i="5"/>
  <c r="Q115" i="5"/>
  <c r="N115" i="5" s="1"/>
  <c r="R115" i="5"/>
  <c r="S115" i="5"/>
  <c r="M116" i="5"/>
  <c r="Q116" i="5"/>
  <c r="R116" i="5"/>
  <c r="S116" i="5"/>
  <c r="M117" i="5"/>
  <c r="Q117" i="5"/>
  <c r="O117" i="5" s="1"/>
  <c r="R117" i="5"/>
  <c r="S117" i="5"/>
  <c r="M118" i="5"/>
  <c r="Q118" i="5"/>
  <c r="N118" i="5" s="1"/>
  <c r="R118" i="5"/>
  <c r="S118" i="5"/>
  <c r="M119" i="5"/>
  <c r="Q119" i="5"/>
  <c r="N119" i="5" s="1"/>
  <c r="R119" i="5"/>
  <c r="S119" i="5"/>
  <c r="M120" i="5"/>
  <c r="Q120" i="5"/>
  <c r="R120" i="5"/>
  <c r="S120" i="5"/>
  <c r="M121" i="5"/>
  <c r="Q121" i="5"/>
  <c r="R121" i="5"/>
  <c r="S121" i="5"/>
  <c r="M122" i="5"/>
  <c r="Q122" i="5"/>
  <c r="R122" i="5"/>
  <c r="S122" i="5"/>
  <c r="M123" i="5"/>
  <c r="Q123" i="5"/>
  <c r="N123" i="5" s="1"/>
  <c r="R123" i="5"/>
  <c r="S123" i="5"/>
  <c r="M124" i="5"/>
  <c r="Q124" i="5"/>
  <c r="P124" i="5" s="1"/>
  <c r="R124" i="5"/>
  <c r="S124" i="5"/>
  <c r="M125" i="5"/>
  <c r="Q125" i="5"/>
  <c r="R125" i="5"/>
  <c r="S125" i="5"/>
  <c r="M126" i="5"/>
  <c r="Q126" i="5"/>
  <c r="N126" i="5" s="1"/>
  <c r="R126" i="5"/>
  <c r="S126" i="5"/>
  <c r="M127" i="5"/>
  <c r="Q127" i="5"/>
  <c r="R127" i="5"/>
  <c r="S127" i="5"/>
  <c r="M128" i="5"/>
  <c r="Q128" i="5"/>
  <c r="R128" i="5"/>
  <c r="S128" i="5"/>
  <c r="M129" i="5"/>
  <c r="Q129" i="5"/>
  <c r="R129" i="5"/>
  <c r="S129" i="5"/>
  <c r="M130" i="5"/>
  <c r="Q130" i="5"/>
  <c r="R130" i="5"/>
  <c r="S130" i="5"/>
  <c r="M131" i="5"/>
  <c r="Q131" i="5"/>
  <c r="R131" i="5"/>
  <c r="S131" i="5"/>
  <c r="M132" i="5"/>
  <c r="Q132" i="5"/>
  <c r="P132" i="5" s="1"/>
  <c r="R132" i="5"/>
  <c r="S132" i="5"/>
  <c r="M133" i="5"/>
  <c r="Q133" i="5"/>
  <c r="R133" i="5"/>
  <c r="S133" i="5"/>
  <c r="M134" i="5"/>
  <c r="Q134" i="5"/>
  <c r="N134" i="5" s="1"/>
  <c r="R134" i="5"/>
  <c r="S134" i="5"/>
  <c r="M135" i="5"/>
  <c r="Q135" i="5"/>
  <c r="R135" i="5"/>
  <c r="S135" i="5"/>
  <c r="M136" i="5"/>
  <c r="Q136" i="5"/>
  <c r="P136" i="5" s="1"/>
  <c r="R136" i="5"/>
  <c r="S136" i="5"/>
  <c r="M137" i="5"/>
  <c r="Q137" i="5"/>
  <c r="N137" i="5" s="1"/>
  <c r="R137" i="5"/>
  <c r="S137" i="5"/>
  <c r="M138" i="5"/>
  <c r="Q138" i="5"/>
  <c r="R138" i="5"/>
  <c r="S138" i="5"/>
  <c r="M139" i="5"/>
  <c r="Q139" i="5"/>
  <c r="R139" i="5"/>
  <c r="S139" i="5"/>
  <c r="M140" i="5"/>
  <c r="Q140" i="5"/>
  <c r="P140" i="5" s="1"/>
  <c r="R140" i="5"/>
  <c r="S140" i="5"/>
  <c r="M141" i="5"/>
  <c r="Q141" i="5"/>
  <c r="R141" i="5"/>
  <c r="S141" i="5"/>
  <c r="M142" i="5"/>
  <c r="Q142" i="5"/>
  <c r="R142" i="5"/>
  <c r="S142" i="5"/>
  <c r="M143" i="5"/>
  <c r="Q143" i="5"/>
  <c r="R143" i="5"/>
  <c r="S143" i="5"/>
  <c r="M144" i="5"/>
  <c r="Q144" i="5"/>
  <c r="R144" i="5"/>
  <c r="S144" i="5"/>
  <c r="M145" i="5"/>
  <c r="Q145" i="5"/>
  <c r="N145" i="5" s="1"/>
  <c r="R145" i="5"/>
  <c r="S145" i="5"/>
  <c r="M146" i="5"/>
  <c r="Q146" i="5"/>
  <c r="R146" i="5"/>
  <c r="S146" i="5"/>
  <c r="M147" i="5"/>
  <c r="Q147" i="5"/>
  <c r="R147" i="5"/>
  <c r="S147" i="5"/>
  <c r="M148" i="5"/>
  <c r="Q148" i="5"/>
  <c r="P148" i="5" s="1"/>
  <c r="R148" i="5"/>
  <c r="S148" i="5"/>
  <c r="M149" i="5"/>
  <c r="Q149" i="5"/>
  <c r="P149" i="5" s="1"/>
  <c r="R149" i="5"/>
  <c r="S149" i="5"/>
  <c r="M150" i="5"/>
  <c r="Q150" i="5"/>
  <c r="N150" i="5" s="1"/>
  <c r="R150" i="5"/>
  <c r="S150" i="5"/>
  <c r="M151" i="5"/>
  <c r="Q151" i="5"/>
  <c r="R151" i="5"/>
  <c r="S151" i="5"/>
  <c r="M152" i="5"/>
  <c r="Q152" i="5"/>
  <c r="R152" i="5"/>
  <c r="S152" i="5"/>
  <c r="M153" i="5"/>
  <c r="Q153" i="5"/>
  <c r="N153" i="5" s="1"/>
  <c r="R153" i="5"/>
  <c r="S153" i="5"/>
  <c r="M154" i="5"/>
  <c r="Q154" i="5"/>
  <c r="R154" i="5"/>
  <c r="S154" i="5"/>
  <c r="M155" i="5"/>
  <c r="Q155" i="5"/>
  <c r="R155" i="5"/>
  <c r="S155" i="5"/>
  <c r="M156" i="5"/>
  <c r="Q156" i="5"/>
  <c r="R156" i="5"/>
  <c r="S156" i="5"/>
  <c r="M157" i="5"/>
  <c r="Q157" i="5"/>
  <c r="R157" i="5"/>
  <c r="S157" i="5"/>
  <c r="M158" i="5"/>
  <c r="Q158" i="5"/>
  <c r="N158" i="5" s="1"/>
  <c r="R158" i="5"/>
  <c r="S158" i="5"/>
  <c r="M159" i="5"/>
  <c r="Q159" i="5"/>
  <c r="R159" i="5"/>
  <c r="S159" i="5"/>
  <c r="M160" i="5"/>
  <c r="Q160" i="5"/>
  <c r="R160" i="5"/>
  <c r="S160" i="5"/>
  <c r="M161" i="5"/>
  <c r="Q161" i="5"/>
  <c r="N161" i="5" s="1"/>
  <c r="R161" i="5"/>
  <c r="S161" i="5"/>
  <c r="M162" i="5"/>
  <c r="Q162" i="5"/>
  <c r="R162" i="5"/>
  <c r="S162" i="5"/>
  <c r="M163" i="5"/>
  <c r="Q163" i="5"/>
  <c r="R163" i="5"/>
  <c r="S163" i="5"/>
  <c r="M164" i="5"/>
  <c r="Q164" i="5"/>
  <c r="R164" i="5"/>
  <c r="S164" i="5"/>
  <c r="M165" i="5"/>
  <c r="Q165" i="5"/>
  <c r="R165" i="5"/>
  <c r="S165" i="5"/>
  <c r="M166" i="5"/>
  <c r="Q166" i="5"/>
  <c r="N166" i="5" s="1"/>
  <c r="R166" i="5"/>
  <c r="S166" i="5"/>
  <c r="M167" i="5"/>
  <c r="Q167" i="5"/>
  <c r="R167" i="5"/>
  <c r="S167" i="5"/>
  <c r="M168" i="5"/>
  <c r="Q168" i="5"/>
  <c r="P168" i="5" s="1"/>
  <c r="R168" i="5"/>
  <c r="S168" i="5"/>
  <c r="M169" i="5"/>
  <c r="Q169" i="5"/>
  <c r="N169" i="5" s="1"/>
  <c r="R169" i="5"/>
  <c r="S169" i="5"/>
  <c r="M170" i="5"/>
  <c r="Q170" i="5"/>
  <c r="P170" i="5" s="1"/>
  <c r="R170" i="5"/>
  <c r="S170" i="5"/>
  <c r="M171" i="5"/>
  <c r="Q171" i="5"/>
  <c r="R171" i="5"/>
  <c r="S171" i="5"/>
  <c r="M172" i="5"/>
  <c r="Q172" i="5"/>
  <c r="P172" i="5" s="1"/>
  <c r="R172" i="5"/>
  <c r="S172" i="5"/>
  <c r="M173" i="5"/>
  <c r="Q173" i="5"/>
  <c r="R173" i="5"/>
  <c r="S173" i="5"/>
  <c r="M174" i="5"/>
  <c r="Q174" i="5"/>
  <c r="R174" i="5"/>
  <c r="S174" i="5"/>
  <c r="M175" i="5"/>
  <c r="Q175" i="5"/>
  <c r="N175" i="5" s="1"/>
  <c r="R175" i="5"/>
  <c r="S175" i="5"/>
  <c r="M176" i="5"/>
  <c r="Q176" i="5"/>
  <c r="R176" i="5"/>
  <c r="S176" i="5"/>
  <c r="M177" i="5"/>
  <c r="Q177" i="5"/>
  <c r="O177" i="5" s="1"/>
  <c r="R177" i="5"/>
  <c r="S177" i="5"/>
  <c r="M178" i="5"/>
  <c r="Q178" i="5"/>
  <c r="P178" i="5" s="1"/>
  <c r="R178" i="5"/>
  <c r="S178" i="5"/>
  <c r="M179" i="5"/>
  <c r="Q179" i="5"/>
  <c r="R179" i="5"/>
  <c r="S179" i="5"/>
  <c r="M180" i="5"/>
  <c r="Q180" i="5"/>
  <c r="O180" i="5" s="1"/>
  <c r="R180" i="5"/>
  <c r="S180" i="5"/>
  <c r="M181" i="5"/>
  <c r="Q181" i="5"/>
  <c r="R181" i="5"/>
  <c r="S181" i="5"/>
  <c r="M182" i="5"/>
  <c r="Q182" i="5"/>
  <c r="R182" i="5"/>
  <c r="S182" i="5"/>
  <c r="M183" i="5"/>
  <c r="Q183" i="5"/>
  <c r="N183" i="5" s="1"/>
  <c r="R183" i="5"/>
  <c r="S183" i="5"/>
  <c r="M184" i="5"/>
  <c r="Q184" i="5"/>
  <c r="R184" i="5"/>
  <c r="S184" i="5"/>
  <c r="M185" i="5"/>
  <c r="Q185" i="5"/>
  <c r="R185" i="5"/>
  <c r="S185" i="5"/>
  <c r="M186" i="5"/>
  <c r="Q186" i="5"/>
  <c r="O186" i="5" s="1"/>
  <c r="R186" i="5"/>
  <c r="S186" i="5"/>
  <c r="M187" i="5"/>
  <c r="Q187" i="5"/>
  <c r="R187" i="5"/>
  <c r="S187" i="5"/>
  <c r="M188" i="5"/>
  <c r="Q188" i="5"/>
  <c r="R188" i="5"/>
  <c r="S188" i="5"/>
  <c r="M189" i="5"/>
  <c r="Q189" i="5"/>
  <c r="O189" i="5" s="1"/>
  <c r="R189" i="5"/>
  <c r="S189" i="5"/>
  <c r="M190" i="5"/>
  <c r="Q190" i="5"/>
  <c r="O190" i="5" s="1"/>
  <c r="R190" i="5"/>
  <c r="S190" i="5"/>
  <c r="M191" i="5"/>
  <c r="Q191" i="5"/>
  <c r="P191" i="5" s="1"/>
  <c r="R191" i="5"/>
  <c r="S191" i="5"/>
  <c r="M192" i="5"/>
  <c r="Q192" i="5"/>
  <c r="R192" i="5"/>
  <c r="S192" i="5"/>
  <c r="M193" i="5"/>
  <c r="Q193" i="5"/>
  <c r="N193" i="5" s="1"/>
  <c r="R193" i="5"/>
  <c r="S193" i="5"/>
  <c r="M194" i="5"/>
  <c r="Q194" i="5"/>
  <c r="R194" i="5"/>
  <c r="S194" i="5"/>
  <c r="M195" i="5"/>
  <c r="Q195" i="5"/>
  <c r="R195" i="5"/>
  <c r="S195" i="5"/>
  <c r="M196" i="5"/>
  <c r="Q196" i="5"/>
  <c r="P196" i="5" s="1"/>
  <c r="R196" i="5"/>
  <c r="S196" i="5"/>
  <c r="M197" i="5"/>
  <c r="Q197" i="5"/>
  <c r="R197" i="5"/>
  <c r="S197" i="5"/>
  <c r="M198" i="5"/>
  <c r="Q198" i="5"/>
  <c r="R198" i="5"/>
  <c r="S198" i="5"/>
  <c r="M199" i="5"/>
  <c r="Q199" i="5"/>
  <c r="P199" i="5" s="1"/>
  <c r="R199" i="5"/>
  <c r="S199" i="5"/>
  <c r="M200" i="5"/>
  <c r="Q200" i="5"/>
  <c r="N200" i="5" s="1"/>
  <c r="R200" i="5"/>
  <c r="S200" i="5"/>
  <c r="M201" i="5"/>
  <c r="Q201" i="5"/>
  <c r="R201" i="5"/>
  <c r="S201" i="5"/>
  <c r="M202" i="5"/>
  <c r="Q202" i="5"/>
  <c r="O202" i="5" s="1"/>
  <c r="R202" i="5"/>
  <c r="S202" i="5"/>
  <c r="M203" i="5"/>
  <c r="Q203" i="5"/>
  <c r="R203" i="5"/>
  <c r="S203" i="5"/>
  <c r="M204" i="5"/>
  <c r="Q204" i="5"/>
  <c r="P204" i="5" s="1"/>
  <c r="R204" i="5"/>
  <c r="S204" i="5"/>
  <c r="M205" i="5"/>
  <c r="Q205" i="5"/>
  <c r="R205" i="5"/>
  <c r="S205" i="5"/>
  <c r="M206" i="5"/>
  <c r="Q206" i="5"/>
  <c r="R206" i="5"/>
  <c r="S206" i="5"/>
  <c r="M207" i="5"/>
  <c r="Q207" i="5"/>
  <c r="P207" i="5" s="1"/>
  <c r="R207" i="5"/>
  <c r="S207" i="5"/>
  <c r="M208" i="5"/>
  <c r="Q208" i="5"/>
  <c r="N208" i="5" s="1"/>
  <c r="R208" i="5"/>
  <c r="S208" i="5"/>
  <c r="M209" i="5"/>
  <c r="Q209" i="5"/>
  <c r="N209" i="5" s="1"/>
  <c r="R209" i="5"/>
  <c r="S209" i="5"/>
  <c r="M210" i="5"/>
  <c r="Q210" i="5"/>
  <c r="R210" i="5"/>
  <c r="S210" i="5"/>
  <c r="M211" i="5"/>
  <c r="Q211" i="5"/>
  <c r="R211" i="5"/>
  <c r="S211" i="5"/>
  <c r="M212" i="5"/>
  <c r="Q212" i="5"/>
  <c r="P212" i="5" s="1"/>
  <c r="R212" i="5"/>
  <c r="S212" i="5"/>
  <c r="M213" i="5"/>
  <c r="Q213" i="5"/>
  <c r="R213" i="5"/>
  <c r="S213" i="5"/>
  <c r="M214" i="5"/>
  <c r="Q214" i="5"/>
  <c r="P214" i="5" s="1"/>
  <c r="R214" i="5"/>
  <c r="S214" i="5"/>
  <c r="M215" i="5"/>
  <c r="Q215" i="5"/>
  <c r="R215" i="5"/>
  <c r="S215" i="5"/>
  <c r="M216" i="5"/>
  <c r="Q216" i="5"/>
  <c r="R216" i="5"/>
  <c r="S216" i="5"/>
  <c r="M217" i="5"/>
  <c r="Q217" i="5"/>
  <c r="R217" i="5"/>
  <c r="S217" i="5"/>
  <c r="M218" i="5"/>
  <c r="Q218" i="5"/>
  <c r="P218" i="5" s="1"/>
  <c r="R218" i="5"/>
  <c r="S218" i="5"/>
  <c r="M219" i="5"/>
  <c r="Q219" i="5"/>
  <c r="P219" i="5" s="1"/>
  <c r="R219" i="5"/>
  <c r="S219" i="5"/>
  <c r="M220" i="5"/>
  <c r="Q220" i="5"/>
  <c r="R220" i="5"/>
  <c r="S220" i="5"/>
  <c r="M221" i="5"/>
  <c r="Q221" i="5"/>
  <c r="R221" i="5"/>
  <c r="S221" i="5"/>
  <c r="M222" i="5"/>
  <c r="Q222" i="5"/>
  <c r="R222" i="5"/>
  <c r="S222" i="5"/>
  <c r="M223" i="5"/>
  <c r="Q223" i="5"/>
  <c r="R223" i="5"/>
  <c r="S223" i="5"/>
  <c r="M224" i="5"/>
  <c r="Q224" i="5"/>
  <c r="R224" i="5"/>
  <c r="S224" i="5"/>
  <c r="M225" i="5"/>
  <c r="Q225" i="5"/>
  <c r="R225" i="5"/>
  <c r="S225" i="5"/>
  <c r="M226" i="5"/>
  <c r="Q226" i="5"/>
  <c r="P226" i="5" s="1"/>
  <c r="R226" i="5"/>
  <c r="S226" i="5"/>
  <c r="M227" i="5"/>
  <c r="Q227" i="5"/>
  <c r="R227" i="5"/>
  <c r="S227" i="5"/>
  <c r="M228" i="5"/>
  <c r="Q228" i="5"/>
  <c r="R228" i="5"/>
  <c r="S228" i="5"/>
  <c r="M229" i="5"/>
  <c r="Q229" i="5"/>
  <c r="R229" i="5"/>
  <c r="S229" i="5"/>
  <c r="M230" i="5"/>
  <c r="Q230" i="5"/>
  <c r="P230" i="5" s="1"/>
  <c r="R230" i="5"/>
  <c r="S230" i="5"/>
  <c r="M231" i="5"/>
  <c r="Q231" i="5"/>
  <c r="N231" i="5" s="1"/>
  <c r="R231" i="5"/>
  <c r="S231" i="5"/>
  <c r="M232" i="5"/>
  <c r="Q232" i="5"/>
  <c r="R232" i="5"/>
  <c r="S232" i="5"/>
  <c r="M233" i="5"/>
  <c r="Q233" i="5"/>
  <c r="O233" i="5" s="1"/>
  <c r="R233" i="5"/>
  <c r="S233" i="5"/>
  <c r="M234" i="5"/>
  <c r="Q234" i="5"/>
  <c r="P234" i="5" s="1"/>
  <c r="R234" i="5"/>
  <c r="S234" i="5"/>
  <c r="M235" i="5"/>
  <c r="Q235" i="5"/>
  <c r="N235" i="5" s="1"/>
  <c r="R235" i="5"/>
  <c r="S235" i="5"/>
  <c r="M236" i="5"/>
  <c r="Q236" i="5"/>
  <c r="R236" i="5"/>
  <c r="S236" i="5"/>
  <c r="M237" i="5"/>
  <c r="Q237" i="5"/>
  <c r="P237" i="5" s="1"/>
  <c r="R237" i="5"/>
  <c r="S237" i="5"/>
  <c r="M238" i="5"/>
  <c r="Q238" i="5"/>
  <c r="P238" i="5" s="1"/>
  <c r="R238" i="5"/>
  <c r="S238" i="5"/>
  <c r="M239" i="5"/>
  <c r="Q239" i="5"/>
  <c r="R239" i="5"/>
  <c r="S239" i="5"/>
  <c r="M240" i="5"/>
  <c r="Q240" i="5"/>
  <c r="O240" i="5" s="1"/>
  <c r="R240" i="5"/>
  <c r="S240" i="5"/>
  <c r="M241" i="5"/>
  <c r="Q241" i="5"/>
  <c r="R241" i="5"/>
  <c r="S241" i="5"/>
  <c r="M242" i="5"/>
  <c r="Q242" i="5"/>
  <c r="P242" i="5" s="1"/>
  <c r="R242" i="5"/>
  <c r="S242" i="5"/>
  <c r="M243" i="5"/>
  <c r="Q243" i="5"/>
  <c r="R243" i="5"/>
  <c r="S243" i="5"/>
  <c r="M244" i="5"/>
  <c r="Q244" i="5"/>
  <c r="P244" i="5" s="1"/>
  <c r="R244" i="5"/>
  <c r="S244" i="5"/>
  <c r="M245" i="5"/>
  <c r="Q245" i="5"/>
  <c r="P245" i="5" s="1"/>
  <c r="R245" i="5"/>
  <c r="S245" i="5"/>
  <c r="M246" i="5"/>
  <c r="Q246" i="5"/>
  <c r="R246" i="5"/>
  <c r="S246" i="5"/>
  <c r="M247" i="5"/>
  <c r="Q247" i="5"/>
  <c r="R247" i="5"/>
  <c r="S247" i="5"/>
  <c r="M248" i="5"/>
  <c r="Q248" i="5"/>
  <c r="O248" i="5" s="1"/>
  <c r="R248" i="5"/>
  <c r="S248" i="5"/>
  <c r="M249" i="5"/>
  <c r="Q249" i="5"/>
  <c r="R249" i="5"/>
  <c r="S249" i="5"/>
  <c r="M250" i="5"/>
  <c r="Q250" i="5"/>
  <c r="R250" i="5"/>
  <c r="S250" i="5"/>
  <c r="M251" i="5"/>
  <c r="Q251" i="5"/>
  <c r="R251" i="5"/>
  <c r="S251" i="5"/>
  <c r="M252" i="5"/>
  <c r="Q252" i="5"/>
  <c r="R252" i="5"/>
  <c r="S252" i="5"/>
  <c r="M253" i="5"/>
  <c r="Q253" i="5"/>
  <c r="P253" i="5" s="1"/>
  <c r="R253" i="5"/>
  <c r="S253" i="5"/>
  <c r="M254" i="5"/>
  <c r="Q254" i="5"/>
  <c r="P254" i="5" s="1"/>
  <c r="R254" i="5"/>
  <c r="S254" i="5"/>
  <c r="M255" i="5"/>
  <c r="Q255" i="5"/>
  <c r="R255" i="5"/>
  <c r="S255" i="5"/>
  <c r="M256" i="5"/>
  <c r="Q256" i="5"/>
  <c r="O256" i="5" s="1"/>
  <c r="R256" i="5"/>
  <c r="S256" i="5"/>
  <c r="M257" i="5"/>
  <c r="Q257" i="5"/>
  <c r="R257" i="5"/>
  <c r="S257" i="5"/>
  <c r="M258" i="5"/>
  <c r="Q258" i="5"/>
  <c r="R258" i="5"/>
  <c r="S258" i="5"/>
  <c r="M259" i="5"/>
  <c r="Q259" i="5"/>
  <c r="R259" i="5"/>
  <c r="S259" i="5"/>
  <c r="M260" i="5"/>
  <c r="Q260" i="5"/>
  <c r="P260" i="5" s="1"/>
  <c r="R260" i="5"/>
  <c r="S260" i="5"/>
  <c r="M261" i="5"/>
  <c r="Q261" i="5"/>
  <c r="P261" i="5" s="1"/>
  <c r="R261" i="5"/>
  <c r="S261" i="5"/>
  <c r="M262" i="5"/>
  <c r="Q262" i="5"/>
  <c r="R262" i="5"/>
  <c r="S262" i="5"/>
  <c r="M263" i="5"/>
  <c r="Q263" i="5"/>
  <c r="R263" i="5"/>
  <c r="S263" i="5"/>
  <c r="M264" i="5"/>
  <c r="Q264" i="5"/>
  <c r="R264" i="5"/>
  <c r="S264" i="5"/>
  <c r="M265" i="5"/>
  <c r="Q265" i="5"/>
  <c r="R265" i="5"/>
  <c r="S265" i="5"/>
  <c r="M266" i="5"/>
  <c r="Q266" i="5"/>
  <c r="P266" i="5" s="1"/>
  <c r="R266" i="5"/>
  <c r="S266" i="5"/>
  <c r="M267" i="5"/>
  <c r="Q267" i="5"/>
  <c r="R267" i="5"/>
  <c r="S267" i="5"/>
  <c r="M268" i="5"/>
  <c r="Q268" i="5"/>
  <c r="R268" i="5"/>
  <c r="S268" i="5"/>
  <c r="M269" i="5"/>
  <c r="Q269" i="5"/>
  <c r="P269" i="5" s="1"/>
  <c r="R269" i="5"/>
  <c r="S269" i="5"/>
  <c r="M270" i="5"/>
  <c r="Q270" i="5"/>
  <c r="R270" i="5"/>
  <c r="S270" i="5"/>
  <c r="M271" i="5"/>
  <c r="Q271" i="5"/>
  <c r="R271" i="5"/>
  <c r="S271" i="5"/>
  <c r="M272" i="5"/>
  <c r="Q272" i="5"/>
  <c r="N272" i="5" s="1"/>
  <c r="R272" i="5"/>
  <c r="S272" i="5"/>
  <c r="M273" i="5"/>
  <c r="Q273" i="5"/>
  <c r="P273" i="5" s="1"/>
  <c r="R273" i="5"/>
  <c r="S273" i="5"/>
  <c r="M274" i="5"/>
  <c r="Q274" i="5"/>
  <c r="P274" i="5" s="1"/>
  <c r="R274" i="5"/>
  <c r="S274" i="5"/>
  <c r="M275" i="5"/>
  <c r="Q275" i="5"/>
  <c r="R275" i="5"/>
  <c r="S275" i="5"/>
  <c r="M276" i="5"/>
  <c r="Q276" i="5"/>
  <c r="R276" i="5"/>
  <c r="S276" i="5"/>
  <c r="M277" i="5"/>
  <c r="Q277" i="5"/>
  <c r="P277" i="5" s="1"/>
  <c r="R277" i="5"/>
  <c r="S277" i="5"/>
  <c r="M278" i="5"/>
  <c r="Q278" i="5"/>
  <c r="R278" i="5"/>
  <c r="S278" i="5"/>
  <c r="M279" i="5"/>
  <c r="Q279" i="5"/>
  <c r="R279" i="5"/>
  <c r="S279" i="5"/>
  <c r="M280" i="5"/>
  <c r="Q280" i="5"/>
  <c r="R280" i="5"/>
  <c r="S280" i="5"/>
  <c r="M281" i="5"/>
  <c r="Q281" i="5"/>
  <c r="P281" i="5" s="1"/>
  <c r="R281" i="5"/>
  <c r="S281" i="5"/>
  <c r="M282" i="5"/>
  <c r="Q282" i="5"/>
  <c r="R282" i="5"/>
  <c r="S282" i="5"/>
  <c r="M283" i="5"/>
  <c r="Q283" i="5"/>
  <c r="R283" i="5"/>
  <c r="S283" i="5"/>
  <c r="M284" i="5"/>
  <c r="Q284" i="5"/>
  <c r="R284" i="5"/>
  <c r="S284" i="5"/>
  <c r="M285" i="5"/>
  <c r="Q285" i="5"/>
  <c r="P285" i="5" s="1"/>
  <c r="R285" i="5"/>
  <c r="S285" i="5"/>
  <c r="M286" i="5"/>
  <c r="Q286" i="5"/>
  <c r="R286" i="5"/>
  <c r="S286" i="5"/>
  <c r="M287" i="5"/>
  <c r="Q287" i="5"/>
  <c r="R287" i="5"/>
  <c r="S287" i="5"/>
  <c r="M288" i="5"/>
  <c r="Q288" i="5"/>
  <c r="R288" i="5"/>
  <c r="S288" i="5"/>
  <c r="M289" i="5"/>
  <c r="Q289" i="5"/>
  <c r="P289" i="5" s="1"/>
  <c r="R289" i="5"/>
  <c r="S289" i="5"/>
  <c r="M290" i="5"/>
  <c r="Q290" i="5"/>
  <c r="P290" i="5" s="1"/>
  <c r="R290" i="5"/>
  <c r="S290" i="5"/>
  <c r="M291" i="5"/>
  <c r="Q291" i="5"/>
  <c r="R291" i="5"/>
  <c r="S291" i="5"/>
  <c r="M292" i="5"/>
  <c r="Q292" i="5"/>
  <c r="R292" i="5"/>
  <c r="S292" i="5"/>
  <c r="M293" i="5"/>
  <c r="Q293" i="5"/>
  <c r="P293" i="5" s="1"/>
  <c r="R293" i="5"/>
  <c r="S293" i="5"/>
  <c r="M294" i="5"/>
  <c r="Q294" i="5"/>
  <c r="N294" i="5" s="1"/>
  <c r="R294" i="5"/>
  <c r="S294" i="5"/>
  <c r="M295" i="5"/>
  <c r="Q295" i="5"/>
  <c r="R295" i="5"/>
  <c r="S295" i="5"/>
  <c r="M296" i="5"/>
  <c r="Q296" i="5"/>
  <c r="P296" i="5" s="1"/>
  <c r="R296" i="5"/>
  <c r="S296" i="5"/>
  <c r="M297" i="5"/>
  <c r="Q297" i="5"/>
  <c r="P297" i="5" s="1"/>
  <c r="R297" i="5"/>
  <c r="S297" i="5"/>
  <c r="M298" i="5"/>
  <c r="Q298" i="5"/>
  <c r="R298" i="5"/>
  <c r="S298" i="5"/>
  <c r="M299" i="5"/>
  <c r="Q299" i="5"/>
  <c r="R299" i="5"/>
  <c r="S299" i="5"/>
  <c r="M300" i="5"/>
  <c r="Q300" i="5"/>
  <c r="R300" i="5"/>
  <c r="S300" i="5"/>
  <c r="M301" i="5"/>
  <c r="Q301" i="5"/>
  <c r="P301" i="5" s="1"/>
  <c r="R301" i="5"/>
  <c r="S301" i="5"/>
  <c r="M302" i="5"/>
  <c r="Q302" i="5"/>
  <c r="N302" i="5" s="1"/>
  <c r="R302" i="5"/>
  <c r="S302" i="5"/>
  <c r="M303" i="5"/>
  <c r="Q303" i="5"/>
  <c r="R303" i="5"/>
  <c r="S303" i="5"/>
  <c r="M304" i="5"/>
  <c r="Q304" i="5"/>
  <c r="O304" i="5" s="1"/>
  <c r="R304" i="5"/>
  <c r="S304" i="5"/>
  <c r="M305" i="5"/>
  <c r="Q305" i="5"/>
  <c r="P305" i="5" s="1"/>
  <c r="R305" i="5"/>
  <c r="S305" i="5"/>
  <c r="M306" i="5"/>
  <c r="Q306" i="5"/>
  <c r="P306" i="5" s="1"/>
  <c r="R306" i="5"/>
  <c r="S306" i="5"/>
  <c r="M307" i="5"/>
  <c r="Q307" i="5"/>
  <c r="R307" i="5"/>
  <c r="S307" i="5"/>
  <c r="M308" i="5"/>
  <c r="Q308" i="5"/>
  <c r="R308" i="5"/>
  <c r="S308" i="5"/>
  <c r="M309" i="5"/>
  <c r="Q309" i="5"/>
  <c r="P309" i="5" s="1"/>
  <c r="R309" i="5"/>
  <c r="S309" i="5"/>
  <c r="M310" i="5"/>
  <c r="Q310" i="5"/>
  <c r="N310" i="5" s="1"/>
  <c r="R310" i="5"/>
  <c r="S310" i="5"/>
  <c r="M311" i="5"/>
  <c r="Q311" i="5"/>
  <c r="R311" i="5"/>
  <c r="S311" i="5"/>
  <c r="M312" i="5"/>
  <c r="Q312" i="5"/>
  <c r="O312" i="5" s="1"/>
  <c r="R312" i="5"/>
  <c r="S312" i="5"/>
  <c r="M313" i="5"/>
  <c r="Q313" i="5"/>
  <c r="P313" i="5" s="1"/>
  <c r="R313" i="5"/>
  <c r="S313" i="5"/>
  <c r="M314" i="5"/>
  <c r="Q314" i="5"/>
  <c r="R314" i="5"/>
  <c r="S314" i="5"/>
  <c r="M315" i="5"/>
  <c r="Q315" i="5"/>
  <c r="R315" i="5"/>
  <c r="S315" i="5"/>
  <c r="M316" i="5"/>
  <c r="Q316" i="5"/>
  <c r="R316" i="5"/>
  <c r="S316" i="5"/>
  <c r="M317" i="5"/>
  <c r="Q317" i="5"/>
  <c r="P317" i="5" s="1"/>
  <c r="R317" i="5"/>
  <c r="S317" i="5"/>
  <c r="M318" i="5"/>
  <c r="Q318" i="5"/>
  <c r="N318" i="5" s="1"/>
  <c r="R318" i="5"/>
  <c r="S318" i="5"/>
  <c r="M319" i="5"/>
  <c r="Q319" i="5"/>
  <c r="R319" i="5"/>
  <c r="S319" i="5"/>
  <c r="M320" i="5"/>
  <c r="Q320" i="5"/>
  <c r="R320" i="5"/>
  <c r="S320" i="5"/>
  <c r="M321" i="5"/>
  <c r="Q321" i="5"/>
  <c r="O321" i="5" s="1"/>
  <c r="R321" i="5"/>
  <c r="S321" i="5"/>
  <c r="M322" i="5"/>
  <c r="Q322" i="5"/>
  <c r="R322" i="5"/>
  <c r="S322" i="5"/>
  <c r="M323" i="5"/>
  <c r="Q323" i="5"/>
  <c r="O323" i="5" s="1"/>
  <c r="R323" i="5"/>
  <c r="S323" i="5"/>
  <c r="M324" i="5"/>
  <c r="Q324" i="5"/>
  <c r="O324" i="5" s="1"/>
  <c r="R324" i="5"/>
  <c r="S324" i="5"/>
  <c r="M325" i="5"/>
  <c r="Q325" i="5"/>
  <c r="O325" i="5" s="1"/>
  <c r="R325" i="5"/>
  <c r="S325" i="5"/>
  <c r="M326" i="5"/>
  <c r="Q326" i="5"/>
  <c r="P326" i="5" s="1"/>
  <c r="R326" i="5"/>
  <c r="S326" i="5"/>
  <c r="M327" i="5"/>
  <c r="Q327" i="5"/>
  <c r="O327" i="5" s="1"/>
  <c r="R327" i="5"/>
  <c r="S327" i="5"/>
  <c r="M328" i="5"/>
  <c r="Q328" i="5"/>
  <c r="R328" i="5"/>
  <c r="S328" i="5"/>
  <c r="M329" i="5"/>
  <c r="Q329" i="5"/>
  <c r="R329" i="5"/>
  <c r="S329" i="5"/>
  <c r="M330" i="5"/>
  <c r="Q330" i="5"/>
  <c r="P330" i="5" s="1"/>
  <c r="R330" i="5"/>
  <c r="S330" i="5"/>
  <c r="M331" i="5"/>
  <c r="Q331" i="5"/>
  <c r="R331" i="5"/>
  <c r="S331" i="5"/>
  <c r="M332" i="5"/>
  <c r="Q332" i="5"/>
  <c r="O332" i="5" s="1"/>
  <c r="R332" i="5"/>
  <c r="S332" i="5"/>
  <c r="M333" i="5"/>
  <c r="Q333" i="5"/>
  <c r="O333" i="5" s="1"/>
  <c r="R333" i="5"/>
  <c r="S333" i="5"/>
  <c r="M334" i="5"/>
  <c r="Q334" i="5"/>
  <c r="R334" i="5"/>
  <c r="S334" i="5"/>
  <c r="M335" i="5"/>
  <c r="Q335" i="5"/>
  <c r="O335" i="5" s="1"/>
  <c r="R335" i="5"/>
  <c r="S335" i="5"/>
  <c r="M336" i="5"/>
  <c r="Q336" i="5"/>
  <c r="O336" i="5" s="1"/>
  <c r="R336" i="5"/>
  <c r="S336" i="5"/>
  <c r="M337" i="5"/>
  <c r="Q337" i="5"/>
  <c r="O337" i="5" s="1"/>
  <c r="R337" i="5"/>
  <c r="S337" i="5"/>
  <c r="M338" i="5"/>
  <c r="Q338" i="5"/>
  <c r="R338" i="5"/>
  <c r="S338" i="5"/>
  <c r="M339" i="5"/>
  <c r="Q339" i="5"/>
  <c r="R339" i="5"/>
  <c r="S339" i="5"/>
  <c r="M340" i="5"/>
  <c r="Q340" i="5"/>
  <c r="R340" i="5"/>
  <c r="S340" i="5"/>
  <c r="M341" i="5"/>
  <c r="Q341" i="5"/>
  <c r="O341" i="5" s="1"/>
  <c r="R341" i="5"/>
  <c r="S341" i="5"/>
  <c r="M342" i="5"/>
  <c r="Q342" i="5"/>
  <c r="P342" i="5" s="1"/>
  <c r="R342" i="5"/>
  <c r="S342" i="5"/>
  <c r="M343" i="5"/>
  <c r="Q343" i="5"/>
  <c r="O343" i="5" s="1"/>
  <c r="R343" i="5"/>
  <c r="S343" i="5"/>
  <c r="M344" i="5"/>
  <c r="Q344" i="5"/>
  <c r="R344" i="5"/>
  <c r="S344" i="5"/>
  <c r="M345" i="5"/>
  <c r="Q345" i="5"/>
  <c r="R345" i="5"/>
  <c r="S345" i="5"/>
  <c r="M346" i="5"/>
  <c r="Q346" i="5"/>
  <c r="P346" i="5" s="1"/>
  <c r="R346" i="5"/>
  <c r="S346" i="5"/>
  <c r="M347" i="5"/>
  <c r="Q347" i="5"/>
  <c r="R347" i="5"/>
  <c r="S347" i="5"/>
  <c r="M348" i="5"/>
  <c r="Q348" i="5"/>
  <c r="O348" i="5" s="1"/>
  <c r="R348" i="5"/>
  <c r="S348" i="5"/>
  <c r="M349" i="5"/>
  <c r="Q349" i="5"/>
  <c r="O349" i="5" s="1"/>
  <c r="R349" i="5"/>
  <c r="S349" i="5"/>
  <c r="M350" i="5"/>
  <c r="Q350" i="5"/>
  <c r="R350" i="5"/>
  <c r="S350" i="5"/>
  <c r="M351" i="5"/>
  <c r="Q351" i="5"/>
  <c r="O351" i="5" s="1"/>
  <c r="R351" i="5"/>
  <c r="S351" i="5"/>
  <c r="M352" i="5"/>
  <c r="Q352" i="5"/>
  <c r="O352" i="5" s="1"/>
  <c r="R352" i="5"/>
  <c r="S352" i="5"/>
  <c r="M353" i="5"/>
  <c r="Q353" i="5"/>
  <c r="O353" i="5" s="1"/>
  <c r="R353" i="5"/>
  <c r="S353" i="5"/>
  <c r="M354" i="5"/>
  <c r="Q354" i="5"/>
  <c r="P354" i="5" s="1"/>
  <c r="R354" i="5"/>
  <c r="S354" i="5"/>
  <c r="M355" i="5"/>
  <c r="Q355" i="5"/>
  <c r="O355" i="5" s="1"/>
  <c r="R355" i="5"/>
  <c r="S355" i="5"/>
  <c r="M356" i="5"/>
  <c r="Q356" i="5"/>
  <c r="O356" i="5" s="1"/>
  <c r="R356" i="5"/>
  <c r="S356" i="5"/>
  <c r="M357" i="5"/>
  <c r="Q357" i="5"/>
  <c r="O357" i="5" s="1"/>
  <c r="R357" i="5"/>
  <c r="S357" i="5"/>
  <c r="M358" i="5"/>
  <c r="Q358" i="5"/>
  <c r="R358" i="5"/>
  <c r="S358" i="5"/>
  <c r="M359" i="5"/>
  <c r="Q359" i="5"/>
  <c r="O359" i="5" s="1"/>
  <c r="R359" i="5"/>
  <c r="S359" i="5"/>
  <c r="M360" i="5"/>
  <c r="Q360" i="5"/>
  <c r="O360" i="5" s="1"/>
  <c r="R360" i="5"/>
  <c r="S360" i="5"/>
  <c r="M361" i="5"/>
  <c r="Q361" i="5"/>
  <c r="R361" i="5"/>
  <c r="S361" i="5"/>
  <c r="M362" i="5"/>
  <c r="Q362" i="5"/>
  <c r="P362" i="5" s="1"/>
  <c r="R362" i="5"/>
  <c r="S362" i="5"/>
  <c r="M363" i="5"/>
  <c r="Q363" i="5"/>
  <c r="R363" i="5"/>
  <c r="S363" i="5"/>
  <c r="M364" i="5"/>
  <c r="Q364" i="5"/>
  <c r="O364" i="5" s="1"/>
  <c r="R364" i="5"/>
  <c r="S364" i="5"/>
  <c r="M365" i="5"/>
  <c r="Q365" i="5"/>
  <c r="O365" i="5" s="1"/>
  <c r="R365" i="5"/>
  <c r="S365" i="5"/>
  <c r="M366" i="5"/>
  <c r="Q366" i="5"/>
  <c r="P366" i="5" s="1"/>
  <c r="R366" i="5"/>
  <c r="S366" i="5"/>
  <c r="M367" i="5"/>
  <c r="Q367" i="5"/>
  <c r="O367" i="5" s="1"/>
  <c r="R367" i="5"/>
  <c r="S367" i="5"/>
  <c r="M368" i="5"/>
  <c r="Q368" i="5"/>
  <c r="R368" i="5"/>
  <c r="S368" i="5"/>
  <c r="M369" i="5"/>
  <c r="Q369" i="5"/>
  <c r="R369" i="5"/>
  <c r="S369" i="5"/>
  <c r="M370" i="5"/>
  <c r="Q370" i="5"/>
  <c r="R370" i="5"/>
  <c r="S370" i="5"/>
  <c r="M371" i="5"/>
  <c r="Q371" i="5"/>
  <c r="O371" i="5" s="1"/>
  <c r="R371" i="5"/>
  <c r="S371" i="5"/>
  <c r="M372" i="5"/>
  <c r="Q372" i="5"/>
  <c r="O372" i="5" s="1"/>
  <c r="R372" i="5"/>
  <c r="S372" i="5"/>
  <c r="M373" i="5"/>
  <c r="Q373" i="5"/>
  <c r="O373" i="5" s="1"/>
  <c r="R373" i="5"/>
  <c r="S373" i="5"/>
  <c r="M374" i="5"/>
  <c r="Q374" i="5"/>
  <c r="R374" i="5"/>
  <c r="S374" i="5"/>
  <c r="M375" i="5"/>
  <c r="Q375" i="5"/>
  <c r="O375" i="5" s="1"/>
  <c r="R375" i="5"/>
  <c r="S375" i="5"/>
  <c r="M376" i="5"/>
  <c r="Q376" i="5"/>
  <c r="O376" i="5" s="1"/>
  <c r="R376" i="5"/>
  <c r="S376" i="5"/>
  <c r="M377" i="5"/>
  <c r="Q377" i="5"/>
  <c r="R377" i="5"/>
  <c r="S377" i="5"/>
  <c r="M378" i="5"/>
  <c r="Q378" i="5"/>
  <c r="P378" i="5" s="1"/>
  <c r="R378" i="5"/>
  <c r="S378" i="5"/>
  <c r="M379" i="5"/>
  <c r="Q379" i="5"/>
  <c r="R379" i="5"/>
  <c r="S379" i="5"/>
  <c r="M380" i="5"/>
  <c r="Q380" i="5"/>
  <c r="R380" i="5"/>
  <c r="S380" i="5"/>
  <c r="M381" i="5"/>
  <c r="Q381" i="5"/>
  <c r="O381" i="5" s="1"/>
  <c r="R381" i="5"/>
  <c r="S381" i="5"/>
  <c r="M382" i="5"/>
  <c r="Q382" i="5"/>
  <c r="O382" i="5" s="1"/>
  <c r="R382" i="5"/>
  <c r="S382" i="5"/>
  <c r="M383" i="5"/>
  <c r="Q383" i="5"/>
  <c r="O383" i="5" s="1"/>
  <c r="R383" i="5"/>
  <c r="S383" i="5"/>
  <c r="M384" i="5"/>
  <c r="Q384" i="5"/>
  <c r="R384" i="5"/>
  <c r="S384" i="5"/>
  <c r="M385" i="5"/>
  <c r="Q385" i="5"/>
  <c r="O385" i="5" s="1"/>
  <c r="R385" i="5"/>
  <c r="S385" i="5"/>
  <c r="M386" i="5"/>
  <c r="Q386" i="5"/>
  <c r="O386" i="5" s="1"/>
  <c r="R386" i="5"/>
  <c r="S386" i="5"/>
  <c r="M387" i="5"/>
  <c r="Q387" i="5"/>
  <c r="R387" i="5"/>
  <c r="S387" i="5"/>
  <c r="M388" i="5"/>
  <c r="Q388" i="5"/>
  <c r="R388" i="5"/>
  <c r="S388" i="5"/>
  <c r="M389" i="5"/>
  <c r="Q389" i="5"/>
  <c r="O389" i="5" s="1"/>
  <c r="R389" i="5"/>
  <c r="S389" i="5"/>
  <c r="M390" i="5"/>
  <c r="Q390" i="5"/>
  <c r="R390" i="5"/>
  <c r="S390" i="5"/>
  <c r="M391" i="5"/>
  <c r="Q391" i="5"/>
  <c r="O391" i="5" s="1"/>
  <c r="R391" i="5"/>
  <c r="S391" i="5"/>
  <c r="M392" i="5"/>
  <c r="Q392" i="5"/>
  <c r="O392" i="5" s="1"/>
  <c r="R392" i="5"/>
  <c r="S392" i="5"/>
  <c r="M393" i="5"/>
  <c r="Q393" i="5"/>
  <c r="O393" i="5" s="1"/>
  <c r="R393" i="5"/>
  <c r="S393" i="5"/>
  <c r="M394" i="5"/>
  <c r="Q394" i="5"/>
  <c r="R394" i="5"/>
  <c r="S394" i="5"/>
  <c r="M395" i="5"/>
  <c r="Q395" i="5"/>
  <c r="O395" i="5" s="1"/>
  <c r="R395" i="5"/>
  <c r="S395" i="5"/>
  <c r="M396" i="5"/>
  <c r="Q396" i="5"/>
  <c r="P396" i="5" s="1"/>
  <c r="R396" i="5"/>
  <c r="S396" i="5"/>
  <c r="M397" i="5"/>
  <c r="Q397" i="5"/>
  <c r="R397" i="5"/>
  <c r="S397" i="5"/>
  <c r="M398" i="5"/>
  <c r="Q398" i="5"/>
  <c r="R398" i="5"/>
  <c r="S398" i="5"/>
  <c r="M399" i="5"/>
  <c r="Q399" i="5"/>
  <c r="R399" i="5"/>
  <c r="S399" i="5"/>
  <c r="M400" i="5"/>
  <c r="Q400" i="5"/>
  <c r="R400" i="5"/>
  <c r="S400" i="5"/>
  <c r="M401" i="5"/>
  <c r="Q401" i="5"/>
  <c r="O401" i="5" s="1"/>
  <c r="R401" i="5"/>
  <c r="S401" i="5"/>
  <c r="M402" i="5"/>
  <c r="Q402" i="5"/>
  <c r="P402" i="5" s="1"/>
  <c r="R402" i="5"/>
  <c r="S402" i="5"/>
  <c r="M403" i="5"/>
  <c r="Q403" i="5"/>
  <c r="O403" i="5" s="1"/>
  <c r="R403" i="5"/>
  <c r="S403" i="5"/>
  <c r="M404" i="5"/>
  <c r="Q404" i="5"/>
  <c r="P404" i="5" s="1"/>
  <c r="R404" i="5"/>
  <c r="S404" i="5"/>
  <c r="M405" i="5"/>
  <c r="Q405" i="5"/>
  <c r="R405" i="5"/>
  <c r="S405" i="5"/>
  <c r="M406" i="5"/>
  <c r="Q406" i="5"/>
  <c r="N406" i="5" s="1"/>
  <c r="R406" i="5"/>
  <c r="S406" i="5"/>
  <c r="M407" i="5"/>
  <c r="Q407" i="5"/>
  <c r="N407" i="5" s="1"/>
  <c r="R407" i="5"/>
  <c r="S407" i="5"/>
  <c r="M408" i="5"/>
  <c r="Q408" i="5"/>
  <c r="O408" i="5" s="1"/>
  <c r="R408" i="5"/>
  <c r="S408" i="5"/>
  <c r="M409" i="5"/>
  <c r="Q409" i="5"/>
  <c r="O409" i="5" s="1"/>
  <c r="R409" i="5"/>
  <c r="S409" i="5"/>
  <c r="M410" i="5"/>
  <c r="Q410" i="5"/>
  <c r="N410" i="5" s="1"/>
  <c r="R410" i="5"/>
  <c r="S410" i="5"/>
  <c r="M411" i="5"/>
  <c r="Q411" i="5"/>
  <c r="N411" i="5" s="1"/>
  <c r="R411" i="5"/>
  <c r="S411" i="5"/>
  <c r="M412" i="5"/>
  <c r="Q412" i="5"/>
  <c r="O412" i="5" s="1"/>
  <c r="R412" i="5"/>
  <c r="S412" i="5"/>
  <c r="M413" i="5"/>
  <c r="Q413" i="5"/>
  <c r="P413" i="5" s="1"/>
  <c r="R413" i="5"/>
  <c r="S413" i="5"/>
  <c r="M414" i="5"/>
  <c r="Q414" i="5"/>
  <c r="P414" i="5" s="1"/>
  <c r="R414" i="5"/>
  <c r="S414" i="5"/>
  <c r="M415" i="5"/>
  <c r="Q415" i="5"/>
  <c r="R415" i="5"/>
  <c r="S415" i="5"/>
  <c r="M416" i="5"/>
  <c r="Q416" i="5"/>
  <c r="R416" i="5"/>
  <c r="S416" i="5"/>
  <c r="M417" i="5"/>
  <c r="Q417" i="5"/>
  <c r="P417" i="5" s="1"/>
  <c r="R417" i="5"/>
  <c r="S417" i="5"/>
  <c r="M418" i="5"/>
  <c r="Q418" i="5"/>
  <c r="R418" i="5"/>
  <c r="S418" i="5"/>
  <c r="M419" i="5"/>
  <c r="Q419" i="5"/>
  <c r="N419" i="5" s="1"/>
  <c r="R419" i="5"/>
  <c r="S419" i="5"/>
  <c r="M420" i="5"/>
  <c r="Q420" i="5"/>
  <c r="O420" i="5" s="1"/>
  <c r="R420" i="5"/>
  <c r="S420" i="5"/>
  <c r="M421" i="5"/>
  <c r="Q421" i="5"/>
  <c r="N421" i="5" s="1"/>
  <c r="R421" i="5"/>
  <c r="S421" i="5"/>
  <c r="M422" i="5"/>
  <c r="Q422" i="5"/>
  <c r="N422" i="5" s="1"/>
  <c r="R422" i="5"/>
  <c r="S422" i="5"/>
  <c r="M423" i="5"/>
  <c r="Q423" i="5"/>
  <c r="R423" i="5"/>
  <c r="S423" i="5"/>
  <c r="M424" i="5"/>
  <c r="Q424" i="5"/>
  <c r="P424" i="5" s="1"/>
  <c r="R424" i="5"/>
  <c r="S424" i="5"/>
  <c r="M425" i="5"/>
  <c r="Q425" i="5"/>
  <c r="P425" i="5" s="1"/>
  <c r="R425" i="5"/>
  <c r="S425" i="5"/>
  <c r="M426" i="5"/>
  <c r="Q426" i="5"/>
  <c r="N426" i="5" s="1"/>
  <c r="R426" i="5"/>
  <c r="S426" i="5"/>
  <c r="M427" i="5"/>
  <c r="Q427" i="5"/>
  <c r="R427" i="5"/>
  <c r="S427" i="5"/>
  <c r="M428" i="5"/>
  <c r="Q428" i="5"/>
  <c r="P428" i="5" s="1"/>
  <c r="R428" i="5"/>
  <c r="S428" i="5"/>
  <c r="M429" i="5"/>
  <c r="Q429" i="5"/>
  <c r="N429" i="5" s="1"/>
  <c r="R429" i="5"/>
  <c r="S429" i="5"/>
  <c r="M430" i="5"/>
  <c r="Q430" i="5"/>
  <c r="N430" i="5" s="1"/>
  <c r="R430" i="5"/>
  <c r="S430" i="5"/>
  <c r="M431" i="5"/>
  <c r="Q431" i="5"/>
  <c r="R431" i="5"/>
  <c r="S431" i="5"/>
  <c r="M432" i="5"/>
  <c r="Q432" i="5"/>
  <c r="R432" i="5"/>
  <c r="S432" i="5"/>
  <c r="M433" i="5"/>
  <c r="Q433" i="5"/>
  <c r="P433" i="5" s="1"/>
  <c r="R433" i="5"/>
  <c r="S433" i="5"/>
  <c r="M434" i="5"/>
  <c r="Q434" i="5"/>
  <c r="N434" i="5" s="1"/>
  <c r="R434" i="5"/>
  <c r="S434" i="5"/>
  <c r="M435" i="5"/>
  <c r="Q435" i="5"/>
  <c r="R435" i="5"/>
  <c r="S435" i="5"/>
  <c r="M436" i="5"/>
  <c r="Q436" i="5"/>
  <c r="R436" i="5"/>
  <c r="S436" i="5"/>
  <c r="M437" i="5"/>
  <c r="Q437" i="5"/>
  <c r="P437" i="5" s="1"/>
  <c r="R437" i="5"/>
  <c r="S437" i="5"/>
  <c r="M438" i="5"/>
  <c r="Q438" i="5"/>
  <c r="N438" i="5" s="1"/>
  <c r="R438" i="5"/>
  <c r="S438" i="5"/>
  <c r="I396" i="17" l="1"/>
  <c r="H376" i="17"/>
  <c r="S362" i="17"/>
  <c r="N30" i="5"/>
  <c r="N290" i="5"/>
  <c r="N212" i="5"/>
  <c r="N360" i="5"/>
  <c r="N98" i="5"/>
  <c r="N124" i="5"/>
  <c r="N336" i="5"/>
  <c r="N196" i="5"/>
  <c r="O74" i="5"/>
  <c r="O306" i="5"/>
  <c r="N240" i="5"/>
  <c r="P158" i="5"/>
  <c r="N52" i="5"/>
  <c r="N420" i="5"/>
  <c r="P382" i="5"/>
  <c r="N306" i="5"/>
  <c r="O212" i="5"/>
  <c r="N402" i="5"/>
  <c r="P376" i="5"/>
  <c r="N326" i="5"/>
  <c r="O277" i="5"/>
  <c r="P235" i="5"/>
  <c r="P150" i="5"/>
  <c r="N93" i="5"/>
  <c r="P66" i="5"/>
  <c r="P42" i="5"/>
  <c r="N25" i="5"/>
  <c r="O342" i="5"/>
  <c r="O145" i="5"/>
  <c r="O106" i="5"/>
  <c r="O62" i="5"/>
  <c r="N42" i="5"/>
  <c r="N20" i="5"/>
  <c r="N352" i="5"/>
  <c r="N117" i="5"/>
  <c r="P392" i="5"/>
  <c r="N376" i="5"/>
  <c r="P312" i="5"/>
  <c r="O273" i="5"/>
  <c r="O253" i="5"/>
  <c r="N233" i="5"/>
  <c r="O172" i="5"/>
  <c r="O82" i="5"/>
  <c r="N392" i="5"/>
  <c r="N372" i="5"/>
  <c r="N342" i="5"/>
  <c r="O290" i="5"/>
  <c r="O266" i="5"/>
  <c r="N242" i="5"/>
  <c r="O219" i="5"/>
  <c r="N172" i="5"/>
  <c r="N132" i="5"/>
  <c r="N102" i="5"/>
  <c r="N82" i="5"/>
  <c r="N62" i="5"/>
  <c r="P34" i="5"/>
  <c r="N382" i="5"/>
  <c r="N366" i="5"/>
  <c r="N348" i="5"/>
  <c r="N312" i="5"/>
  <c r="N304" i="5"/>
  <c r="O285" i="5"/>
  <c r="N266" i="5"/>
  <c r="N248" i="5"/>
  <c r="O235" i="5"/>
  <c r="N219" i="5"/>
  <c r="O204" i="5"/>
  <c r="N191" i="5"/>
  <c r="P166" i="5"/>
  <c r="O137" i="5"/>
  <c r="P110" i="5"/>
  <c r="N106" i="5"/>
  <c r="O89" i="5"/>
  <c r="O77" i="5"/>
  <c r="O66" i="5"/>
  <c r="P54" i="5"/>
  <c r="O46" i="5"/>
  <c r="P38" i="5"/>
  <c r="N34" i="5"/>
  <c r="P14" i="5"/>
  <c r="O6" i="5"/>
  <c r="N433" i="5"/>
  <c r="O425" i="5"/>
  <c r="O407" i="5"/>
  <c r="N204" i="5"/>
  <c r="O110" i="5"/>
  <c r="N89" i="5"/>
  <c r="N77" i="5"/>
  <c r="O54" i="5"/>
  <c r="N46" i="5"/>
  <c r="O38" i="5"/>
  <c r="O14" i="5"/>
  <c r="N6" i="5"/>
  <c r="N413" i="5"/>
  <c r="N425" i="5"/>
  <c r="O402" i="5"/>
  <c r="P352" i="5"/>
  <c r="O317" i="5"/>
  <c r="O431" i="5"/>
  <c r="N431" i="5"/>
  <c r="N394" i="5"/>
  <c r="O394" i="5"/>
  <c r="O368" i="5"/>
  <c r="N368" i="5"/>
  <c r="P358" i="5"/>
  <c r="N358" i="5"/>
  <c r="P334" i="5"/>
  <c r="N334" i="5"/>
  <c r="O276" i="5"/>
  <c r="N276" i="5"/>
  <c r="O264" i="5"/>
  <c r="N264" i="5"/>
  <c r="P250" i="5"/>
  <c r="N250" i="5"/>
  <c r="O250" i="5"/>
  <c r="O198" i="5"/>
  <c r="N198" i="5"/>
  <c r="N142" i="5"/>
  <c r="P142" i="5"/>
  <c r="P116" i="5"/>
  <c r="N116" i="5"/>
  <c r="P49" i="5"/>
  <c r="N49" i="5"/>
  <c r="O49" i="5"/>
  <c r="P9" i="5"/>
  <c r="N9" i="5"/>
  <c r="O9" i="5"/>
  <c r="P431" i="5"/>
  <c r="O417" i="5"/>
  <c r="N415" i="5"/>
  <c r="P415" i="5"/>
  <c r="P394" i="5"/>
  <c r="O380" i="5"/>
  <c r="N380" i="5"/>
  <c r="P368" i="5"/>
  <c r="O358" i="5"/>
  <c r="O344" i="5"/>
  <c r="N344" i="5"/>
  <c r="P344" i="5"/>
  <c r="O334" i="5"/>
  <c r="N324" i="5"/>
  <c r="O320" i="5"/>
  <c r="N320" i="5"/>
  <c r="P320" i="5"/>
  <c r="P258" i="5"/>
  <c r="N258" i="5"/>
  <c r="O227" i="5"/>
  <c r="P227" i="5"/>
  <c r="O217" i="5"/>
  <c r="N217" i="5"/>
  <c r="P217" i="5"/>
  <c r="N207" i="5"/>
  <c r="O206" i="5"/>
  <c r="P206" i="5"/>
  <c r="P198" i="5"/>
  <c r="N186" i="5"/>
  <c r="N184" i="5"/>
  <c r="O184" i="5"/>
  <c r="P184" i="5"/>
  <c r="P164" i="5"/>
  <c r="O164" i="5"/>
  <c r="N164" i="5"/>
  <c r="P436" i="5"/>
  <c r="N436" i="5"/>
  <c r="O328" i="5"/>
  <c r="N328" i="5"/>
  <c r="N314" i="5"/>
  <c r="O314" i="5"/>
  <c r="O298" i="5"/>
  <c r="P298" i="5"/>
  <c r="O288" i="5"/>
  <c r="N288" i="5"/>
  <c r="P288" i="5"/>
  <c r="N270" i="5"/>
  <c r="O270" i="5"/>
  <c r="O258" i="5"/>
  <c r="O245" i="5"/>
  <c r="N227" i="5"/>
  <c r="O225" i="5"/>
  <c r="N225" i="5"/>
  <c r="N192" i="5"/>
  <c r="O192" i="5"/>
  <c r="N181" i="5"/>
  <c r="P181" i="5"/>
  <c r="O181" i="5"/>
  <c r="P156" i="5"/>
  <c r="O156" i="5"/>
  <c r="N156" i="5"/>
  <c r="N129" i="5"/>
  <c r="O129" i="5"/>
  <c r="O28" i="5"/>
  <c r="N28" i="5"/>
  <c r="O436" i="5"/>
  <c r="O423" i="5"/>
  <c r="N423" i="5"/>
  <c r="P423" i="5"/>
  <c r="O411" i="5"/>
  <c r="O400" i="5"/>
  <c r="N400" i="5"/>
  <c r="P400" i="5"/>
  <c r="P374" i="5"/>
  <c r="N374" i="5"/>
  <c r="O374" i="5"/>
  <c r="N364" i="5"/>
  <c r="P350" i="5"/>
  <c r="N350" i="5"/>
  <c r="O350" i="5"/>
  <c r="O340" i="5"/>
  <c r="N340" i="5"/>
  <c r="P328" i="5"/>
  <c r="P314" i="5"/>
  <c r="N298" i="5"/>
  <c r="O296" i="5"/>
  <c r="N296" i="5"/>
  <c r="P225" i="5"/>
  <c r="O208" i="5"/>
  <c r="P208" i="5"/>
  <c r="O200" i="5"/>
  <c r="P200" i="5"/>
  <c r="P192" i="5"/>
  <c r="N121" i="5"/>
  <c r="O121" i="5"/>
  <c r="P73" i="5"/>
  <c r="N73" i="5"/>
  <c r="O73" i="5"/>
  <c r="N22" i="5"/>
  <c r="O22" i="5"/>
  <c r="P22" i="5"/>
  <c r="O169" i="5"/>
  <c r="O148" i="5"/>
  <c r="O140" i="5"/>
  <c r="P134" i="5"/>
  <c r="P126" i="5"/>
  <c r="P117" i="5"/>
  <c r="O113" i="5"/>
  <c r="P103" i="5"/>
  <c r="P98" i="5"/>
  <c r="P90" i="5"/>
  <c r="O41" i="5"/>
  <c r="P30" i="5"/>
  <c r="O17" i="5"/>
  <c r="N4" i="5"/>
  <c r="O433" i="5"/>
  <c r="P407" i="5"/>
  <c r="N386" i="5"/>
  <c r="O366" i="5"/>
  <c r="P360" i="5"/>
  <c r="N356" i="5"/>
  <c r="P336" i="5"/>
  <c r="N332" i="5"/>
  <c r="O326" i="5"/>
  <c r="O309" i="5"/>
  <c r="P304" i="5"/>
  <c r="N274" i="5"/>
  <c r="O269" i="5"/>
  <c r="O261" i="5"/>
  <c r="N256" i="5"/>
  <c r="O242" i="5"/>
  <c r="O237" i="5"/>
  <c r="P233" i="5"/>
  <c r="O196" i="5"/>
  <c r="O161" i="5"/>
  <c r="O153" i="5"/>
  <c r="N148" i="5"/>
  <c r="N140" i="5"/>
  <c r="O132" i="5"/>
  <c r="O124" i="5"/>
  <c r="N113" i="5"/>
  <c r="N109" i="5"/>
  <c r="O102" i="5"/>
  <c r="O93" i="5"/>
  <c r="O90" i="5"/>
  <c r="P74" i="5"/>
  <c r="N44" i="5"/>
  <c r="N41" i="5"/>
  <c r="O25" i="5"/>
  <c r="N17" i="5"/>
  <c r="N12" i="5"/>
  <c r="O418" i="5"/>
  <c r="P418" i="5"/>
  <c r="O252" i="5"/>
  <c r="N252" i="5"/>
  <c r="P252" i="5"/>
  <c r="P241" i="5"/>
  <c r="O241" i="5"/>
  <c r="N188" i="5"/>
  <c r="O188" i="5"/>
  <c r="P188" i="5"/>
  <c r="O435" i="5"/>
  <c r="N435" i="5"/>
  <c r="P432" i="5"/>
  <c r="N432" i="5"/>
  <c r="O432" i="5"/>
  <c r="O398" i="5"/>
  <c r="P398" i="5"/>
  <c r="O388" i="5"/>
  <c r="N388" i="5"/>
  <c r="N370" i="5"/>
  <c r="O370" i="5"/>
  <c r="N338" i="5"/>
  <c r="O338" i="5"/>
  <c r="N322" i="5"/>
  <c r="O322" i="5"/>
  <c r="O308" i="5"/>
  <c r="N308" i="5"/>
  <c r="P308" i="5"/>
  <c r="P282" i="5"/>
  <c r="N282" i="5"/>
  <c r="O282" i="5"/>
  <c r="N246" i="5"/>
  <c r="O246" i="5"/>
  <c r="P246" i="5"/>
  <c r="O214" i="5"/>
  <c r="P195" i="5"/>
  <c r="N195" i="5"/>
  <c r="N437" i="5"/>
  <c r="O437" i="5"/>
  <c r="O416" i="5"/>
  <c r="N416" i="5"/>
  <c r="P416" i="5"/>
  <c r="O410" i="5"/>
  <c r="P410" i="5"/>
  <c r="O406" i="5"/>
  <c r="P406" i="5"/>
  <c r="N398" i="5"/>
  <c r="O396" i="5"/>
  <c r="N396" i="5"/>
  <c r="P388" i="5"/>
  <c r="P370" i="5"/>
  <c r="P338" i="5"/>
  <c r="P322" i="5"/>
  <c r="O316" i="5"/>
  <c r="N316" i="5"/>
  <c r="P316" i="5"/>
  <c r="O302" i="5"/>
  <c r="P302" i="5"/>
  <c r="O301" i="5"/>
  <c r="O284" i="5"/>
  <c r="N284" i="5"/>
  <c r="P284" i="5"/>
  <c r="N278" i="5"/>
  <c r="O278" i="5"/>
  <c r="P278" i="5"/>
  <c r="O268" i="5"/>
  <c r="N268" i="5"/>
  <c r="P268" i="5"/>
  <c r="P257" i="5"/>
  <c r="O257" i="5"/>
  <c r="O215" i="5"/>
  <c r="P215" i="5"/>
  <c r="N215" i="5"/>
  <c r="P211" i="5"/>
  <c r="N211" i="5"/>
  <c r="O70" i="5"/>
  <c r="P70" i="5"/>
  <c r="N70" i="5"/>
  <c r="O40" i="5"/>
  <c r="N40" i="5"/>
  <c r="O421" i="5"/>
  <c r="P421" i="5"/>
  <c r="O390" i="5"/>
  <c r="N390" i="5"/>
  <c r="P390" i="5"/>
  <c r="O384" i="5"/>
  <c r="N384" i="5"/>
  <c r="P384" i="5"/>
  <c r="O318" i="5"/>
  <c r="P318" i="5"/>
  <c r="O300" i="5"/>
  <c r="N300" i="5"/>
  <c r="P300" i="5"/>
  <c r="O286" i="5"/>
  <c r="P286" i="5"/>
  <c r="P65" i="5"/>
  <c r="N65" i="5"/>
  <c r="O65" i="5"/>
  <c r="O429" i="5"/>
  <c r="P429" i="5"/>
  <c r="O428" i="5"/>
  <c r="N418" i="5"/>
  <c r="P409" i="5"/>
  <c r="N409" i="5"/>
  <c r="N354" i="5"/>
  <c r="O354" i="5"/>
  <c r="O294" i="5"/>
  <c r="P294" i="5"/>
  <c r="O293" i="5"/>
  <c r="N286" i="5"/>
  <c r="O229" i="5"/>
  <c r="N229" i="5"/>
  <c r="P229" i="5"/>
  <c r="P222" i="5"/>
  <c r="O222" i="5"/>
  <c r="P105" i="5"/>
  <c r="O105" i="5"/>
  <c r="O427" i="5"/>
  <c r="N427" i="5"/>
  <c r="P427" i="5"/>
  <c r="N414" i="5"/>
  <c r="O414" i="5"/>
  <c r="O404" i="5"/>
  <c r="N404" i="5"/>
  <c r="N378" i="5"/>
  <c r="O378" i="5"/>
  <c r="N362" i="5"/>
  <c r="O362" i="5"/>
  <c r="N346" i="5"/>
  <c r="O346" i="5"/>
  <c r="N330" i="5"/>
  <c r="O330" i="5"/>
  <c r="O310" i="5"/>
  <c r="P310" i="5"/>
  <c r="O292" i="5"/>
  <c r="N292" i="5"/>
  <c r="P292" i="5"/>
  <c r="N262" i="5"/>
  <c r="O262" i="5"/>
  <c r="P262" i="5"/>
  <c r="O221" i="5"/>
  <c r="N221" i="5"/>
  <c r="P221" i="5"/>
  <c r="N176" i="5"/>
  <c r="O176" i="5"/>
  <c r="P176" i="5"/>
  <c r="N165" i="5"/>
  <c r="O165" i="5"/>
  <c r="N152" i="5"/>
  <c r="O152" i="5"/>
  <c r="N146" i="5"/>
  <c r="P146" i="5"/>
  <c r="N133" i="5"/>
  <c r="O133" i="5"/>
  <c r="P120" i="5"/>
  <c r="N120" i="5"/>
  <c r="N114" i="5"/>
  <c r="O114" i="5"/>
  <c r="P114" i="5"/>
  <c r="O280" i="5"/>
  <c r="P280" i="5"/>
  <c r="P265" i="5"/>
  <c r="O265" i="5"/>
  <c r="P249" i="5"/>
  <c r="O249" i="5"/>
  <c r="O223" i="5"/>
  <c r="P223" i="5"/>
  <c r="N205" i="5"/>
  <c r="O205" i="5"/>
  <c r="P205" i="5"/>
  <c r="N197" i="5"/>
  <c r="P197" i="5"/>
  <c r="P165" i="5"/>
  <c r="P152" i="5"/>
  <c r="P133" i="5"/>
  <c r="O120" i="5"/>
  <c r="O8" i="5"/>
  <c r="N8" i="5"/>
  <c r="N189" i="5"/>
  <c r="P189" i="5"/>
  <c r="P180" i="5"/>
  <c r="N180" i="5"/>
  <c r="N177" i="5"/>
  <c r="P177" i="5"/>
  <c r="O424" i="5"/>
  <c r="P408" i="5"/>
  <c r="P386" i="5"/>
  <c r="P380" i="5"/>
  <c r="P372" i="5"/>
  <c r="P364" i="5"/>
  <c r="P356" i="5"/>
  <c r="P348" i="5"/>
  <c r="P340" i="5"/>
  <c r="P332" i="5"/>
  <c r="P324" i="5"/>
  <c r="O313" i="5"/>
  <c r="O305" i="5"/>
  <c r="O297" i="5"/>
  <c r="O289" i="5"/>
  <c r="O281" i="5"/>
  <c r="N280" i="5"/>
  <c r="P276" i="5"/>
  <c r="O274" i="5"/>
  <c r="O272" i="5"/>
  <c r="P272" i="5"/>
  <c r="P270" i="5"/>
  <c r="O260" i="5"/>
  <c r="N260" i="5"/>
  <c r="N254" i="5"/>
  <c r="O254" i="5"/>
  <c r="O244" i="5"/>
  <c r="N244" i="5"/>
  <c r="N238" i="5"/>
  <c r="O238" i="5"/>
  <c r="O231" i="5"/>
  <c r="P231" i="5"/>
  <c r="O230" i="5"/>
  <c r="N223" i="5"/>
  <c r="N213" i="5"/>
  <c r="P213" i="5"/>
  <c r="P190" i="5"/>
  <c r="N168" i="5"/>
  <c r="O168" i="5"/>
  <c r="N162" i="5"/>
  <c r="P162" i="5"/>
  <c r="N149" i="5"/>
  <c r="O149" i="5"/>
  <c r="N136" i="5"/>
  <c r="O136" i="5"/>
  <c r="N130" i="5"/>
  <c r="P130" i="5"/>
  <c r="O112" i="5"/>
  <c r="P112" i="5"/>
  <c r="P97" i="5"/>
  <c r="O97" i="5"/>
  <c r="O32" i="5"/>
  <c r="N32" i="5"/>
  <c r="N173" i="5"/>
  <c r="O173" i="5"/>
  <c r="N160" i="5"/>
  <c r="O160" i="5"/>
  <c r="N157" i="5"/>
  <c r="O157" i="5"/>
  <c r="N144" i="5"/>
  <c r="O144" i="5"/>
  <c r="N141" i="5"/>
  <c r="O141" i="5"/>
  <c r="N128" i="5"/>
  <c r="O128" i="5"/>
  <c r="N125" i="5"/>
  <c r="O125" i="5"/>
  <c r="N107" i="5"/>
  <c r="O107" i="5"/>
  <c r="N94" i="5"/>
  <c r="O94" i="5"/>
  <c r="P94" i="5"/>
  <c r="O50" i="5"/>
  <c r="N50" i="5"/>
  <c r="P50" i="5"/>
  <c r="P264" i="5"/>
  <c r="P256" i="5"/>
  <c r="P248" i="5"/>
  <c r="P240" i="5"/>
  <c r="O234" i="5"/>
  <c r="O226" i="5"/>
  <c r="O218" i="5"/>
  <c r="O209" i="5"/>
  <c r="O207" i="5"/>
  <c r="N202" i="5"/>
  <c r="O199" i="5"/>
  <c r="O193" i="5"/>
  <c r="O191" i="5"/>
  <c r="P173" i="5"/>
  <c r="P160" i="5"/>
  <c r="P157" i="5"/>
  <c r="N154" i="5"/>
  <c r="P154" i="5"/>
  <c r="P144" i="5"/>
  <c r="P141" i="5"/>
  <c r="N138" i="5"/>
  <c r="P138" i="5"/>
  <c r="P128" i="5"/>
  <c r="P125" i="5"/>
  <c r="N122" i="5"/>
  <c r="P122" i="5"/>
  <c r="P107" i="5"/>
  <c r="P85" i="5"/>
  <c r="N85" i="5"/>
  <c r="O85" i="5"/>
  <c r="P81" i="5"/>
  <c r="N81" i="5"/>
  <c r="O81" i="5"/>
  <c r="N78" i="5"/>
  <c r="O78" i="5"/>
  <c r="P69" i="5"/>
  <c r="N69" i="5"/>
  <c r="O86" i="5"/>
  <c r="P86" i="5"/>
  <c r="P61" i="5"/>
  <c r="N61" i="5"/>
  <c r="P57" i="5"/>
  <c r="N57" i="5"/>
  <c r="O57" i="5"/>
  <c r="P33" i="5"/>
  <c r="N33" i="5"/>
  <c r="N2" i="5"/>
  <c r="O2" i="5"/>
  <c r="P2" i="5"/>
  <c r="P169" i="5"/>
  <c r="P161" i="5"/>
  <c r="P153" i="5"/>
  <c r="P145" i="5"/>
  <c r="P137" i="5"/>
  <c r="P129" i="5"/>
  <c r="P121" i="5"/>
  <c r="P118" i="5"/>
  <c r="O116" i="5"/>
  <c r="O111" i="5"/>
  <c r="O109" i="5"/>
  <c r="N104" i="5"/>
  <c r="O100" i="5"/>
  <c r="N100" i="5"/>
  <c r="N86"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405" i="5"/>
  <c r="N405" i="5"/>
  <c r="P369" i="5"/>
  <c r="N369" i="5"/>
  <c r="N339" i="5"/>
  <c r="P339" i="5"/>
  <c r="P430" i="5"/>
  <c r="N428" i="5"/>
  <c r="P426" i="5"/>
  <c r="N424" i="5"/>
  <c r="P422" i="5"/>
  <c r="P419" i="5"/>
  <c r="P412" i="5"/>
  <c r="O405" i="5"/>
  <c r="N395" i="5"/>
  <c r="P395" i="5"/>
  <c r="P393" i="5"/>
  <c r="N393" i="5"/>
  <c r="P385" i="5"/>
  <c r="N385" i="5"/>
  <c r="N375" i="5"/>
  <c r="P375" i="5"/>
  <c r="P373" i="5"/>
  <c r="N373" i="5"/>
  <c r="O369" i="5"/>
  <c r="N359" i="5"/>
  <c r="P359" i="5"/>
  <c r="P357" i="5"/>
  <c r="N357" i="5"/>
  <c r="N343" i="5"/>
  <c r="P343" i="5"/>
  <c r="P341" i="5"/>
  <c r="N341" i="5"/>
  <c r="O339" i="5"/>
  <c r="N327" i="5"/>
  <c r="P327" i="5"/>
  <c r="P325" i="5"/>
  <c r="N325" i="5"/>
  <c r="N315" i="5"/>
  <c r="O315" i="5"/>
  <c r="P315" i="5"/>
  <c r="N307" i="5"/>
  <c r="O307" i="5"/>
  <c r="P307" i="5"/>
  <c r="N299" i="5"/>
  <c r="O299" i="5"/>
  <c r="P299" i="5"/>
  <c r="N291" i="5"/>
  <c r="O291" i="5"/>
  <c r="P291" i="5"/>
  <c r="N283" i="5"/>
  <c r="O283" i="5"/>
  <c r="P283" i="5"/>
  <c r="N275" i="5"/>
  <c r="O275" i="5"/>
  <c r="P275" i="5"/>
  <c r="N267" i="5"/>
  <c r="O267" i="5"/>
  <c r="P267" i="5"/>
  <c r="N259" i="5"/>
  <c r="O259" i="5"/>
  <c r="P259" i="5"/>
  <c r="N251" i="5"/>
  <c r="O251" i="5"/>
  <c r="P251" i="5"/>
  <c r="N243" i="5"/>
  <c r="O243" i="5"/>
  <c r="P243" i="5"/>
  <c r="O210" i="5"/>
  <c r="N210" i="5"/>
  <c r="P210" i="5"/>
  <c r="P203" i="5"/>
  <c r="N203" i="5"/>
  <c r="O203" i="5"/>
  <c r="O194" i="5"/>
  <c r="N194" i="5"/>
  <c r="P194" i="5"/>
  <c r="P187" i="5"/>
  <c r="N187" i="5"/>
  <c r="O187" i="5"/>
  <c r="N391" i="5"/>
  <c r="P391" i="5"/>
  <c r="N383" i="5"/>
  <c r="P383" i="5"/>
  <c r="N355" i="5"/>
  <c r="P355" i="5"/>
  <c r="P337" i="5"/>
  <c r="N337" i="5"/>
  <c r="N323" i="5"/>
  <c r="P323" i="5"/>
  <c r="P321" i="5"/>
  <c r="N321" i="5"/>
  <c r="N232" i="5"/>
  <c r="O232" i="5"/>
  <c r="P232" i="5"/>
  <c r="N224" i="5"/>
  <c r="O224" i="5"/>
  <c r="P224" i="5"/>
  <c r="N216" i="5"/>
  <c r="O216" i="5"/>
  <c r="P216" i="5"/>
  <c r="O434" i="5"/>
  <c r="O419" i="5"/>
  <c r="N412" i="5"/>
  <c r="N379" i="5"/>
  <c r="P379" i="5"/>
  <c r="N363" i="5"/>
  <c r="P363" i="5"/>
  <c r="N347" i="5"/>
  <c r="P347" i="5"/>
  <c r="N331" i="5"/>
  <c r="P331" i="5"/>
  <c r="P329" i="5"/>
  <c r="N329" i="5"/>
  <c r="N236" i="5"/>
  <c r="O236" i="5"/>
  <c r="P236" i="5"/>
  <c r="N228" i="5"/>
  <c r="O228" i="5"/>
  <c r="P228" i="5"/>
  <c r="N220" i="5"/>
  <c r="O220" i="5"/>
  <c r="P220" i="5"/>
  <c r="N201" i="5"/>
  <c r="O201" i="5"/>
  <c r="P201" i="5"/>
  <c r="N185" i="5"/>
  <c r="O185" i="5"/>
  <c r="P185" i="5"/>
  <c r="N371" i="5"/>
  <c r="P371" i="5"/>
  <c r="P353" i="5"/>
  <c r="N353" i="5"/>
  <c r="P438" i="5"/>
  <c r="P434" i="5"/>
  <c r="O438" i="5"/>
  <c r="P435" i="5"/>
  <c r="O430" i="5"/>
  <c r="O426" i="5"/>
  <c r="O422" i="5"/>
  <c r="N399" i="5"/>
  <c r="P399" i="5"/>
  <c r="P397" i="5"/>
  <c r="N397" i="5"/>
  <c r="N387" i="5"/>
  <c r="P387" i="5"/>
  <c r="P377" i="5"/>
  <c r="N377" i="5"/>
  <c r="P361" i="5"/>
  <c r="N361" i="5"/>
  <c r="P345" i="5"/>
  <c r="N345" i="5"/>
  <c r="P420" i="5"/>
  <c r="N417" i="5"/>
  <c r="O415" i="5"/>
  <c r="O413" i="5"/>
  <c r="P411" i="5"/>
  <c r="N408" i="5"/>
  <c r="N403" i="5"/>
  <c r="P403" i="5"/>
  <c r="P401" i="5"/>
  <c r="N401" i="5"/>
  <c r="O399" i="5"/>
  <c r="O397" i="5"/>
  <c r="P389" i="5"/>
  <c r="N389" i="5"/>
  <c r="O387" i="5"/>
  <c r="P381" i="5"/>
  <c r="N381" i="5"/>
  <c r="O379" i="5"/>
  <c r="O377" i="5"/>
  <c r="N367" i="5"/>
  <c r="P367" i="5"/>
  <c r="P365" i="5"/>
  <c r="N365" i="5"/>
  <c r="O363" i="5"/>
  <c r="O361" i="5"/>
  <c r="N351" i="5"/>
  <c r="P351" i="5"/>
  <c r="P349" i="5"/>
  <c r="N349" i="5"/>
  <c r="O347" i="5"/>
  <c r="O345" i="5"/>
  <c r="N335" i="5"/>
  <c r="P335" i="5"/>
  <c r="P333" i="5"/>
  <c r="N333" i="5"/>
  <c r="O331" i="5"/>
  <c r="O329" i="5"/>
  <c r="N319" i="5"/>
  <c r="O319" i="5"/>
  <c r="P319" i="5"/>
  <c r="N311" i="5"/>
  <c r="O311" i="5"/>
  <c r="P311" i="5"/>
  <c r="N303" i="5"/>
  <c r="O303" i="5"/>
  <c r="P303" i="5"/>
  <c r="N295" i="5"/>
  <c r="O295" i="5"/>
  <c r="P295" i="5"/>
  <c r="N287" i="5"/>
  <c r="O287" i="5"/>
  <c r="P287" i="5"/>
  <c r="N279" i="5"/>
  <c r="O279" i="5"/>
  <c r="P279" i="5"/>
  <c r="N271" i="5"/>
  <c r="O271" i="5"/>
  <c r="P271" i="5"/>
  <c r="N263" i="5"/>
  <c r="O263" i="5"/>
  <c r="P263" i="5"/>
  <c r="N255" i="5"/>
  <c r="O255" i="5"/>
  <c r="P255" i="5"/>
  <c r="N247" i="5"/>
  <c r="O247" i="5"/>
  <c r="P247" i="5"/>
  <c r="N239" i="5"/>
  <c r="O239" i="5"/>
  <c r="P239" i="5"/>
  <c r="O179" i="5"/>
  <c r="P179" i="5"/>
  <c r="N179" i="5"/>
  <c r="N174" i="5"/>
  <c r="O174" i="5"/>
  <c r="N317" i="5"/>
  <c r="N313" i="5"/>
  <c r="N309" i="5"/>
  <c r="N305" i="5"/>
  <c r="N301" i="5"/>
  <c r="N297" i="5"/>
  <c r="N293" i="5"/>
  <c r="N289" i="5"/>
  <c r="N285" i="5"/>
  <c r="N281" i="5"/>
  <c r="N277" i="5"/>
  <c r="N273" i="5"/>
  <c r="N269" i="5"/>
  <c r="N265" i="5"/>
  <c r="N261" i="5"/>
  <c r="N257" i="5"/>
  <c r="N253" i="5"/>
  <c r="N249" i="5"/>
  <c r="N245" i="5"/>
  <c r="N241" i="5"/>
  <c r="N237" i="5"/>
  <c r="N234" i="5"/>
  <c r="N230" i="5"/>
  <c r="N226" i="5"/>
  <c r="N222" i="5"/>
  <c r="N218" i="5"/>
  <c r="N214" i="5"/>
  <c r="O183" i="5"/>
  <c r="P183" i="5"/>
  <c r="N178" i="5"/>
  <c r="O178" i="5"/>
  <c r="P174" i="5"/>
  <c r="N167" i="5"/>
  <c r="O167" i="5"/>
  <c r="P167" i="5"/>
  <c r="N159" i="5"/>
  <c r="O159" i="5"/>
  <c r="P159" i="5"/>
  <c r="N151" i="5"/>
  <c r="O151" i="5"/>
  <c r="P151" i="5"/>
  <c r="N143" i="5"/>
  <c r="O143" i="5"/>
  <c r="P143" i="5"/>
  <c r="N135" i="5"/>
  <c r="O135" i="5"/>
  <c r="P135" i="5"/>
  <c r="N127" i="5"/>
  <c r="O127" i="5"/>
  <c r="P127" i="5"/>
  <c r="N182" i="5"/>
  <c r="O182" i="5"/>
  <c r="O171" i="5"/>
  <c r="P171" i="5"/>
  <c r="O213" i="5"/>
  <c r="O211" i="5"/>
  <c r="P209" i="5"/>
  <c r="N206" i="5"/>
  <c r="P202" i="5"/>
  <c r="N199" i="5"/>
  <c r="O197" i="5"/>
  <c r="O195" i="5"/>
  <c r="P193" i="5"/>
  <c r="N190" i="5"/>
  <c r="P186" i="5"/>
  <c r="P182" i="5"/>
  <c r="O175" i="5"/>
  <c r="P175" i="5"/>
  <c r="N171" i="5"/>
  <c r="N170" i="5"/>
  <c r="O170" i="5"/>
  <c r="N163" i="5"/>
  <c r="O163" i="5"/>
  <c r="P163" i="5"/>
  <c r="N155" i="5"/>
  <c r="O155" i="5"/>
  <c r="P155" i="5"/>
  <c r="N147" i="5"/>
  <c r="O147" i="5"/>
  <c r="P147" i="5"/>
  <c r="N139" i="5"/>
  <c r="O139" i="5"/>
  <c r="P139" i="5"/>
  <c r="N131" i="5"/>
  <c r="O131" i="5"/>
  <c r="P131" i="5"/>
  <c r="N95" i="5"/>
  <c r="O95" i="5"/>
  <c r="O84" i="5"/>
  <c r="P84" i="5"/>
  <c r="N79" i="5"/>
  <c r="O79" i="5"/>
  <c r="O68" i="5"/>
  <c r="P68" i="5"/>
  <c r="N63" i="5"/>
  <c r="O63" i="5"/>
  <c r="N51" i="5"/>
  <c r="O51" i="5"/>
  <c r="P51" i="5"/>
  <c r="N43" i="5"/>
  <c r="O43" i="5"/>
  <c r="P43" i="5"/>
  <c r="N35" i="5"/>
  <c r="O35" i="5"/>
  <c r="P35" i="5"/>
  <c r="N27" i="5"/>
  <c r="O27" i="5"/>
  <c r="P27" i="5"/>
  <c r="N19" i="5"/>
  <c r="O19" i="5"/>
  <c r="P19" i="5"/>
  <c r="N11" i="5"/>
  <c r="O11" i="5"/>
  <c r="P11" i="5"/>
  <c r="N3" i="5"/>
  <c r="O3" i="5"/>
  <c r="P3" i="5"/>
  <c r="O166" i="5"/>
  <c r="O162" i="5"/>
  <c r="O158" i="5"/>
  <c r="O154" i="5"/>
  <c r="O150" i="5"/>
  <c r="O146" i="5"/>
  <c r="O142" i="5"/>
  <c r="O138" i="5"/>
  <c r="O134" i="5"/>
  <c r="O130" i="5"/>
  <c r="O126" i="5"/>
  <c r="P123" i="5"/>
  <c r="O122" i="5"/>
  <c r="P119" i="5"/>
  <c r="O118" i="5"/>
  <c r="P115" i="5"/>
  <c r="N112" i="5"/>
  <c r="P108" i="5"/>
  <c r="N105" i="5"/>
  <c r="O103" i="5"/>
  <c r="O101" i="5"/>
  <c r="P99" i="5"/>
  <c r="P95" i="5"/>
  <c r="O88" i="5"/>
  <c r="P88" i="5"/>
  <c r="N84" i="5"/>
  <c r="N83" i="5"/>
  <c r="O83" i="5"/>
  <c r="P79" i="5"/>
  <c r="O72" i="5"/>
  <c r="P72" i="5"/>
  <c r="N68" i="5"/>
  <c r="N67" i="5"/>
  <c r="O67" i="5"/>
  <c r="P63" i="5"/>
  <c r="O123" i="5"/>
  <c r="O119" i="5"/>
  <c r="O115" i="5"/>
  <c r="P111" i="5"/>
  <c r="N108" i="5"/>
  <c r="P104" i="5"/>
  <c r="N101" i="5"/>
  <c r="O99" i="5"/>
  <c r="O92" i="5"/>
  <c r="P92" i="5"/>
  <c r="N88" i="5"/>
  <c r="N87" i="5"/>
  <c r="O87" i="5"/>
  <c r="P83" i="5"/>
  <c r="O76" i="5"/>
  <c r="P76" i="5"/>
  <c r="N72" i="5"/>
  <c r="N71" i="5"/>
  <c r="O71" i="5"/>
  <c r="P67" i="5"/>
  <c r="O60" i="5"/>
  <c r="P60" i="5"/>
  <c r="N55" i="5"/>
  <c r="O55" i="5"/>
  <c r="P55" i="5"/>
  <c r="N47" i="5"/>
  <c r="O47" i="5"/>
  <c r="P47" i="5"/>
  <c r="N39" i="5"/>
  <c r="O39" i="5"/>
  <c r="P39" i="5"/>
  <c r="N31" i="5"/>
  <c r="O31" i="5"/>
  <c r="P31" i="5"/>
  <c r="N23" i="5"/>
  <c r="O23" i="5"/>
  <c r="P23" i="5"/>
  <c r="N15" i="5"/>
  <c r="O15" i="5"/>
  <c r="P15" i="5"/>
  <c r="N7" i="5"/>
  <c r="O7" i="5"/>
  <c r="P7" i="5"/>
  <c r="O96" i="5"/>
  <c r="P96" i="5"/>
  <c r="N91" i="5"/>
  <c r="O91" i="5"/>
  <c r="O80" i="5"/>
  <c r="P80" i="5"/>
  <c r="N75" i="5"/>
  <c r="O75"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AO491" i="16"/>
  <c r="AL491" i="16"/>
  <c r="AI491" i="16"/>
  <c r="AF491" i="16"/>
  <c r="AC491" i="16"/>
  <c r="Z491" i="16"/>
  <c r="W491" i="16"/>
  <c r="T491" i="16"/>
  <c r="Q491" i="16"/>
  <c r="N491" i="16"/>
  <c r="K491" i="16"/>
  <c r="H491" i="16"/>
  <c r="AO490" i="16"/>
  <c r="AL490" i="16"/>
  <c r="AI490" i="16"/>
  <c r="AF490" i="16"/>
  <c r="AC490" i="16"/>
  <c r="Z490" i="16"/>
  <c r="W490" i="16"/>
  <c r="T490" i="16"/>
  <c r="Q490" i="16"/>
  <c r="N490" i="16"/>
  <c r="K490" i="16"/>
  <c r="H490" i="16"/>
  <c r="AO489" i="16"/>
  <c r="AL489" i="16"/>
  <c r="AI489" i="16"/>
  <c r="AF489" i="16"/>
  <c r="AC489" i="16"/>
  <c r="Z489" i="16"/>
  <c r="W489" i="16"/>
  <c r="T489" i="16"/>
  <c r="Q489" i="16"/>
  <c r="N489" i="16"/>
  <c r="K489" i="16"/>
  <c r="H489" i="16"/>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AO459" i="16"/>
  <c r="AL459" i="16"/>
  <c r="AI459" i="16"/>
  <c r="AF459" i="16"/>
  <c r="AC459" i="16"/>
  <c r="Z459" i="16"/>
  <c r="W459" i="16"/>
  <c r="T459" i="16"/>
  <c r="Q459" i="16"/>
  <c r="N459" i="16"/>
  <c r="K459" i="16"/>
  <c r="H459" i="16"/>
  <c r="AO458" i="16"/>
  <c r="AL458" i="16"/>
  <c r="AI458" i="16"/>
  <c r="AF458" i="16"/>
  <c r="AC458" i="16"/>
  <c r="Z458" i="16"/>
  <c r="W458" i="16"/>
  <c r="T458" i="16"/>
  <c r="Q458" i="16"/>
  <c r="N458" i="16"/>
  <c r="K458" i="16"/>
  <c r="H458" i="16"/>
  <c r="AO457" i="16"/>
  <c r="AL457" i="16"/>
  <c r="AI457" i="16"/>
  <c r="AF457" i="16"/>
  <c r="AC457" i="16"/>
  <c r="Z457" i="16"/>
  <c r="W457" i="16"/>
  <c r="T457" i="16"/>
  <c r="Q457" i="16"/>
  <c r="N457" i="16"/>
  <c r="K457" i="16"/>
  <c r="H457" i="16"/>
  <c r="AO456" i="16"/>
  <c r="AL456" i="16"/>
  <c r="AI456" i="16"/>
  <c r="AF456" i="16"/>
  <c r="AC456" i="16"/>
  <c r="Z456" i="16"/>
  <c r="W456" i="16"/>
  <c r="T456" i="16"/>
  <c r="Q456" i="16"/>
  <c r="N456" i="16"/>
  <c r="K456" i="16"/>
  <c r="H456" i="16"/>
  <c r="AO455" i="16"/>
  <c r="AL455" i="16"/>
  <c r="AI455" i="16"/>
  <c r="AF455" i="16"/>
  <c r="AC455" i="16"/>
  <c r="Z455" i="16"/>
  <c r="W455" i="16"/>
  <c r="T455" i="16"/>
  <c r="Q455" i="16"/>
  <c r="N455" i="16"/>
  <c r="K455" i="16"/>
  <c r="H455" i="16"/>
  <c r="E454" i="16"/>
  <c r="AO453" i="16"/>
  <c r="AL453" i="16"/>
  <c r="AI453" i="16"/>
  <c r="AF453" i="16"/>
  <c r="AC453" i="16"/>
  <c r="Z453" i="16"/>
  <c r="W453" i="16"/>
  <c r="T453" i="16"/>
  <c r="Q453" i="16"/>
  <c r="N453" i="16"/>
  <c r="K453" i="16"/>
  <c r="H453" i="16"/>
  <c r="AO452" i="16"/>
  <c r="AL452" i="16"/>
  <c r="AI452" i="16"/>
  <c r="AF452" i="16"/>
  <c r="AC452" i="16"/>
  <c r="Z452" i="16"/>
  <c r="W452" i="16"/>
  <c r="T452" i="16"/>
  <c r="Q452" i="16"/>
  <c r="N452" i="16"/>
  <c r="K452" i="16"/>
  <c r="H452" i="16"/>
  <c r="AO451" i="16"/>
  <c r="AL451" i="16"/>
  <c r="AI451" i="16"/>
  <c r="AF451" i="16"/>
  <c r="AC451" i="16"/>
  <c r="Z451" i="16"/>
  <c r="W451" i="16"/>
  <c r="T451" i="16"/>
  <c r="Q451" i="16"/>
  <c r="Q464" i="16" s="1"/>
  <c r="N451" i="16"/>
  <c r="K451" i="16"/>
  <c r="H451" i="16"/>
  <c r="AO419" i="16"/>
  <c r="AL419" i="16"/>
  <c r="AI419" i="16"/>
  <c r="AF419" i="16"/>
  <c r="AC419" i="16"/>
  <c r="Z419" i="16"/>
  <c r="W419" i="16"/>
  <c r="T419" i="16"/>
  <c r="Q419" i="16"/>
  <c r="N419" i="16"/>
  <c r="K419" i="16"/>
  <c r="H419"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AO344" i="16"/>
  <c r="AL344" i="16"/>
  <c r="AI344" i="16"/>
  <c r="AF344" i="16"/>
  <c r="AC344" i="16"/>
  <c r="Z344" i="16"/>
  <c r="W344" i="16"/>
  <c r="T344" i="16"/>
  <c r="Q344" i="16"/>
  <c r="N344" i="16"/>
  <c r="K344" i="16"/>
  <c r="H344" i="16"/>
  <c r="AO343" i="16"/>
  <c r="AL343" i="16"/>
  <c r="AI343" i="16"/>
  <c r="AF343" i="16"/>
  <c r="AC343" i="16"/>
  <c r="Z343" i="16"/>
  <c r="W343" i="16"/>
  <c r="T343" i="16"/>
  <c r="Q343" i="16"/>
  <c r="N343" i="16"/>
  <c r="K343" i="16"/>
  <c r="H343" i="16"/>
  <c r="AO342" i="16"/>
  <c r="AL342" i="16"/>
  <c r="AI342" i="16"/>
  <c r="AF342" i="16"/>
  <c r="AC342" i="16"/>
  <c r="Z342" i="16"/>
  <c r="W342" i="16"/>
  <c r="T342" i="16"/>
  <c r="Q342" i="16"/>
  <c r="N342" i="16"/>
  <c r="K342" i="16"/>
  <c r="H342" i="16"/>
  <c r="AO341" i="16"/>
  <c r="AL341" i="16"/>
  <c r="AI341" i="16"/>
  <c r="AF341" i="16"/>
  <c r="AC341" i="16"/>
  <c r="Z341" i="16"/>
  <c r="W341" i="16"/>
  <c r="T341" i="16"/>
  <c r="Q341" i="16"/>
  <c r="N341" i="16"/>
  <c r="K341" i="16"/>
  <c r="H341" i="16"/>
  <c r="AO340" i="16"/>
  <c r="AL340" i="16"/>
  <c r="AI340" i="16"/>
  <c r="AF340" i="16"/>
  <c r="AC340" i="16"/>
  <c r="Z340" i="16"/>
  <c r="W340" i="16"/>
  <c r="T340" i="16"/>
  <c r="Q340" i="16"/>
  <c r="N340" i="16"/>
  <c r="K340" i="16"/>
  <c r="H340" i="16"/>
  <c r="AO339" i="16"/>
  <c r="AL339" i="16"/>
  <c r="AI339" i="16"/>
  <c r="AF339" i="16"/>
  <c r="AC339" i="16"/>
  <c r="Z339" i="16"/>
  <c r="W339" i="16"/>
  <c r="T339" i="16"/>
  <c r="Q339" i="16"/>
  <c r="N339" i="16"/>
  <c r="K339" i="16"/>
  <c r="H339" i="16"/>
  <c r="AO338" i="16"/>
  <c r="AL338" i="16"/>
  <c r="AI338" i="16"/>
  <c r="AF338" i="16"/>
  <c r="AC338" i="16"/>
  <c r="Z338" i="16"/>
  <c r="W338" i="16"/>
  <c r="T338" i="16"/>
  <c r="Q338" i="16"/>
  <c r="N338" i="16"/>
  <c r="K338" i="16"/>
  <c r="H338" i="16"/>
  <c r="AO337" i="16"/>
  <c r="AL337" i="16"/>
  <c r="AI337" i="16"/>
  <c r="AF337" i="16"/>
  <c r="AC337" i="16"/>
  <c r="Z337" i="16"/>
  <c r="W337" i="16"/>
  <c r="T337" i="16"/>
  <c r="Q337" i="16"/>
  <c r="N337" i="16"/>
  <c r="K337" i="16"/>
  <c r="H337" i="16"/>
  <c r="AO336" i="16"/>
  <c r="AL336" i="16"/>
  <c r="AI336" i="16"/>
  <c r="AF336" i="16"/>
  <c r="AC336" i="16"/>
  <c r="Z336" i="16"/>
  <c r="W336" i="16"/>
  <c r="T336" i="16"/>
  <c r="Q336" i="16"/>
  <c r="N336" i="16"/>
  <c r="K336" i="16"/>
  <c r="H336" i="16"/>
  <c r="AO335" i="16"/>
  <c r="AL335" i="16"/>
  <c r="AI335" i="16"/>
  <c r="AF335" i="16"/>
  <c r="AC335" i="16"/>
  <c r="Z335" i="16"/>
  <c r="W335" i="16"/>
  <c r="T335" i="16"/>
  <c r="Q335" i="16"/>
  <c r="N335" i="16"/>
  <c r="K335" i="16"/>
  <c r="H335" i="16"/>
  <c r="AO334" i="16"/>
  <c r="AL334" i="16"/>
  <c r="AI334" i="16"/>
  <c r="AF334" i="16"/>
  <c r="AC334" i="16"/>
  <c r="Z334" i="16"/>
  <c r="W334" i="16"/>
  <c r="T334" i="16"/>
  <c r="Q334" i="16"/>
  <c r="N334" i="16"/>
  <c r="K334" i="16"/>
  <c r="H334" i="16"/>
  <c r="AO333" i="16"/>
  <c r="AL333" i="16"/>
  <c r="AI333" i="16"/>
  <c r="AF333" i="16"/>
  <c r="AC333" i="16"/>
  <c r="Z333" i="16"/>
  <c r="W333" i="16"/>
  <c r="T333" i="16"/>
  <c r="Q333" i="16"/>
  <c r="N333" i="16"/>
  <c r="K333" i="16"/>
  <c r="H333" i="16"/>
  <c r="AO332" i="16"/>
  <c r="AL332" i="16"/>
  <c r="AI332" i="16"/>
  <c r="AF332" i="16"/>
  <c r="AC332" i="16"/>
  <c r="Z332" i="16"/>
  <c r="W332" i="16"/>
  <c r="T332" i="16"/>
  <c r="Q332" i="16"/>
  <c r="N332" i="16"/>
  <c r="K332" i="16"/>
  <c r="H332" i="16"/>
  <c r="AO331" i="16"/>
  <c r="AL331" i="16"/>
  <c r="AI331" i="16"/>
  <c r="AF331" i="16"/>
  <c r="AC331" i="16"/>
  <c r="Z331" i="16"/>
  <c r="W331" i="16"/>
  <c r="T331" i="16"/>
  <c r="Q331" i="16"/>
  <c r="N331" i="16"/>
  <c r="K331" i="16"/>
  <c r="H331" i="16"/>
  <c r="E329" i="16"/>
  <c r="AO328" i="16"/>
  <c r="AL328" i="16"/>
  <c r="AI328" i="16"/>
  <c r="AF328" i="16"/>
  <c r="AC328" i="16"/>
  <c r="Z328" i="16"/>
  <c r="W328" i="16"/>
  <c r="T328" i="16"/>
  <c r="Q328" i="16"/>
  <c r="N328" i="16"/>
  <c r="K328" i="16"/>
  <c r="H328" i="16"/>
  <c r="AO327" i="16"/>
  <c r="AL327" i="16"/>
  <c r="AI327" i="16"/>
  <c r="AF327" i="16"/>
  <c r="AC327" i="16"/>
  <c r="Z327" i="16"/>
  <c r="W327" i="16"/>
  <c r="T327" i="16"/>
  <c r="Q327" i="16"/>
  <c r="N327" i="16"/>
  <c r="K327" i="16"/>
  <c r="H327" i="16"/>
  <c r="AO326" i="16"/>
  <c r="AL326" i="16"/>
  <c r="AI326" i="16"/>
  <c r="AF326" i="16"/>
  <c r="AC326" i="16"/>
  <c r="Z326" i="16"/>
  <c r="W326" i="16"/>
  <c r="T326" i="16"/>
  <c r="Q326" i="16"/>
  <c r="N326" i="16"/>
  <c r="K326" i="16"/>
  <c r="H326" i="16"/>
  <c r="AO325" i="16"/>
  <c r="AL325" i="16"/>
  <c r="AI325" i="16"/>
  <c r="AF325" i="16"/>
  <c r="AC325" i="16"/>
  <c r="Z325" i="16"/>
  <c r="W325" i="16"/>
  <c r="T325" i="16"/>
  <c r="Q325" i="16"/>
  <c r="N325" i="16"/>
  <c r="K325" i="16"/>
  <c r="H325" i="16"/>
  <c r="E324" i="16"/>
  <c r="E323" i="16"/>
  <c r="E322" i="16"/>
  <c r="E321" i="16"/>
  <c r="AO320" i="16"/>
  <c r="AL320" i="16"/>
  <c r="AI320" i="16"/>
  <c r="AF320" i="16"/>
  <c r="AC320" i="16"/>
  <c r="Z320" i="16"/>
  <c r="W320" i="16"/>
  <c r="T320" i="16"/>
  <c r="Q320" i="16"/>
  <c r="N320" i="16"/>
  <c r="K320" i="16"/>
  <c r="H320" i="16"/>
  <c r="AO319" i="16"/>
  <c r="AL319" i="16"/>
  <c r="AI319" i="16"/>
  <c r="AF319" i="16"/>
  <c r="AC319" i="16"/>
  <c r="Z319" i="16"/>
  <c r="W319" i="16"/>
  <c r="T319" i="16"/>
  <c r="Q319" i="16"/>
  <c r="N319" i="16"/>
  <c r="K319" i="16"/>
  <c r="H319" i="16"/>
  <c r="AO318" i="16"/>
  <c r="AO330" i="16" s="1"/>
  <c r="AL318" i="16"/>
  <c r="AI318" i="16"/>
  <c r="AI330" i="16" s="1"/>
  <c r="AF318" i="16"/>
  <c r="AC318" i="16"/>
  <c r="AC330" i="16" s="1"/>
  <c r="Z318" i="16"/>
  <c r="W318" i="16"/>
  <c r="W330" i="16" s="1"/>
  <c r="T318" i="16"/>
  <c r="Q318" i="16"/>
  <c r="Q330" i="16" s="1"/>
  <c r="N318" i="16"/>
  <c r="K318" i="16"/>
  <c r="K330" i="16" s="1"/>
  <c r="H318" i="16"/>
  <c r="AN312" i="16"/>
  <c r="AK312" i="16"/>
  <c r="AH312" i="16"/>
  <c r="AE312" i="16"/>
  <c r="AB312" i="16"/>
  <c r="Y312" i="16"/>
  <c r="V312" i="16"/>
  <c r="S312" i="16"/>
  <c r="P312" i="16"/>
  <c r="M312" i="16"/>
  <c r="J312" i="16"/>
  <c r="G312" i="16"/>
  <c r="E312" i="16"/>
  <c r="C312" i="16"/>
  <c r="D312" i="16" s="1"/>
  <c r="AO308" i="16"/>
  <c r="AM308" i="16"/>
  <c r="AL308" i="16"/>
  <c r="AJ308" i="16"/>
  <c r="AI308" i="16"/>
  <c r="AG308" i="16"/>
  <c r="AF308" i="16"/>
  <c r="AD308" i="16"/>
  <c r="AC308" i="16"/>
  <c r="AA308" i="16"/>
  <c r="Z308" i="16"/>
  <c r="X308" i="16"/>
  <c r="W308" i="16"/>
  <c r="U308" i="16"/>
  <c r="T308" i="16"/>
  <c r="R308" i="16"/>
  <c r="Q308" i="16"/>
  <c r="O308" i="16"/>
  <c r="N308" i="16"/>
  <c r="L308" i="16"/>
  <c r="K308" i="16"/>
  <c r="I308" i="16"/>
  <c r="H308" i="16"/>
  <c r="F308" i="16"/>
  <c r="AO307" i="16"/>
  <c r="AM307" i="16"/>
  <c r="AL307" i="16"/>
  <c r="AJ307" i="16"/>
  <c r="AI307" i="16"/>
  <c r="AG307" i="16"/>
  <c r="AF307" i="16"/>
  <c r="AD307" i="16"/>
  <c r="AC307" i="16"/>
  <c r="AA307" i="16"/>
  <c r="Z307" i="16"/>
  <c r="X307" i="16"/>
  <c r="W307" i="16"/>
  <c r="U307" i="16"/>
  <c r="T307" i="16"/>
  <c r="R307" i="16"/>
  <c r="Q307" i="16"/>
  <c r="O307" i="16"/>
  <c r="N307" i="16"/>
  <c r="L307" i="16"/>
  <c r="K307" i="16"/>
  <c r="I307" i="16"/>
  <c r="H307" i="16"/>
  <c r="F307" i="16"/>
  <c r="AO303" i="16"/>
  <c r="AN303" i="16"/>
  <c r="AL303" i="16"/>
  <c r="AK303" i="16"/>
  <c r="AI303" i="16"/>
  <c r="AH303" i="16"/>
  <c r="AF303" i="16"/>
  <c r="AE303" i="16"/>
  <c r="AC303" i="16"/>
  <c r="AB303" i="16"/>
  <c r="Z303" i="16"/>
  <c r="Y303" i="16"/>
  <c r="W303" i="16"/>
  <c r="V303" i="16"/>
  <c r="T303" i="16"/>
  <c r="S303" i="16"/>
  <c r="Q303" i="16"/>
  <c r="P303" i="16"/>
  <c r="N303" i="16"/>
  <c r="M303" i="16"/>
  <c r="K303" i="16"/>
  <c r="J303" i="16"/>
  <c r="H303" i="16"/>
  <c r="G303" i="16"/>
  <c r="C303" i="16"/>
  <c r="D303" i="16" s="1"/>
  <c r="AO302" i="16"/>
  <c r="AN302" i="16"/>
  <c r="AL302" i="16"/>
  <c r="AK302" i="16"/>
  <c r="AI302" i="16"/>
  <c r="AH302" i="16"/>
  <c r="AF302" i="16"/>
  <c r="AE302" i="16"/>
  <c r="AC302" i="16"/>
  <c r="AB302" i="16"/>
  <c r="Z302" i="16"/>
  <c r="Y302" i="16"/>
  <c r="W302" i="16"/>
  <c r="V302" i="16"/>
  <c r="T302" i="16"/>
  <c r="S302" i="16"/>
  <c r="Q302" i="16"/>
  <c r="P302" i="16"/>
  <c r="N302" i="16"/>
  <c r="M302" i="16"/>
  <c r="K302" i="16"/>
  <c r="J302" i="16"/>
  <c r="H302" i="16"/>
  <c r="G302" i="16"/>
  <c r="C302" i="16"/>
  <c r="D302" i="16" s="1"/>
  <c r="AN301" i="16"/>
  <c r="AK301" i="16"/>
  <c r="AH301" i="16"/>
  <c r="AE301" i="16"/>
  <c r="AB301" i="16"/>
  <c r="Y301" i="16"/>
  <c r="V301" i="16"/>
  <c r="S301" i="16"/>
  <c r="P301" i="16"/>
  <c r="M301" i="16"/>
  <c r="J301" i="16"/>
  <c r="G301" i="16"/>
  <c r="E301" i="16"/>
  <c r="C301" i="16"/>
  <c r="D301" i="16" s="1"/>
  <c r="AO300" i="16"/>
  <c r="AM300" i="16"/>
  <c r="AL300" i="16"/>
  <c r="AJ300" i="16"/>
  <c r="AI300" i="16"/>
  <c r="AG300" i="16"/>
  <c r="AF300" i="16"/>
  <c r="AD300" i="16"/>
  <c r="AC300" i="16"/>
  <c r="AA300" i="16"/>
  <c r="Z300" i="16"/>
  <c r="X300" i="16"/>
  <c r="W300" i="16"/>
  <c r="U300" i="16"/>
  <c r="T300" i="16"/>
  <c r="R300" i="16"/>
  <c r="Q300" i="16"/>
  <c r="O300" i="16"/>
  <c r="N300" i="16"/>
  <c r="L300" i="16"/>
  <c r="K300" i="16"/>
  <c r="I300" i="16"/>
  <c r="H300" i="16"/>
  <c r="F300" i="16"/>
  <c r="AO299" i="16"/>
  <c r="AM299" i="16"/>
  <c r="AL299" i="16"/>
  <c r="AJ299" i="16"/>
  <c r="AI299" i="16"/>
  <c r="AG299" i="16"/>
  <c r="AF299" i="16"/>
  <c r="AD299" i="16"/>
  <c r="AC299" i="16"/>
  <c r="AA299" i="16"/>
  <c r="Z299" i="16"/>
  <c r="X299" i="16"/>
  <c r="W299" i="16"/>
  <c r="U299" i="16"/>
  <c r="T299" i="16"/>
  <c r="R299" i="16"/>
  <c r="Q299" i="16"/>
  <c r="O299" i="16"/>
  <c r="N299" i="16"/>
  <c r="L299" i="16"/>
  <c r="K299" i="16"/>
  <c r="I299" i="16"/>
  <c r="H299" i="16"/>
  <c r="F299" i="16"/>
  <c r="AO298" i="16"/>
  <c r="AM298" i="16"/>
  <c r="AL298" i="16"/>
  <c r="AJ298" i="16"/>
  <c r="AI298" i="16"/>
  <c r="AG298" i="16"/>
  <c r="AF298" i="16"/>
  <c r="AD298" i="16"/>
  <c r="AC298" i="16"/>
  <c r="AA298" i="16"/>
  <c r="Z298" i="16"/>
  <c r="X298" i="16"/>
  <c r="W298" i="16"/>
  <c r="U298" i="16"/>
  <c r="T298" i="16"/>
  <c r="R298" i="16"/>
  <c r="Q298" i="16"/>
  <c r="O298" i="16"/>
  <c r="N298" i="16"/>
  <c r="L298" i="16"/>
  <c r="K298" i="16"/>
  <c r="I298" i="16"/>
  <c r="H298" i="16"/>
  <c r="F298" i="16"/>
  <c r="AO297" i="16"/>
  <c r="AM297" i="16"/>
  <c r="AL297" i="16"/>
  <c r="AJ297" i="16"/>
  <c r="AI297" i="16"/>
  <c r="AG297" i="16"/>
  <c r="AF297" i="16"/>
  <c r="AD297" i="16"/>
  <c r="AC297" i="16"/>
  <c r="AA297" i="16"/>
  <c r="Z297" i="16"/>
  <c r="X297" i="16"/>
  <c r="W297" i="16"/>
  <c r="U297" i="16"/>
  <c r="T297" i="16"/>
  <c r="R297" i="16"/>
  <c r="Q297" i="16"/>
  <c r="O297" i="16"/>
  <c r="N297" i="16"/>
  <c r="L297" i="16"/>
  <c r="K297" i="16"/>
  <c r="I297" i="16"/>
  <c r="H297" i="16"/>
  <c r="F297" i="16"/>
  <c r="AO296" i="16"/>
  <c r="AM296" i="16"/>
  <c r="AL296" i="16"/>
  <c r="AJ296" i="16"/>
  <c r="AI296" i="16"/>
  <c r="AG296" i="16"/>
  <c r="AF296" i="16"/>
  <c r="AD296" i="16"/>
  <c r="AC296" i="16"/>
  <c r="AA296" i="16"/>
  <c r="Z296" i="16"/>
  <c r="X296" i="16"/>
  <c r="W296" i="16"/>
  <c r="U296" i="16"/>
  <c r="T296" i="16"/>
  <c r="R296" i="16"/>
  <c r="Q296" i="16"/>
  <c r="O296" i="16"/>
  <c r="N296" i="16"/>
  <c r="L296" i="16"/>
  <c r="K296" i="16"/>
  <c r="I296" i="16"/>
  <c r="H296" i="16"/>
  <c r="F296" i="16"/>
  <c r="AO295" i="16"/>
  <c r="AM295" i="16"/>
  <c r="AL295" i="16"/>
  <c r="AJ295" i="16"/>
  <c r="AI295" i="16"/>
  <c r="AG295" i="16"/>
  <c r="AF295" i="16"/>
  <c r="AD295" i="16"/>
  <c r="AC295" i="16"/>
  <c r="AA295" i="16"/>
  <c r="Z295" i="16"/>
  <c r="X295" i="16"/>
  <c r="W295" i="16"/>
  <c r="U295" i="16"/>
  <c r="T295" i="16"/>
  <c r="R295" i="16"/>
  <c r="Q295" i="16"/>
  <c r="O295" i="16"/>
  <c r="N295" i="16"/>
  <c r="L295" i="16"/>
  <c r="K295" i="16"/>
  <c r="I295" i="16"/>
  <c r="H295" i="16"/>
  <c r="F295" i="16"/>
  <c r="B291" i="16"/>
  <c r="B355" i="16" s="1"/>
  <c r="E284" i="16"/>
  <c r="E283" i="16"/>
  <c r="E282" i="16"/>
  <c r="AO281" i="16"/>
  <c r="AL281" i="16"/>
  <c r="AI281" i="16"/>
  <c r="AF281" i="16"/>
  <c r="AC281" i="16"/>
  <c r="Z281" i="16"/>
  <c r="W281" i="16"/>
  <c r="T281" i="16"/>
  <c r="Q281" i="16"/>
  <c r="N281" i="16"/>
  <c r="K281" i="16"/>
  <c r="H281" i="16"/>
  <c r="AO280" i="16"/>
  <c r="AL280" i="16"/>
  <c r="AI280" i="16"/>
  <c r="AF280" i="16"/>
  <c r="AC280" i="16"/>
  <c r="Z280" i="16"/>
  <c r="W280" i="16"/>
  <c r="T280" i="16"/>
  <c r="Q280" i="16"/>
  <c r="N280" i="16"/>
  <c r="K280" i="16"/>
  <c r="H280" i="16"/>
  <c r="AO279" i="16"/>
  <c r="AL279" i="16"/>
  <c r="AI279" i="16"/>
  <c r="AF279" i="16"/>
  <c r="AC279" i="16"/>
  <c r="Z279" i="16"/>
  <c r="W279" i="16"/>
  <c r="T279" i="16"/>
  <c r="Q279" i="16"/>
  <c r="N279" i="16"/>
  <c r="K279" i="16"/>
  <c r="H279" i="16"/>
  <c r="AO278" i="16"/>
  <c r="AL278" i="16"/>
  <c r="AI278" i="16"/>
  <c r="AF278" i="16"/>
  <c r="AC278" i="16"/>
  <c r="Z278" i="16"/>
  <c r="W278" i="16"/>
  <c r="T278" i="16"/>
  <c r="Q278" i="16"/>
  <c r="N278" i="16"/>
  <c r="K278" i="16"/>
  <c r="H278" i="16"/>
  <c r="AO277" i="16"/>
  <c r="AL277" i="16"/>
  <c r="AI277" i="16"/>
  <c r="AF277" i="16"/>
  <c r="AC277" i="16"/>
  <c r="Z277" i="16"/>
  <c r="W277" i="16"/>
  <c r="T277" i="16"/>
  <c r="Q277" i="16"/>
  <c r="N277" i="16"/>
  <c r="K277" i="16"/>
  <c r="H277" i="16"/>
  <c r="AO276" i="16"/>
  <c r="AL276" i="16"/>
  <c r="AI276" i="16"/>
  <c r="AF276" i="16"/>
  <c r="AC276" i="16"/>
  <c r="Z276" i="16"/>
  <c r="W276" i="16"/>
  <c r="T276" i="16"/>
  <c r="Q276" i="16"/>
  <c r="N276" i="16"/>
  <c r="K276" i="16"/>
  <c r="H276" i="16"/>
  <c r="AO275" i="16"/>
  <c r="AL275" i="16"/>
  <c r="AI275" i="16"/>
  <c r="AF275" i="16"/>
  <c r="AC275" i="16"/>
  <c r="Z275" i="16"/>
  <c r="W275" i="16"/>
  <c r="T275" i="16"/>
  <c r="Q275" i="16"/>
  <c r="N275" i="16"/>
  <c r="K275" i="16"/>
  <c r="H275" i="16"/>
  <c r="AO274" i="16"/>
  <c r="AL274" i="16"/>
  <c r="AI274" i="16"/>
  <c r="AF274" i="16"/>
  <c r="AC274" i="16"/>
  <c r="Z274" i="16"/>
  <c r="W274" i="16"/>
  <c r="T274" i="16"/>
  <c r="Q274" i="16"/>
  <c r="N274" i="16"/>
  <c r="K274" i="16"/>
  <c r="H274" i="16"/>
  <c r="AO273" i="16"/>
  <c r="AL273" i="16"/>
  <c r="AI273" i="16"/>
  <c r="AF273" i="16"/>
  <c r="AC273" i="16"/>
  <c r="Z273" i="16"/>
  <c r="W273" i="16"/>
  <c r="T273" i="16"/>
  <c r="Q273" i="16"/>
  <c r="N273" i="16"/>
  <c r="K273" i="16"/>
  <c r="H273" i="16"/>
  <c r="AO272" i="16"/>
  <c r="AL272" i="16"/>
  <c r="AI272" i="16"/>
  <c r="AF272" i="16"/>
  <c r="AC272" i="16"/>
  <c r="Z272" i="16"/>
  <c r="W272" i="16"/>
  <c r="T272" i="16"/>
  <c r="Q272" i="16"/>
  <c r="N272" i="16"/>
  <c r="K272" i="16"/>
  <c r="H272" i="16"/>
  <c r="AO271" i="16"/>
  <c r="AL271" i="16"/>
  <c r="AI271" i="16"/>
  <c r="AF271" i="16"/>
  <c r="AC271" i="16"/>
  <c r="Z271" i="16"/>
  <c r="W271" i="16"/>
  <c r="T271" i="16"/>
  <c r="Q271" i="16"/>
  <c r="N271" i="16"/>
  <c r="K271" i="16"/>
  <c r="H271" i="16"/>
  <c r="AO270" i="16"/>
  <c r="AL270" i="16"/>
  <c r="AI270" i="16"/>
  <c r="AF270" i="16"/>
  <c r="AC270" i="16"/>
  <c r="Z270" i="16"/>
  <c r="W270" i="16"/>
  <c r="T270" i="16"/>
  <c r="Q270" i="16"/>
  <c r="N270" i="16"/>
  <c r="K270" i="16"/>
  <c r="H270" i="16"/>
  <c r="AO269" i="16"/>
  <c r="AL269" i="16"/>
  <c r="AI269" i="16"/>
  <c r="AF269" i="16"/>
  <c r="AC269" i="16"/>
  <c r="Z269" i="16"/>
  <c r="W269" i="16"/>
  <c r="T269" i="16"/>
  <c r="Q269" i="16"/>
  <c r="N269" i="16"/>
  <c r="K269" i="16"/>
  <c r="H269" i="16"/>
  <c r="AO268" i="16"/>
  <c r="AL268" i="16"/>
  <c r="AI268" i="16"/>
  <c r="AF268" i="16"/>
  <c r="AC268" i="16"/>
  <c r="Z268" i="16"/>
  <c r="W268" i="16"/>
  <c r="T268" i="16"/>
  <c r="Q268" i="16"/>
  <c r="N268" i="16"/>
  <c r="K268" i="16"/>
  <c r="H268" i="16"/>
  <c r="E266" i="16"/>
  <c r="AO265" i="16"/>
  <c r="AL265" i="16"/>
  <c r="AI265" i="16"/>
  <c r="AF265" i="16"/>
  <c r="AC265" i="16"/>
  <c r="Z265" i="16"/>
  <c r="W265" i="16"/>
  <c r="T265" i="16"/>
  <c r="Q265" i="16"/>
  <c r="N265" i="16"/>
  <c r="K265" i="16"/>
  <c r="H265" i="16"/>
  <c r="AO264" i="16"/>
  <c r="AL264" i="16"/>
  <c r="AI264" i="16"/>
  <c r="AF264" i="16"/>
  <c r="AC264" i="16"/>
  <c r="Z264" i="16"/>
  <c r="W264" i="16"/>
  <c r="T264" i="16"/>
  <c r="Q264" i="16"/>
  <c r="N264" i="16"/>
  <c r="K264" i="16"/>
  <c r="H264" i="16"/>
  <c r="AO263" i="16"/>
  <c r="AL263" i="16"/>
  <c r="AI263" i="16"/>
  <c r="AF263" i="16"/>
  <c r="AC263" i="16"/>
  <c r="Z263" i="16"/>
  <c r="W263" i="16"/>
  <c r="T263" i="16"/>
  <c r="Q263" i="16"/>
  <c r="N263" i="16"/>
  <c r="K263" i="16"/>
  <c r="H263" i="16"/>
  <c r="AO262" i="16"/>
  <c r="AL262" i="16"/>
  <c r="AI262" i="16"/>
  <c r="AF262" i="16"/>
  <c r="AC262" i="16"/>
  <c r="Z262" i="16"/>
  <c r="W262" i="16"/>
  <c r="T262" i="16"/>
  <c r="Q262" i="16"/>
  <c r="N262" i="16"/>
  <c r="K262" i="16"/>
  <c r="H262" i="16"/>
  <c r="E261" i="16"/>
  <c r="E260" i="16"/>
  <c r="E259" i="16"/>
  <c r="AO258" i="16"/>
  <c r="AL258" i="16"/>
  <c r="AI258" i="16"/>
  <c r="AF258" i="16"/>
  <c r="AC258" i="16"/>
  <c r="Z258" i="16"/>
  <c r="W258" i="16"/>
  <c r="T258" i="16"/>
  <c r="Q258" i="16"/>
  <c r="N258" i="16"/>
  <c r="K258" i="16"/>
  <c r="H258" i="16"/>
  <c r="AO257" i="16"/>
  <c r="AL257" i="16"/>
  <c r="AI257" i="16"/>
  <c r="AF257" i="16"/>
  <c r="AC257" i="16"/>
  <c r="Z257" i="16"/>
  <c r="W257" i="16"/>
  <c r="T257" i="16"/>
  <c r="Q257" i="16"/>
  <c r="N257" i="16"/>
  <c r="K257" i="16"/>
  <c r="H257" i="16"/>
  <c r="AO256" i="16"/>
  <c r="AL256" i="16"/>
  <c r="AI256" i="16"/>
  <c r="AF256" i="16"/>
  <c r="AC256" i="16"/>
  <c r="Z256" i="16"/>
  <c r="W256" i="16"/>
  <c r="T256" i="16"/>
  <c r="Q256" i="16"/>
  <c r="N256" i="16"/>
  <c r="K256" i="16"/>
  <c r="H256" i="16"/>
  <c r="AO255" i="16"/>
  <c r="AL255" i="16"/>
  <c r="AI255" i="16"/>
  <c r="AF255" i="16"/>
  <c r="AC255" i="16"/>
  <c r="Z255" i="16"/>
  <c r="W255" i="16"/>
  <c r="T255" i="16"/>
  <c r="Q255" i="16"/>
  <c r="N255" i="16"/>
  <c r="K255" i="16"/>
  <c r="H255"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42" i="16"/>
  <c r="AO251" i="16" s="1"/>
  <c r="AN242" i="16"/>
  <c r="AN251" i="16" s="1"/>
  <c r="AL242" i="16"/>
  <c r="AK242" i="16"/>
  <c r="AK251" i="16" s="1"/>
  <c r="AI242" i="16"/>
  <c r="AI251" i="16" s="1"/>
  <c r="AH242" i="16"/>
  <c r="AH251" i="16" s="1"/>
  <c r="AF242" i="16"/>
  <c r="AE242" i="16"/>
  <c r="AE251" i="16" s="1"/>
  <c r="AC242" i="16"/>
  <c r="AC251" i="16" s="1"/>
  <c r="AB242" i="16"/>
  <c r="AB251" i="16" s="1"/>
  <c r="Z242" i="16"/>
  <c r="Y242" i="16"/>
  <c r="Y251" i="16" s="1"/>
  <c r="W242" i="16"/>
  <c r="W251" i="16" s="1"/>
  <c r="V242" i="16"/>
  <c r="V251" i="16" s="1"/>
  <c r="T242" i="16"/>
  <c r="S242" i="16"/>
  <c r="S251" i="16" s="1"/>
  <c r="Q242" i="16"/>
  <c r="Q251" i="16" s="1"/>
  <c r="P242" i="16"/>
  <c r="P251" i="16" s="1"/>
  <c r="N242" i="16"/>
  <c r="M242" i="16"/>
  <c r="M251" i="16" s="1"/>
  <c r="K242" i="16"/>
  <c r="K251" i="16" s="1"/>
  <c r="J242" i="16"/>
  <c r="J251" i="16" s="1"/>
  <c r="H242" i="16"/>
  <c r="G242" i="16"/>
  <c r="G251" i="16" s="1"/>
  <c r="C242" i="16"/>
  <c r="B237" i="16"/>
  <c r="E229" i="16"/>
  <c r="E228" i="16"/>
  <c r="E227" i="16"/>
  <c r="AO226" i="16"/>
  <c r="AL226" i="16"/>
  <c r="AI226" i="16"/>
  <c r="AF226" i="16"/>
  <c r="AC226" i="16"/>
  <c r="Z226" i="16"/>
  <c r="W226" i="16"/>
  <c r="T226" i="16"/>
  <c r="Q226" i="16"/>
  <c r="N226" i="16"/>
  <c r="K226" i="16"/>
  <c r="H226" i="16"/>
  <c r="AO225" i="16"/>
  <c r="AL225" i="16"/>
  <c r="AI225" i="16"/>
  <c r="AF225" i="16"/>
  <c r="AC225" i="16"/>
  <c r="Z225" i="16"/>
  <c r="W225" i="16"/>
  <c r="T225" i="16"/>
  <c r="Q225" i="16"/>
  <c r="N225" i="16"/>
  <c r="K225" i="16"/>
  <c r="H225" i="16"/>
  <c r="AO224" i="16"/>
  <c r="AL224" i="16"/>
  <c r="AI224" i="16"/>
  <c r="AF224" i="16"/>
  <c r="AC224" i="16"/>
  <c r="Z224" i="16"/>
  <c r="W224" i="16"/>
  <c r="T224" i="16"/>
  <c r="Q224" i="16"/>
  <c r="N224" i="16"/>
  <c r="K224" i="16"/>
  <c r="H224" i="16"/>
  <c r="AO223" i="16"/>
  <c r="AL223" i="16"/>
  <c r="AI223" i="16"/>
  <c r="AF223" i="16"/>
  <c r="AC223" i="16"/>
  <c r="Z223" i="16"/>
  <c r="W223" i="16"/>
  <c r="T223" i="16"/>
  <c r="Q223" i="16"/>
  <c r="N223" i="16"/>
  <c r="K223" i="16"/>
  <c r="H223" i="16"/>
  <c r="AO222" i="16"/>
  <c r="AL222" i="16"/>
  <c r="AI222" i="16"/>
  <c r="AF222" i="16"/>
  <c r="AC222" i="16"/>
  <c r="Z222" i="16"/>
  <c r="W222" i="16"/>
  <c r="T222" i="16"/>
  <c r="Q222" i="16"/>
  <c r="N222" i="16"/>
  <c r="K222" i="16"/>
  <c r="H222" i="16"/>
  <c r="AO221" i="16"/>
  <c r="AL221" i="16"/>
  <c r="AI221" i="16"/>
  <c r="AF221" i="16"/>
  <c r="AC221" i="16"/>
  <c r="Z221" i="16"/>
  <c r="W221" i="16"/>
  <c r="T221" i="16"/>
  <c r="Q221" i="16"/>
  <c r="N221" i="16"/>
  <c r="K221" i="16"/>
  <c r="H221" i="16"/>
  <c r="AO220" i="16"/>
  <c r="AL220" i="16"/>
  <c r="AI220" i="16"/>
  <c r="AF220" i="16"/>
  <c r="AC220" i="16"/>
  <c r="Z220" i="16"/>
  <c r="W220" i="16"/>
  <c r="T220" i="16"/>
  <c r="Q220" i="16"/>
  <c r="N220" i="16"/>
  <c r="K220" i="16"/>
  <c r="H220" i="16"/>
  <c r="AO219" i="16"/>
  <c r="AL219" i="16"/>
  <c r="AI219" i="16"/>
  <c r="AF219" i="16"/>
  <c r="AC219" i="16"/>
  <c r="Z219" i="16"/>
  <c r="W219" i="16"/>
  <c r="T219" i="16"/>
  <c r="Q219" i="16"/>
  <c r="N219" i="16"/>
  <c r="K219" i="16"/>
  <c r="H219" i="16"/>
  <c r="AO218" i="16"/>
  <c r="AL218" i="16"/>
  <c r="AI218" i="16"/>
  <c r="AF218" i="16"/>
  <c r="AC218" i="16"/>
  <c r="Z218" i="16"/>
  <c r="W218" i="16"/>
  <c r="T218" i="16"/>
  <c r="Q218" i="16"/>
  <c r="N218" i="16"/>
  <c r="K218" i="16"/>
  <c r="H218" i="16"/>
  <c r="AO217" i="16"/>
  <c r="AL217" i="16"/>
  <c r="AI217" i="16"/>
  <c r="AF217" i="16"/>
  <c r="AC217" i="16"/>
  <c r="Z217" i="16"/>
  <c r="W217" i="16"/>
  <c r="T217" i="16"/>
  <c r="Q217" i="16"/>
  <c r="N217" i="16"/>
  <c r="K217" i="16"/>
  <c r="H217" i="16"/>
  <c r="AO216" i="16"/>
  <c r="AL216" i="16"/>
  <c r="AI216" i="16"/>
  <c r="AF216" i="16"/>
  <c r="AC216" i="16"/>
  <c r="Z216" i="16"/>
  <c r="W216" i="16"/>
  <c r="T216" i="16"/>
  <c r="Q216" i="16"/>
  <c r="N216" i="16"/>
  <c r="K216" i="16"/>
  <c r="H216" i="16"/>
  <c r="AO215" i="16"/>
  <c r="AL215" i="16"/>
  <c r="AI215" i="16"/>
  <c r="AF215" i="16"/>
  <c r="AC215" i="16"/>
  <c r="Z215" i="16"/>
  <c r="W215" i="16"/>
  <c r="T215" i="16"/>
  <c r="Q215" i="16"/>
  <c r="N215" i="16"/>
  <c r="K215" i="16"/>
  <c r="H215" i="16"/>
  <c r="AO214" i="16"/>
  <c r="AL214" i="16"/>
  <c r="AI214" i="16"/>
  <c r="AF214" i="16"/>
  <c r="AC214" i="16"/>
  <c r="Z214" i="16"/>
  <c r="W214" i="16"/>
  <c r="T214" i="16"/>
  <c r="Q214" i="16"/>
  <c r="N214" i="16"/>
  <c r="K214" i="16"/>
  <c r="H214" i="16"/>
  <c r="AO213" i="16"/>
  <c r="AL213" i="16"/>
  <c r="AI213" i="16"/>
  <c r="AI230" i="16" s="1"/>
  <c r="AF213" i="16"/>
  <c r="AC213" i="16"/>
  <c r="Z213" i="16"/>
  <c r="W213" i="16"/>
  <c r="T213" i="16"/>
  <c r="Q213" i="16"/>
  <c r="N213" i="16"/>
  <c r="K213" i="16"/>
  <c r="K230" i="16" s="1"/>
  <c r="H213" i="16"/>
  <c r="E211" i="16"/>
  <c r="AO210" i="16"/>
  <c r="AL210" i="16"/>
  <c r="AI210" i="16"/>
  <c r="AF210" i="16"/>
  <c r="AC210" i="16"/>
  <c r="Z210" i="16"/>
  <c r="W210" i="16"/>
  <c r="T210" i="16"/>
  <c r="Q210" i="16"/>
  <c r="N210" i="16"/>
  <c r="K210" i="16"/>
  <c r="H210" i="16"/>
  <c r="AO209" i="16"/>
  <c r="AL209" i="16"/>
  <c r="AI209" i="16"/>
  <c r="AF209" i="16"/>
  <c r="AC209" i="16"/>
  <c r="Z209" i="16"/>
  <c r="W209" i="16"/>
  <c r="T209" i="16"/>
  <c r="Q209" i="16"/>
  <c r="N209" i="16"/>
  <c r="K209" i="16"/>
  <c r="H209" i="16"/>
  <c r="AO208" i="16"/>
  <c r="AL208" i="16"/>
  <c r="AI208" i="16"/>
  <c r="AF208" i="16"/>
  <c r="AC208" i="16"/>
  <c r="Z208" i="16"/>
  <c r="W208" i="16"/>
  <c r="T208" i="16"/>
  <c r="Q208" i="16"/>
  <c r="N208" i="16"/>
  <c r="K208" i="16"/>
  <c r="H208" i="16"/>
  <c r="AO207" i="16"/>
  <c r="AL207" i="16"/>
  <c r="AI207" i="16"/>
  <c r="AF207" i="16"/>
  <c r="AC207" i="16"/>
  <c r="Z207" i="16"/>
  <c r="W207" i="16"/>
  <c r="T207" i="16"/>
  <c r="Q207" i="16"/>
  <c r="N207" i="16"/>
  <c r="K207" i="16"/>
  <c r="H207" i="16"/>
  <c r="E206" i="16"/>
  <c r="E205" i="16"/>
  <c r="E204" i="16"/>
  <c r="AO203" i="16"/>
  <c r="AL203" i="16"/>
  <c r="AI203" i="16"/>
  <c r="AF203" i="16"/>
  <c r="AC203" i="16"/>
  <c r="Z203" i="16"/>
  <c r="W203" i="16"/>
  <c r="T203" i="16"/>
  <c r="Q203" i="16"/>
  <c r="N203" i="16"/>
  <c r="K203" i="16"/>
  <c r="H203" i="16"/>
  <c r="AO202" i="16"/>
  <c r="AL202" i="16"/>
  <c r="AI202" i="16"/>
  <c r="AF202" i="16"/>
  <c r="AC202" i="16"/>
  <c r="Z202" i="16"/>
  <c r="W202" i="16"/>
  <c r="T202" i="16"/>
  <c r="Q202" i="16"/>
  <c r="N202" i="16"/>
  <c r="K202" i="16"/>
  <c r="H202" i="16"/>
  <c r="AO201" i="16"/>
  <c r="AL201" i="16"/>
  <c r="AI201" i="16"/>
  <c r="AF201" i="16"/>
  <c r="AC201" i="16"/>
  <c r="Z201" i="16"/>
  <c r="W201" i="16"/>
  <c r="T201" i="16"/>
  <c r="Q201" i="16"/>
  <c r="N201" i="16"/>
  <c r="K201" i="16"/>
  <c r="H201" i="16"/>
  <c r="AO200" i="16"/>
  <c r="AL200" i="16"/>
  <c r="AI200" i="16"/>
  <c r="AF200" i="16"/>
  <c r="AC200" i="16"/>
  <c r="Z200" i="16"/>
  <c r="W200" i="16"/>
  <c r="T200" i="16"/>
  <c r="Q200" i="16"/>
  <c r="N200" i="16"/>
  <c r="K200" i="16"/>
  <c r="H200" i="16"/>
  <c r="AO194" i="16"/>
  <c r="AL194" i="16"/>
  <c r="AI194" i="16"/>
  <c r="AF194" i="16"/>
  <c r="AC194" i="16"/>
  <c r="Z194" i="16"/>
  <c r="W194" i="16"/>
  <c r="T194" i="16"/>
  <c r="Q194" i="16"/>
  <c r="N194" i="16"/>
  <c r="K194" i="16"/>
  <c r="H194" i="16"/>
  <c r="E193" i="16"/>
  <c r="E194" i="16" s="1"/>
  <c r="D193" i="16"/>
  <c r="C193"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AO186" i="16"/>
  <c r="AL186" i="16"/>
  <c r="AI186" i="16"/>
  <c r="AF186" i="16"/>
  <c r="AC186" i="16"/>
  <c r="Z186" i="16"/>
  <c r="W186" i="16"/>
  <c r="T186" i="16"/>
  <c r="Q186" i="16"/>
  <c r="N186" i="16"/>
  <c r="K186" i="16"/>
  <c r="H186" i="16"/>
  <c r="AN184" i="16"/>
  <c r="AK184" i="16"/>
  <c r="AH184" i="16"/>
  <c r="AE184" i="16"/>
  <c r="AB184" i="16"/>
  <c r="Y184" i="16"/>
  <c r="V184" i="16"/>
  <c r="S184" i="16"/>
  <c r="P184" i="16"/>
  <c r="M184" i="16"/>
  <c r="J184" i="16"/>
  <c r="G184" i="16"/>
  <c r="D184"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N184" i="16" s="1"/>
  <c r="M183" i="16"/>
  <c r="L183" i="16"/>
  <c r="K183" i="16"/>
  <c r="J183" i="16"/>
  <c r="I183" i="16"/>
  <c r="H183" i="16"/>
  <c r="G183" i="16"/>
  <c r="F183"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0" i="16"/>
  <c r="AO164" i="16"/>
  <c r="AL164" i="16"/>
  <c r="AI164" i="16"/>
  <c r="AF164" i="16"/>
  <c r="AC164" i="16"/>
  <c r="Z164" i="16"/>
  <c r="W164" i="16"/>
  <c r="T164" i="16"/>
  <c r="Q164" i="16"/>
  <c r="N164" i="16"/>
  <c r="K164" i="16"/>
  <c r="H164" i="16"/>
  <c r="E163" i="16"/>
  <c r="E162" i="16"/>
  <c r="E161" i="16"/>
  <c r="AO160" i="16"/>
  <c r="AO474" i="16" s="1"/>
  <c r="AL160" i="16"/>
  <c r="AL474" i="16" s="1"/>
  <c r="AI160" i="16"/>
  <c r="AI474" i="16" s="1"/>
  <c r="AF160" i="16"/>
  <c r="AF474" i="16" s="1"/>
  <c r="AC160" i="16"/>
  <c r="AC474" i="16" s="1"/>
  <c r="Z160" i="16"/>
  <c r="Z474" i="16" s="1"/>
  <c r="W160" i="16"/>
  <c r="W474" i="16" s="1"/>
  <c r="T160" i="16"/>
  <c r="T474" i="16" s="1"/>
  <c r="Q160" i="16"/>
  <c r="Q474" i="16" s="1"/>
  <c r="N160" i="16"/>
  <c r="N474" i="16" s="1"/>
  <c r="K160" i="16"/>
  <c r="H160" i="16"/>
  <c r="H474" i="16" s="1"/>
  <c r="AO159" i="16"/>
  <c r="AO473" i="16" s="1"/>
  <c r="AL159" i="16"/>
  <c r="AL473" i="16" s="1"/>
  <c r="AI159" i="16"/>
  <c r="AI473" i="16" s="1"/>
  <c r="AF159" i="16"/>
  <c r="AF473" i="16" s="1"/>
  <c r="AC159" i="16"/>
  <c r="AC473" i="16" s="1"/>
  <c r="Z159" i="16"/>
  <c r="Z473" i="16" s="1"/>
  <c r="W159" i="16"/>
  <c r="W473" i="16" s="1"/>
  <c r="T159" i="16"/>
  <c r="T473" i="16" s="1"/>
  <c r="Q159" i="16"/>
  <c r="Q473" i="16" s="1"/>
  <c r="N159" i="16"/>
  <c r="N473" i="16" s="1"/>
  <c r="K159" i="16"/>
  <c r="K473" i="16" s="1"/>
  <c r="H159" i="16"/>
  <c r="H473" i="16" s="1"/>
  <c r="AO158" i="16"/>
  <c r="AL158" i="16"/>
  <c r="AL472" i="16" s="1"/>
  <c r="AI158" i="16"/>
  <c r="AI472" i="16" s="1"/>
  <c r="AF158" i="16"/>
  <c r="AF472" i="16" s="1"/>
  <c r="AC158" i="16"/>
  <c r="Z158" i="16"/>
  <c r="Z472" i="16" s="1"/>
  <c r="W158" i="16"/>
  <c r="W472" i="16" s="1"/>
  <c r="T158" i="16"/>
  <c r="Q158" i="16"/>
  <c r="N158" i="16"/>
  <c r="N472" i="16" s="1"/>
  <c r="K158" i="16"/>
  <c r="K472" i="16" s="1"/>
  <c r="H158" i="16"/>
  <c r="E154" i="16"/>
  <c r="E153" i="16"/>
  <c r="E152" i="16"/>
  <c r="AO151" i="16"/>
  <c r="AL151" i="16"/>
  <c r="AI151" i="16"/>
  <c r="AF151" i="16"/>
  <c r="AC151" i="16"/>
  <c r="Z151" i="16"/>
  <c r="W151" i="16"/>
  <c r="T151" i="16"/>
  <c r="Q151" i="16"/>
  <c r="N151" i="16"/>
  <c r="K151" i="16"/>
  <c r="H151" i="16"/>
  <c r="AO150" i="16"/>
  <c r="AL150" i="16"/>
  <c r="AI150" i="16"/>
  <c r="AF150" i="16"/>
  <c r="AC150" i="16"/>
  <c r="Z150" i="16"/>
  <c r="W150" i="16"/>
  <c r="T150" i="16"/>
  <c r="Q150" i="16"/>
  <c r="N150" i="16"/>
  <c r="K150" i="16"/>
  <c r="H150" i="16"/>
  <c r="AO149" i="16"/>
  <c r="AL149" i="16"/>
  <c r="AI149" i="16"/>
  <c r="AF149" i="16"/>
  <c r="AC149" i="16"/>
  <c r="Z149" i="16"/>
  <c r="W149" i="16"/>
  <c r="T149" i="16"/>
  <c r="Q149" i="16"/>
  <c r="N149" i="16"/>
  <c r="K149" i="16"/>
  <c r="H149" i="16"/>
  <c r="AO148" i="16"/>
  <c r="AL148" i="16"/>
  <c r="AI148" i="16"/>
  <c r="AF148" i="16"/>
  <c r="AC148" i="16"/>
  <c r="Z148" i="16"/>
  <c r="W148" i="16"/>
  <c r="T148" i="16"/>
  <c r="Q148" i="16"/>
  <c r="N148" i="16"/>
  <c r="K148" i="16"/>
  <c r="H148" i="16"/>
  <c r="AO147" i="16"/>
  <c r="AL147" i="16"/>
  <c r="AI147" i="16"/>
  <c r="AF147" i="16"/>
  <c r="AC147" i="16"/>
  <c r="Z147" i="16"/>
  <c r="W147" i="16"/>
  <c r="T147" i="16"/>
  <c r="Q147" i="16"/>
  <c r="N147" i="16"/>
  <c r="K147" i="16"/>
  <c r="H147" i="16"/>
  <c r="AO146" i="16"/>
  <c r="AL146" i="16"/>
  <c r="AI146" i="16"/>
  <c r="AF146" i="16"/>
  <c r="AC146" i="16"/>
  <c r="Z146" i="16"/>
  <c r="W146" i="16"/>
  <c r="T146" i="16"/>
  <c r="Q146" i="16"/>
  <c r="N146" i="16"/>
  <c r="K146" i="16"/>
  <c r="H146" i="16"/>
  <c r="AO145" i="16"/>
  <c r="AL145" i="16"/>
  <c r="AI145" i="16"/>
  <c r="AF145" i="16"/>
  <c r="AC145" i="16"/>
  <c r="Z145" i="16"/>
  <c r="W145" i="16"/>
  <c r="T145" i="16"/>
  <c r="Q145" i="16"/>
  <c r="N145" i="16"/>
  <c r="K145" i="16"/>
  <c r="H145" i="16"/>
  <c r="AO144" i="16"/>
  <c r="AL144" i="16"/>
  <c r="AI144" i="16"/>
  <c r="AF144" i="16"/>
  <c r="AC144" i="16"/>
  <c r="Z144" i="16"/>
  <c r="W144" i="16"/>
  <c r="T144" i="16"/>
  <c r="Q144" i="16"/>
  <c r="N144" i="16"/>
  <c r="K144" i="16"/>
  <c r="H144" i="16"/>
  <c r="AO143" i="16"/>
  <c r="AL143" i="16"/>
  <c r="AI143" i="16"/>
  <c r="AF143" i="16"/>
  <c r="AC143" i="16"/>
  <c r="Z143" i="16"/>
  <c r="W143" i="16"/>
  <c r="T143" i="16"/>
  <c r="Q143" i="16"/>
  <c r="N143" i="16"/>
  <c r="K143" i="16"/>
  <c r="H143" i="16"/>
  <c r="AO142" i="16"/>
  <c r="AL142" i="16"/>
  <c r="AI142" i="16"/>
  <c r="AF142" i="16"/>
  <c r="AC142" i="16"/>
  <c r="Z142" i="16"/>
  <c r="W142" i="16"/>
  <c r="T142" i="16"/>
  <c r="Q142" i="16"/>
  <c r="N142" i="16"/>
  <c r="K142" i="16"/>
  <c r="H142" i="16"/>
  <c r="AO141" i="16"/>
  <c r="AL141" i="16"/>
  <c r="AI141" i="16"/>
  <c r="AF141" i="16"/>
  <c r="AC141" i="16"/>
  <c r="Z141" i="16"/>
  <c r="W141" i="16"/>
  <c r="T141" i="16"/>
  <c r="Q141" i="16"/>
  <c r="N141" i="16"/>
  <c r="K141" i="16"/>
  <c r="H141" i="16"/>
  <c r="AO140" i="16"/>
  <c r="AL140" i="16"/>
  <c r="AI140" i="16"/>
  <c r="AF140" i="16"/>
  <c r="AC140" i="16"/>
  <c r="Z140" i="16"/>
  <c r="W140" i="16"/>
  <c r="T140" i="16"/>
  <c r="Q140" i="16"/>
  <c r="N140" i="16"/>
  <c r="K140" i="16"/>
  <c r="H140" i="16"/>
  <c r="AO139" i="16"/>
  <c r="AL139" i="16"/>
  <c r="AI139" i="16"/>
  <c r="AF139" i="16"/>
  <c r="AC139" i="16"/>
  <c r="Z139" i="16"/>
  <c r="W139" i="16"/>
  <c r="T139" i="16"/>
  <c r="Q139" i="16"/>
  <c r="N139" i="16"/>
  <c r="K139" i="16"/>
  <c r="H139" i="16"/>
  <c r="AO138" i="16"/>
  <c r="AL138" i="16"/>
  <c r="AI138" i="16"/>
  <c r="AF138" i="16"/>
  <c r="AC138" i="16"/>
  <c r="Z138" i="16"/>
  <c r="W138" i="16"/>
  <c r="T138" i="16"/>
  <c r="Q138" i="16"/>
  <c r="N138" i="16"/>
  <c r="K138" i="16"/>
  <c r="H138" i="16"/>
  <c r="E136" i="16"/>
  <c r="AO135" i="16"/>
  <c r="AL135" i="16"/>
  <c r="AI135" i="16"/>
  <c r="AF135" i="16"/>
  <c r="AC135" i="16"/>
  <c r="Z135" i="16"/>
  <c r="W135" i="16"/>
  <c r="T135" i="16"/>
  <c r="Q135" i="16"/>
  <c r="N135" i="16"/>
  <c r="K135" i="16"/>
  <c r="H135" i="16"/>
  <c r="AO134" i="16"/>
  <c r="AL134" i="16"/>
  <c r="AI134" i="16"/>
  <c r="AF134" i="16"/>
  <c r="AC134" i="16"/>
  <c r="Z134" i="16"/>
  <c r="W134" i="16"/>
  <c r="T134" i="16"/>
  <c r="Q134" i="16"/>
  <c r="N134" i="16"/>
  <c r="K134" i="16"/>
  <c r="H134" i="16"/>
  <c r="AO133" i="16"/>
  <c r="AL133" i="16"/>
  <c r="AI133" i="16"/>
  <c r="AF133" i="16"/>
  <c r="AC133" i="16"/>
  <c r="Z133" i="16"/>
  <c r="W133" i="16"/>
  <c r="T133" i="16"/>
  <c r="Q133" i="16"/>
  <c r="N133" i="16"/>
  <c r="K133" i="16"/>
  <c r="H133" i="16"/>
  <c r="AO132" i="16"/>
  <c r="AL132" i="16"/>
  <c r="AI132" i="16"/>
  <c r="AF132" i="16"/>
  <c r="AC132" i="16"/>
  <c r="Z132" i="16"/>
  <c r="W132" i="16"/>
  <c r="T132" i="16"/>
  <c r="Q132" i="16"/>
  <c r="N132" i="16"/>
  <c r="K132" i="16"/>
  <c r="H132" i="16"/>
  <c r="E131" i="16"/>
  <c r="E130" i="16"/>
  <c r="E129" i="16"/>
  <c r="E128" i="16"/>
  <c r="AO127" i="16"/>
  <c r="AL127" i="16"/>
  <c r="AI127" i="16"/>
  <c r="AF127" i="16"/>
  <c r="AC127" i="16"/>
  <c r="Z127" i="16"/>
  <c r="W127" i="16"/>
  <c r="T127" i="16"/>
  <c r="Q127" i="16"/>
  <c r="N127" i="16"/>
  <c r="K127" i="16"/>
  <c r="H127" i="16"/>
  <c r="AO126" i="16"/>
  <c r="AL126" i="16"/>
  <c r="AI126" i="16"/>
  <c r="AF126" i="16"/>
  <c r="AC126" i="16"/>
  <c r="Z126" i="16"/>
  <c r="W126" i="16"/>
  <c r="T126" i="16"/>
  <c r="Q126" i="16"/>
  <c r="N126" i="16"/>
  <c r="K126" i="16"/>
  <c r="H126" i="16"/>
  <c r="AO125" i="16"/>
  <c r="AL125" i="16"/>
  <c r="AI125" i="16"/>
  <c r="AF125" i="16"/>
  <c r="AF137" i="16" s="1"/>
  <c r="AC125" i="16"/>
  <c r="AC137" i="16" s="1"/>
  <c r="Z125" i="16"/>
  <c r="W125" i="16"/>
  <c r="T125" i="16"/>
  <c r="Q125" i="16"/>
  <c r="N125" i="16"/>
  <c r="K125" i="16"/>
  <c r="H125" i="16"/>
  <c r="H137" i="16" s="1"/>
  <c r="E123" i="16"/>
  <c r="E122" i="16"/>
  <c r="E121" i="16"/>
  <c r="AO120" i="16"/>
  <c r="AL120" i="16"/>
  <c r="AI120" i="16"/>
  <c r="AF120" i="16"/>
  <c r="AC120" i="16"/>
  <c r="Z120" i="16"/>
  <c r="W120" i="16"/>
  <c r="T120" i="16"/>
  <c r="Q120" i="16"/>
  <c r="N120" i="16"/>
  <c r="K120" i="16"/>
  <c r="H120" i="16"/>
  <c r="AO119" i="16"/>
  <c r="AL119" i="16"/>
  <c r="AI119" i="16"/>
  <c r="AF119" i="16"/>
  <c r="AC119" i="16"/>
  <c r="Z119" i="16"/>
  <c r="W119" i="16"/>
  <c r="T119" i="16"/>
  <c r="Q119" i="16"/>
  <c r="N119" i="16"/>
  <c r="K119" i="16"/>
  <c r="H119" i="16"/>
  <c r="AO118" i="16"/>
  <c r="AL118" i="16"/>
  <c r="AI118" i="16"/>
  <c r="AF118" i="16"/>
  <c r="AC118" i="16"/>
  <c r="Z118" i="16"/>
  <c r="W118" i="16"/>
  <c r="T118" i="16"/>
  <c r="Q118" i="16"/>
  <c r="N118" i="16"/>
  <c r="K118" i="16"/>
  <c r="H118" i="16"/>
  <c r="AO117" i="16"/>
  <c r="AL117" i="16"/>
  <c r="AI117" i="16"/>
  <c r="AF117" i="16"/>
  <c r="AC117" i="16"/>
  <c r="Z117" i="16"/>
  <c r="W117" i="16"/>
  <c r="T117" i="16"/>
  <c r="Q117" i="16"/>
  <c r="N117" i="16"/>
  <c r="K117" i="16"/>
  <c r="H117" i="16"/>
  <c r="AO116" i="16"/>
  <c r="AL116" i="16"/>
  <c r="AI116" i="16"/>
  <c r="AF116" i="16"/>
  <c r="AC116" i="16"/>
  <c r="Z116" i="16"/>
  <c r="W116" i="16"/>
  <c r="T116" i="16"/>
  <c r="Q116" i="16"/>
  <c r="N116" i="16"/>
  <c r="K116" i="16"/>
  <c r="H116" i="16"/>
  <c r="AO115" i="16"/>
  <c r="AL115" i="16"/>
  <c r="AI115" i="16"/>
  <c r="AF115" i="16"/>
  <c r="AC115" i="16"/>
  <c r="Z115" i="16"/>
  <c r="W115" i="16"/>
  <c r="T115" i="16"/>
  <c r="Q115" i="16"/>
  <c r="N115" i="16"/>
  <c r="K115" i="16"/>
  <c r="H115" i="16"/>
  <c r="AO114" i="16"/>
  <c r="AL114" i="16"/>
  <c r="AI114" i="16"/>
  <c r="AF114" i="16"/>
  <c r="AC114" i="16"/>
  <c r="AC124" i="16" s="1"/>
  <c r="Z114" i="16"/>
  <c r="W114" i="16"/>
  <c r="T114" i="16"/>
  <c r="Q114" i="16"/>
  <c r="N114" i="16"/>
  <c r="K114" i="16"/>
  <c r="H114" i="16"/>
  <c r="AO106" i="16"/>
  <c r="AL106" i="16"/>
  <c r="AI106" i="16"/>
  <c r="AF106" i="16"/>
  <c r="AC106" i="16"/>
  <c r="Z106" i="16"/>
  <c r="W106" i="16"/>
  <c r="T106" i="16"/>
  <c r="Q106" i="16"/>
  <c r="N106" i="16"/>
  <c r="K106" i="16"/>
  <c r="H106" i="16"/>
  <c r="AO105" i="16"/>
  <c r="AL105" i="16"/>
  <c r="AI105" i="16"/>
  <c r="AF105" i="16"/>
  <c r="AC105" i="16"/>
  <c r="Z105" i="16"/>
  <c r="W105" i="16"/>
  <c r="T105" i="16"/>
  <c r="Q105" i="16"/>
  <c r="N105" i="16"/>
  <c r="K105" i="16"/>
  <c r="H105" i="16"/>
  <c r="AO104" i="16"/>
  <c r="AO107" i="16" s="1"/>
  <c r="AL104" i="16"/>
  <c r="AI104" i="16"/>
  <c r="AF104" i="16"/>
  <c r="AF107" i="16" s="1"/>
  <c r="AC104" i="16"/>
  <c r="Z104" i="16"/>
  <c r="W104" i="16"/>
  <c r="W107" i="16" s="1"/>
  <c r="T104" i="16"/>
  <c r="Q104" i="16"/>
  <c r="Q107" i="16" s="1"/>
  <c r="N104" i="16"/>
  <c r="N107" i="16" s="1"/>
  <c r="K104" i="16"/>
  <c r="H104" i="16"/>
  <c r="AO102" i="16"/>
  <c r="AM102" i="16"/>
  <c r="AL102" i="16"/>
  <c r="AJ102" i="16"/>
  <c r="AI102" i="16"/>
  <c r="AG102" i="16"/>
  <c r="AF102" i="16"/>
  <c r="AD102" i="16"/>
  <c r="AC102" i="16"/>
  <c r="AA102" i="16"/>
  <c r="Z102" i="16"/>
  <c r="X102" i="16"/>
  <c r="W102" i="16"/>
  <c r="U102" i="16"/>
  <c r="T102" i="16"/>
  <c r="R102" i="16"/>
  <c r="Q102" i="16"/>
  <c r="O102" i="16"/>
  <c r="N102" i="16"/>
  <c r="L102" i="16"/>
  <c r="K102" i="16"/>
  <c r="I102" i="16"/>
  <c r="H102" i="16"/>
  <c r="F102" i="16"/>
  <c r="AO98" i="16"/>
  <c r="AM98" i="16"/>
  <c r="AL98" i="16"/>
  <c r="AJ98" i="16"/>
  <c r="AI98" i="16"/>
  <c r="AG98" i="16"/>
  <c r="AF98" i="16"/>
  <c r="AD98" i="16"/>
  <c r="AC98" i="16"/>
  <c r="AA98" i="16"/>
  <c r="Z98" i="16"/>
  <c r="X98" i="16"/>
  <c r="W98" i="16"/>
  <c r="U98" i="16"/>
  <c r="T98" i="16"/>
  <c r="R98" i="16"/>
  <c r="Q98" i="16"/>
  <c r="O98" i="16"/>
  <c r="N98" i="16"/>
  <c r="L98" i="16"/>
  <c r="K98" i="16"/>
  <c r="I98" i="16"/>
  <c r="H98" i="16"/>
  <c r="F98" i="16"/>
  <c r="AO97" i="16"/>
  <c r="AM97" i="16"/>
  <c r="AL97" i="16"/>
  <c r="AJ97" i="16"/>
  <c r="AI97" i="16"/>
  <c r="AG97" i="16"/>
  <c r="AF97" i="16"/>
  <c r="AD97" i="16"/>
  <c r="AD99" i="16" s="1"/>
  <c r="AC97" i="16"/>
  <c r="AA97" i="16"/>
  <c r="Z97" i="16"/>
  <c r="X97" i="16"/>
  <c r="X99" i="16" s="1"/>
  <c r="W97" i="16"/>
  <c r="U97" i="16"/>
  <c r="T97" i="16"/>
  <c r="T99" i="16" s="1"/>
  <c r="R97" i="16"/>
  <c r="Q97" i="16"/>
  <c r="O97" i="16"/>
  <c r="N97" i="16"/>
  <c r="L97" i="16"/>
  <c r="L99" i="16" s="1"/>
  <c r="K97" i="16"/>
  <c r="I97" i="16"/>
  <c r="I99" i="16" s="1"/>
  <c r="J121" i="16" s="1"/>
  <c r="H97" i="16"/>
  <c r="F97" i="16"/>
  <c r="AO96" i="16"/>
  <c r="AL96" i="16"/>
  <c r="AI96" i="16"/>
  <c r="AF96" i="16"/>
  <c r="AC96" i="16"/>
  <c r="Z96" i="16"/>
  <c r="W96" i="16"/>
  <c r="T96" i="16"/>
  <c r="Q96" i="16"/>
  <c r="N96" i="16"/>
  <c r="K96" i="16"/>
  <c r="H96" i="16"/>
  <c r="B92" i="16"/>
  <c r="AO85" i="16"/>
  <c r="AL85" i="16"/>
  <c r="AI85" i="16"/>
  <c r="AF85" i="16"/>
  <c r="AC85" i="16"/>
  <c r="Z85" i="16"/>
  <c r="W85" i="16"/>
  <c r="T85" i="16"/>
  <c r="Q85" i="16"/>
  <c r="N85" i="16"/>
  <c r="K85" i="16"/>
  <c r="H85" i="16"/>
  <c r="E84" i="16"/>
  <c r="E83" i="16"/>
  <c r="E82" i="16"/>
  <c r="AO81" i="16"/>
  <c r="AO468" i="16" s="1"/>
  <c r="AL81" i="16"/>
  <c r="AL468" i="16" s="1"/>
  <c r="AI81" i="16"/>
  <c r="AI468" i="16" s="1"/>
  <c r="AF81" i="16"/>
  <c r="AF468" i="16" s="1"/>
  <c r="AC81" i="16"/>
  <c r="AC468" i="16" s="1"/>
  <c r="Z81" i="16"/>
  <c r="Z468" i="16" s="1"/>
  <c r="W81" i="16"/>
  <c r="W468" i="16" s="1"/>
  <c r="T81" i="16"/>
  <c r="T468" i="16" s="1"/>
  <c r="Q81" i="16"/>
  <c r="Q468" i="16" s="1"/>
  <c r="N81" i="16"/>
  <c r="N468" i="16" s="1"/>
  <c r="K81" i="16"/>
  <c r="K468" i="16" s="1"/>
  <c r="H81" i="16"/>
  <c r="H468" i="16" s="1"/>
  <c r="E80" i="16"/>
  <c r="E79" i="16"/>
  <c r="AO78" i="16"/>
  <c r="AO469" i="16" s="1"/>
  <c r="AL78" i="16"/>
  <c r="AL469" i="16" s="1"/>
  <c r="AI78" i="16"/>
  <c r="AI469" i="16" s="1"/>
  <c r="AF78" i="16"/>
  <c r="AF469" i="16" s="1"/>
  <c r="AC78" i="16"/>
  <c r="AC469" i="16" s="1"/>
  <c r="Z78" i="16"/>
  <c r="Z469" i="16" s="1"/>
  <c r="W78" i="16"/>
  <c r="W469" i="16" s="1"/>
  <c r="T78" i="16"/>
  <c r="T469" i="16" s="1"/>
  <c r="Q78" i="16"/>
  <c r="Q469" i="16" s="1"/>
  <c r="N78" i="16"/>
  <c r="N469" i="16" s="1"/>
  <c r="K78" i="16"/>
  <c r="K469" i="16" s="1"/>
  <c r="H78" i="16"/>
  <c r="H469" i="16" s="1"/>
  <c r="E74" i="16"/>
  <c r="E73" i="16"/>
  <c r="E72" i="16"/>
  <c r="AO71" i="16"/>
  <c r="AL71" i="16"/>
  <c r="AI71" i="16"/>
  <c r="AF71" i="16"/>
  <c r="AC71" i="16"/>
  <c r="Z71" i="16"/>
  <c r="W71" i="16"/>
  <c r="T71" i="16"/>
  <c r="Q71" i="16"/>
  <c r="N71" i="16"/>
  <c r="K71" i="16"/>
  <c r="H71" i="16"/>
  <c r="AO70" i="16"/>
  <c r="AL70" i="16"/>
  <c r="AI70" i="16"/>
  <c r="AF70" i="16"/>
  <c r="AC70" i="16"/>
  <c r="Z70" i="16"/>
  <c r="W70" i="16"/>
  <c r="T70" i="16"/>
  <c r="Q70" i="16"/>
  <c r="N70" i="16"/>
  <c r="K70" i="16"/>
  <c r="H70" i="16"/>
  <c r="AO69" i="16"/>
  <c r="AL69" i="16"/>
  <c r="AI69" i="16"/>
  <c r="AF69" i="16"/>
  <c r="AC69" i="16"/>
  <c r="Z69" i="16"/>
  <c r="W69" i="16"/>
  <c r="T69" i="16"/>
  <c r="Q69" i="16"/>
  <c r="N69" i="16"/>
  <c r="K69" i="16"/>
  <c r="H69" i="16"/>
  <c r="AO68" i="16"/>
  <c r="AL68" i="16"/>
  <c r="AI68" i="16"/>
  <c r="AF68" i="16"/>
  <c r="AC68" i="16"/>
  <c r="Z68" i="16"/>
  <c r="W68" i="16"/>
  <c r="T68" i="16"/>
  <c r="Q68" i="16"/>
  <c r="N68" i="16"/>
  <c r="K68" i="16"/>
  <c r="H68" i="16"/>
  <c r="AO67" i="16"/>
  <c r="AL67" i="16"/>
  <c r="AI67" i="16"/>
  <c r="AF67" i="16"/>
  <c r="AC67" i="16"/>
  <c r="Z67" i="16"/>
  <c r="W67" i="16"/>
  <c r="T67" i="16"/>
  <c r="Q67" i="16"/>
  <c r="N67" i="16"/>
  <c r="K67" i="16"/>
  <c r="H67" i="16"/>
  <c r="AO66" i="16"/>
  <c r="AL66" i="16"/>
  <c r="AI66" i="16"/>
  <c r="AF66" i="16"/>
  <c r="AC66" i="16"/>
  <c r="Z66" i="16"/>
  <c r="W66" i="16"/>
  <c r="T66" i="16"/>
  <c r="Q66" i="16"/>
  <c r="N66" i="16"/>
  <c r="K66" i="16"/>
  <c r="H66" i="16"/>
  <c r="AO65" i="16"/>
  <c r="AL65" i="16"/>
  <c r="AI65" i="16"/>
  <c r="AF65" i="16"/>
  <c r="AC65" i="16"/>
  <c r="Z65" i="16"/>
  <c r="W65" i="16"/>
  <c r="T65" i="16"/>
  <c r="Q65" i="16"/>
  <c r="N65" i="16"/>
  <c r="K65" i="16"/>
  <c r="H65" i="16"/>
  <c r="AO64" i="16"/>
  <c r="AL64" i="16"/>
  <c r="AI64" i="16"/>
  <c r="AF64" i="16"/>
  <c r="AC64" i="16"/>
  <c r="Z64" i="16"/>
  <c r="W64" i="16"/>
  <c r="T64" i="16"/>
  <c r="Q64" i="16"/>
  <c r="N64" i="16"/>
  <c r="K64" i="16"/>
  <c r="H64" i="16"/>
  <c r="AO63" i="16"/>
  <c r="AL63" i="16"/>
  <c r="AI63" i="16"/>
  <c r="AF63" i="16"/>
  <c r="AC63" i="16"/>
  <c r="Z63" i="16"/>
  <c r="W63" i="16"/>
  <c r="T63" i="16"/>
  <c r="Q63" i="16"/>
  <c r="N63" i="16"/>
  <c r="K63" i="16"/>
  <c r="H63" i="16"/>
  <c r="AO62" i="16"/>
  <c r="AL62" i="16"/>
  <c r="AI62" i="16"/>
  <c r="AF62" i="16"/>
  <c r="AC62" i="16"/>
  <c r="Z62" i="16"/>
  <c r="W62" i="16"/>
  <c r="T62" i="16"/>
  <c r="Q62" i="16"/>
  <c r="N62" i="16"/>
  <c r="K62" i="16"/>
  <c r="H62" i="16"/>
  <c r="AO61" i="16"/>
  <c r="AL61" i="16"/>
  <c r="AI61" i="16"/>
  <c r="AF61" i="16"/>
  <c r="AC61" i="16"/>
  <c r="Z61" i="16"/>
  <c r="W61" i="16"/>
  <c r="T61" i="16"/>
  <c r="Q61" i="16"/>
  <c r="N61" i="16"/>
  <c r="K61" i="16"/>
  <c r="H61" i="16"/>
  <c r="AO60" i="16"/>
  <c r="AL60" i="16"/>
  <c r="AI60" i="16"/>
  <c r="AF60" i="16"/>
  <c r="AC60" i="16"/>
  <c r="Z60" i="16"/>
  <c r="W60" i="16"/>
  <c r="T60" i="16"/>
  <c r="Q60" i="16"/>
  <c r="N60" i="16"/>
  <c r="K60" i="16"/>
  <c r="H60" i="16"/>
  <c r="AO59" i="16"/>
  <c r="AL59" i="16"/>
  <c r="AI59" i="16"/>
  <c r="AF59" i="16"/>
  <c r="AC59" i="16"/>
  <c r="Z59" i="16"/>
  <c r="W59" i="16"/>
  <c r="T59" i="16"/>
  <c r="Q59" i="16"/>
  <c r="N59" i="16"/>
  <c r="K59" i="16"/>
  <c r="H59" i="16"/>
  <c r="AO58" i="16"/>
  <c r="AL58" i="16"/>
  <c r="AI58" i="16"/>
  <c r="AF58" i="16"/>
  <c r="AC58" i="16"/>
  <c r="Z58" i="16"/>
  <c r="W58" i="16"/>
  <c r="T58" i="16"/>
  <c r="Q58" i="16"/>
  <c r="N58" i="16"/>
  <c r="K58" i="16"/>
  <c r="H58" i="16"/>
  <c r="E56" i="16"/>
  <c r="AO55" i="16"/>
  <c r="AL55" i="16"/>
  <c r="AI55" i="16"/>
  <c r="AF55" i="16"/>
  <c r="AC55" i="16"/>
  <c r="Z55" i="16"/>
  <c r="W55" i="16"/>
  <c r="T55" i="16"/>
  <c r="Q55" i="16"/>
  <c r="N55" i="16"/>
  <c r="K55" i="16"/>
  <c r="H55" i="16"/>
  <c r="AO54" i="16"/>
  <c r="AL54" i="16"/>
  <c r="AI54" i="16"/>
  <c r="AF54" i="16"/>
  <c r="AC54" i="16"/>
  <c r="Z54" i="16"/>
  <c r="W54" i="16"/>
  <c r="T54" i="16"/>
  <c r="Q54" i="16"/>
  <c r="N54" i="16"/>
  <c r="K54" i="16"/>
  <c r="H54" i="16"/>
  <c r="AO53" i="16"/>
  <c r="AL53" i="16"/>
  <c r="AI53" i="16"/>
  <c r="AF53" i="16"/>
  <c r="AC53" i="16"/>
  <c r="Z53" i="16"/>
  <c r="W53" i="16"/>
  <c r="T53" i="16"/>
  <c r="Q53" i="16"/>
  <c r="N53" i="16"/>
  <c r="K53" i="16"/>
  <c r="H53" i="16"/>
  <c r="AO52" i="16"/>
  <c r="AL52" i="16"/>
  <c r="AI52" i="16"/>
  <c r="AF52" i="16"/>
  <c r="AC52" i="16"/>
  <c r="Z52" i="16"/>
  <c r="W52" i="16"/>
  <c r="T52" i="16"/>
  <c r="Q52" i="16"/>
  <c r="N52" i="16"/>
  <c r="K52" i="16"/>
  <c r="H52" i="16"/>
  <c r="E51" i="16"/>
  <c r="E50" i="16"/>
  <c r="E49" i="16"/>
  <c r="E48" i="16"/>
  <c r="AO47" i="16"/>
  <c r="AL47" i="16"/>
  <c r="AI47" i="16"/>
  <c r="AF47" i="16"/>
  <c r="AC47" i="16"/>
  <c r="Z47" i="16"/>
  <c r="W47" i="16"/>
  <c r="T47" i="16"/>
  <c r="Q47" i="16"/>
  <c r="N47" i="16"/>
  <c r="K47" i="16"/>
  <c r="H47" i="16"/>
  <c r="AO46" i="16"/>
  <c r="AL46" i="16"/>
  <c r="AI46" i="16"/>
  <c r="AF46" i="16"/>
  <c r="AC46" i="16"/>
  <c r="Z46" i="16"/>
  <c r="W46" i="16"/>
  <c r="T46" i="16"/>
  <c r="Q46" i="16"/>
  <c r="N46" i="16"/>
  <c r="K46" i="16"/>
  <c r="H46" i="16"/>
  <c r="AO45" i="16"/>
  <c r="AL45" i="16"/>
  <c r="AI45" i="16"/>
  <c r="AF45" i="16"/>
  <c r="AC45" i="16"/>
  <c r="Z45" i="16"/>
  <c r="W45" i="16"/>
  <c r="T45" i="16"/>
  <c r="Q45" i="16"/>
  <c r="N45" i="16"/>
  <c r="K45" i="16"/>
  <c r="H45" i="16"/>
  <c r="AN43" i="16"/>
  <c r="AK43" i="16"/>
  <c r="AH43" i="16"/>
  <c r="AE43" i="16"/>
  <c r="AB43" i="16"/>
  <c r="Y43" i="16"/>
  <c r="V43" i="16"/>
  <c r="S43" i="16"/>
  <c r="P43" i="16"/>
  <c r="M43" i="16"/>
  <c r="J43" i="16"/>
  <c r="G43" i="16"/>
  <c r="E43" i="16"/>
  <c r="D43" i="16"/>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40" i="16"/>
  <c r="AL40" i="16"/>
  <c r="AI40" i="16"/>
  <c r="AF40" i="16"/>
  <c r="AC40" i="16"/>
  <c r="Z40" i="16"/>
  <c r="W40" i="16"/>
  <c r="T40" i="16"/>
  <c r="Q40" i="16"/>
  <c r="N40" i="16"/>
  <c r="K40" i="16"/>
  <c r="H40" i="16"/>
  <c r="AO39" i="16"/>
  <c r="AL39" i="16"/>
  <c r="AI39" i="16"/>
  <c r="AF39" i="16"/>
  <c r="AC39" i="16"/>
  <c r="Z39" i="16"/>
  <c r="W39" i="16"/>
  <c r="T39" i="16"/>
  <c r="Q39" i="16"/>
  <c r="N39" i="16"/>
  <c r="K39" i="16"/>
  <c r="H39" i="16"/>
  <c r="AO38" i="16"/>
  <c r="AL38" i="16"/>
  <c r="AI38" i="16"/>
  <c r="AF38" i="16"/>
  <c r="AC38" i="16"/>
  <c r="Z38" i="16"/>
  <c r="W38" i="16"/>
  <c r="T38" i="16"/>
  <c r="Q38" i="16"/>
  <c r="N38" i="16"/>
  <c r="K38" i="16"/>
  <c r="H38" i="16"/>
  <c r="AO37" i="16"/>
  <c r="AL37" i="16"/>
  <c r="AI37" i="16"/>
  <c r="AF37" i="16"/>
  <c r="AC37" i="16"/>
  <c r="Z37" i="16"/>
  <c r="W37" i="16"/>
  <c r="T37" i="16"/>
  <c r="Q37" i="16"/>
  <c r="N37" i="16"/>
  <c r="K37" i="16"/>
  <c r="H37" i="16"/>
  <c r="AO36" i="16"/>
  <c r="AL36" i="16"/>
  <c r="AI36" i="16"/>
  <c r="AF36" i="16"/>
  <c r="AC36" i="16"/>
  <c r="Z36" i="16"/>
  <c r="W36" i="16"/>
  <c r="T36" i="16"/>
  <c r="Q36" i="16"/>
  <c r="N36" i="16"/>
  <c r="K36" i="16"/>
  <c r="H36" i="16"/>
  <c r="AO35" i="16"/>
  <c r="AL35" i="16"/>
  <c r="AI35" i="16"/>
  <c r="AF35" i="16"/>
  <c r="AC35" i="16"/>
  <c r="Z35" i="16"/>
  <c r="W35" i="16"/>
  <c r="T35" i="16"/>
  <c r="Q35" i="16"/>
  <c r="N35" i="16"/>
  <c r="K35" i="16"/>
  <c r="H35" i="16"/>
  <c r="AO34" i="16"/>
  <c r="AL34" i="16"/>
  <c r="AI34" i="16"/>
  <c r="AF34" i="16"/>
  <c r="AC34" i="16"/>
  <c r="Z34" i="16"/>
  <c r="W34" i="16"/>
  <c r="T34" i="16"/>
  <c r="Q34" i="16"/>
  <c r="N34" i="16"/>
  <c r="K34" i="16"/>
  <c r="H34" i="16"/>
  <c r="AO26" i="16"/>
  <c r="AL26" i="16"/>
  <c r="AI26" i="16"/>
  <c r="AF26" i="16"/>
  <c r="AC26" i="16"/>
  <c r="Z26" i="16"/>
  <c r="W26" i="16"/>
  <c r="T26" i="16"/>
  <c r="Q26" i="16"/>
  <c r="N26" i="16"/>
  <c r="K26" i="16"/>
  <c r="H26" i="16"/>
  <c r="AO25" i="16"/>
  <c r="AL25" i="16"/>
  <c r="AI25" i="16"/>
  <c r="AF25" i="16"/>
  <c r="AC25" i="16"/>
  <c r="Z25" i="16"/>
  <c r="W25" i="16"/>
  <c r="T25" i="16"/>
  <c r="Q25" i="16"/>
  <c r="N25" i="16"/>
  <c r="K25" i="16"/>
  <c r="H25" i="16"/>
  <c r="AO24" i="16"/>
  <c r="AO27" i="16" s="1"/>
  <c r="AM35" i="16" s="1"/>
  <c r="AL24" i="16"/>
  <c r="AI24" i="16"/>
  <c r="AI27" i="16" s="1"/>
  <c r="AF24" i="16"/>
  <c r="AC24" i="16"/>
  <c r="Z24" i="16"/>
  <c r="W24" i="16"/>
  <c r="T24" i="16"/>
  <c r="T27" i="16" s="1"/>
  <c r="R35" i="16" s="1"/>
  <c r="Q24" i="16"/>
  <c r="Q27" i="16" s="1"/>
  <c r="O35" i="16" s="1"/>
  <c r="N24" i="16"/>
  <c r="K24" i="16"/>
  <c r="K27" i="16" s="1"/>
  <c r="H24" i="16"/>
  <c r="AO22" i="16"/>
  <c r="AL22" i="16"/>
  <c r="AI22" i="16"/>
  <c r="AF22" i="16"/>
  <c r="AC22" i="16"/>
  <c r="Z22" i="16"/>
  <c r="W22" i="16"/>
  <c r="T22" i="16"/>
  <c r="Q22" i="16"/>
  <c r="N22" i="16"/>
  <c r="K22" i="16"/>
  <c r="H22" i="16"/>
  <c r="AO20" i="16"/>
  <c r="AM20" i="16"/>
  <c r="AL20" i="16"/>
  <c r="AJ20" i="16"/>
  <c r="AI20" i="16"/>
  <c r="AG20" i="16"/>
  <c r="AF20" i="16"/>
  <c r="AD20" i="16"/>
  <c r="AC20" i="16"/>
  <c r="AA20" i="16"/>
  <c r="Z20" i="16"/>
  <c r="X20" i="16"/>
  <c r="W20" i="16"/>
  <c r="U20" i="16"/>
  <c r="T20" i="16"/>
  <c r="R20" i="16"/>
  <c r="Q20" i="16"/>
  <c r="O20" i="16"/>
  <c r="N20" i="16"/>
  <c r="L20" i="16"/>
  <c r="K20" i="16"/>
  <c r="I20" i="16"/>
  <c r="H20" i="16"/>
  <c r="F20" i="16"/>
  <c r="G20" i="16" s="1"/>
  <c r="AO18" i="16"/>
  <c r="AM18" i="16"/>
  <c r="AL18" i="16"/>
  <c r="AJ18" i="16"/>
  <c r="AI18" i="16"/>
  <c r="AG18" i="16"/>
  <c r="AF18" i="16"/>
  <c r="AD18" i="16"/>
  <c r="AC18" i="16"/>
  <c r="AA18" i="16"/>
  <c r="Z18" i="16"/>
  <c r="X18" i="16"/>
  <c r="W18" i="16"/>
  <c r="U18" i="16"/>
  <c r="T18" i="16"/>
  <c r="R18" i="16"/>
  <c r="Q18" i="16"/>
  <c r="O18" i="16"/>
  <c r="N18" i="16"/>
  <c r="L18" i="16"/>
  <c r="K18" i="16"/>
  <c r="I18" i="16"/>
  <c r="H18" i="16"/>
  <c r="F18"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AO10" i="16"/>
  <c r="AM10" i="16"/>
  <c r="AL10" i="16"/>
  <c r="AJ10" i="16"/>
  <c r="AI10" i="16"/>
  <c r="AG10" i="16"/>
  <c r="AF10" i="16"/>
  <c r="AD10" i="16"/>
  <c r="AC10" i="16"/>
  <c r="AA10" i="16"/>
  <c r="Z10" i="16"/>
  <c r="X10" i="16"/>
  <c r="W10" i="16"/>
  <c r="U10" i="16"/>
  <c r="T10" i="16"/>
  <c r="R10" i="16"/>
  <c r="Q10" i="16"/>
  <c r="O10" i="16"/>
  <c r="N10" i="16"/>
  <c r="L10" i="16"/>
  <c r="K10" i="16"/>
  <c r="I10" i="16"/>
  <c r="H10" i="16"/>
  <c r="F10" i="16"/>
  <c r="AO9" i="16"/>
  <c r="AM9" i="16"/>
  <c r="AL9" i="16"/>
  <c r="AJ9" i="16"/>
  <c r="AI9" i="16"/>
  <c r="AG9" i="16"/>
  <c r="AF9" i="16"/>
  <c r="AD9" i="16"/>
  <c r="AC9" i="16"/>
  <c r="AA9" i="16"/>
  <c r="Z9" i="16"/>
  <c r="X9" i="16"/>
  <c r="W9" i="16"/>
  <c r="U9" i="16"/>
  <c r="U16" i="16" s="1"/>
  <c r="T9" i="16"/>
  <c r="T16" i="16" s="1"/>
  <c r="R9" i="16"/>
  <c r="Q9" i="16"/>
  <c r="O9" i="16"/>
  <c r="N9" i="16"/>
  <c r="L9" i="16"/>
  <c r="L16" i="16" s="1"/>
  <c r="K9" i="16"/>
  <c r="I9" i="16"/>
  <c r="H9" i="16"/>
  <c r="F9" i="16"/>
  <c r="AO8" i="16"/>
  <c r="AL8" i="16"/>
  <c r="AI8" i="16"/>
  <c r="AF8" i="16"/>
  <c r="AC8" i="16"/>
  <c r="Z8" i="16"/>
  <c r="W8" i="16"/>
  <c r="T8" i="16"/>
  <c r="Q8" i="16"/>
  <c r="N8" i="16"/>
  <c r="K8" i="16"/>
  <c r="AI478" i="16" l="1"/>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X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97" i="16"/>
  <c r="K107" i="16"/>
  <c r="AI107" i="16"/>
  <c r="W124" i="16"/>
  <c r="E133" i="16"/>
  <c r="E143" i="16"/>
  <c r="E151" i="16"/>
  <c r="M307" i="16"/>
  <c r="E328" i="16"/>
  <c r="AL408" i="16"/>
  <c r="AL410" i="16"/>
  <c r="AL412" i="16"/>
  <c r="N414" i="16"/>
  <c r="M414" i="16" s="1"/>
  <c r="N421" i="16"/>
  <c r="N428" i="16"/>
  <c r="H27" i="16"/>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E16" i="16" s="1"/>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J10" i="16"/>
  <c r="AF16" i="16"/>
  <c r="AF30" i="16" s="1"/>
  <c r="S18" i="16"/>
  <c r="AE18" i="16"/>
  <c r="S20" i="16"/>
  <c r="Z408" i="16"/>
  <c r="Y408" i="16" s="1"/>
  <c r="N409" i="16"/>
  <c r="AL409" i="16"/>
  <c r="Z410" i="16"/>
  <c r="N411" i="16"/>
  <c r="M411" i="16" s="1"/>
  <c r="AL411" i="16"/>
  <c r="AK411" i="16" s="1"/>
  <c r="Z412" i="16"/>
  <c r="N413" i="16"/>
  <c r="AL413" i="16"/>
  <c r="AK413" i="16" s="1"/>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E102" i="16"/>
  <c r="Z107" i="16"/>
  <c r="Q137" i="16"/>
  <c r="AO137" i="16"/>
  <c r="E148" i="16"/>
  <c r="Y176" i="16"/>
  <c r="AO175" i="16"/>
  <c r="N181" i="16"/>
  <c r="V182" i="16"/>
  <c r="AL181" i="16"/>
  <c r="T191" i="16"/>
  <c r="N212" i="16"/>
  <c r="AL212" i="16"/>
  <c r="E216" i="16"/>
  <c r="E218" i="16"/>
  <c r="E224" i="16"/>
  <c r="E256" i="16"/>
  <c r="E258" i="16"/>
  <c r="E274" i="16"/>
  <c r="U304" i="16"/>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AK16" i="16" s="1"/>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AN137" i="16" s="1"/>
  <c r="Y98" i="16"/>
  <c r="S102" i="16"/>
  <c r="AL107" i="16"/>
  <c r="H124" i="16"/>
  <c r="T124" i="16"/>
  <c r="S124" i="16" s="1"/>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Z187" i="16"/>
  <c r="AD187" i="16"/>
  <c r="AE188" i="16" s="1"/>
  <c r="AH187" i="16"/>
  <c r="AH196" i="16" s="1"/>
  <c r="AL187" i="16"/>
  <c r="N175" i="16"/>
  <c r="E215" i="16"/>
  <c r="Q243" i="16"/>
  <c r="N267" i="16"/>
  <c r="Z267" i="16"/>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Q267" i="16"/>
  <c r="P267" i="16" s="1"/>
  <c r="AC267" i="16"/>
  <c r="AB267" i="16" s="1"/>
  <c r="AO267" i="16"/>
  <c r="AN267" i="16" s="1"/>
  <c r="E263" i="16"/>
  <c r="N285" i="16"/>
  <c r="M285" i="16" s="1"/>
  <c r="Z285" i="16"/>
  <c r="Y285" i="16" s="1"/>
  <c r="AL285" i="16"/>
  <c r="AK285" i="16" s="1"/>
  <c r="E278" i="16"/>
  <c r="I304" i="16"/>
  <c r="L304" i="16"/>
  <c r="L309" i="16" s="1"/>
  <c r="V296" i="16"/>
  <c r="S297" i="16"/>
  <c r="AB297" i="16"/>
  <c r="AE298" i="16"/>
  <c r="P299" i="16"/>
  <c r="AK299" i="16"/>
  <c r="AH300" i="16"/>
  <c r="J307" i="16"/>
  <c r="AE307" i="16"/>
  <c r="AN307" i="16"/>
  <c r="P308" i="16"/>
  <c r="Y308" i="16"/>
  <c r="E320" i="16"/>
  <c r="T330" i="16"/>
  <c r="AF330" i="16"/>
  <c r="E334" i="16"/>
  <c r="E335" i="16"/>
  <c r="E455" i="16"/>
  <c r="D9" i="16"/>
  <c r="AH25" i="16"/>
  <c r="AH16" i="16"/>
  <c r="AG30" i="16"/>
  <c r="AH26" i="16"/>
  <c r="AH24" i="16"/>
  <c r="I34" i="16"/>
  <c r="K30" i="16"/>
  <c r="AG34" i="16"/>
  <c r="AI30" i="16"/>
  <c r="AN25" i="16"/>
  <c r="AM30" i="16"/>
  <c r="AN26" i="16"/>
  <c r="AN24" i="16"/>
  <c r="S26" i="16"/>
  <c r="S24" i="16"/>
  <c r="S16" i="16"/>
  <c r="R27" i="16"/>
  <c r="S34" i="16" s="1"/>
  <c r="R30" i="16"/>
  <c r="S30" i="16" s="1"/>
  <c r="S25" i="16"/>
  <c r="U27" i="16"/>
  <c r="V37" i="16" s="1"/>
  <c r="F35" i="16"/>
  <c r="H8" i="16"/>
  <c r="E8" i="16" s="1"/>
  <c r="V25" i="16"/>
  <c r="U30" i="16"/>
  <c r="V26" i="16"/>
  <c r="V24" i="16"/>
  <c r="V124" i="16"/>
  <c r="AG27" i="16"/>
  <c r="AH36" i="16" s="1"/>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22" i="16"/>
  <c r="AK119" i="16"/>
  <c r="AK117" i="16"/>
  <c r="AK115" i="16"/>
  <c r="AK105" i="16"/>
  <c r="AK123" i="16"/>
  <c r="AK121" i="16"/>
  <c r="AK120" i="16"/>
  <c r="AK118" i="16"/>
  <c r="AK116" i="16"/>
  <c r="AK114" i="16"/>
  <c r="AJ107"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K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99" i="16"/>
  <c r="Y123" i="16"/>
  <c r="Y121" i="16"/>
  <c r="Y120" i="16"/>
  <c r="Y118" i="16"/>
  <c r="Y116" i="16"/>
  <c r="Y114" i="16"/>
  <c r="X107" i="16"/>
  <c r="AG99" i="16"/>
  <c r="AH410" i="16" s="1"/>
  <c r="AH97" i="16"/>
  <c r="AL99" i="16"/>
  <c r="AL110" i="16" s="1"/>
  <c r="E98" i="16"/>
  <c r="M98" i="16"/>
  <c r="AK98" i="16"/>
  <c r="AE99" i="16"/>
  <c r="G102" i="16"/>
  <c r="AE102" i="16"/>
  <c r="X110" i="16"/>
  <c r="N124" i="16"/>
  <c r="Z124" i="16"/>
  <c r="AL124" i="16"/>
  <c r="E119" i="16"/>
  <c r="AN122" i="16"/>
  <c r="E126" i="16"/>
  <c r="H155" i="16"/>
  <c r="E138" i="16"/>
  <c r="T155" i="16"/>
  <c r="AF155" i="16"/>
  <c r="AE155" i="16" s="1"/>
  <c r="K196" i="16"/>
  <c r="J212" i="16" s="1"/>
  <c r="W188" i="16"/>
  <c r="W196" i="16"/>
  <c r="V230" i="16" s="1"/>
  <c r="AI196" i="16"/>
  <c r="AH267" i="16"/>
  <c r="AK408" i="16"/>
  <c r="V410" i="16"/>
  <c r="AN410" i="16"/>
  <c r="V412"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V35" i="16"/>
  <c r="Y409" i="16"/>
  <c r="AH35" i="16"/>
  <c r="AK409" i="16"/>
  <c r="V36" i="16"/>
  <c r="M37" i="16"/>
  <c r="AK37" i="16"/>
  <c r="V38" i="16"/>
  <c r="M39" i="16"/>
  <c r="Y39" i="16"/>
  <c r="V40"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10" i="16" s="1"/>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S330" i="16"/>
  <c r="H107" i="16"/>
  <c r="K165" i="16"/>
  <c r="C177" i="16"/>
  <c r="M179" i="16"/>
  <c r="Q178" i="16"/>
  <c r="Y179" i="16"/>
  <c r="AC178" i="16"/>
  <c r="AK179" i="16"/>
  <c r="AO178" i="16"/>
  <c r="Z178" i="16"/>
  <c r="J179" i="16"/>
  <c r="H181" i="16"/>
  <c r="E180" i="16"/>
  <c r="E181" i="16" s="1"/>
  <c r="E186" i="16"/>
  <c r="N230" i="16"/>
  <c r="Z230" i="16"/>
  <c r="Z232" i="16" s="1"/>
  <c r="AL230" i="16"/>
  <c r="M267" i="16"/>
  <c r="Y267" i="16"/>
  <c r="AK267" i="16"/>
  <c r="V330" i="16"/>
  <c r="K474" i="16"/>
  <c r="K479" i="16" s="1"/>
  <c r="E160" i="16"/>
  <c r="E174" i="16"/>
  <c r="I187" i="16"/>
  <c r="M187" i="16"/>
  <c r="Q187" i="16"/>
  <c r="U187" i="16"/>
  <c r="V188" i="16" s="1"/>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479" i="16" s="1"/>
  <c r="Q165" i="16"/>
  <c r="AC472" i="16"/>
  <c r="AC479" i="16" s="1"/>
  <c r="AC165" i="16"/>
  <c r="AO472" i="16"/>
  <c r="AO479" i="16" s="1"/>
  <c r="AO165" i="16"/>
  <c r="F187" i="16"/>
  <c r="C174" i="16"/>
  <c r="J187" i="16"/>
  <c r="K188" i="16" s="1"/>
  <c r="D174" i="16"/>
  <c r="Z196" i="16"/>
  <c r="AL196" i="16"/>
  <c r="AK212" i="16" s="1"/>
  <c r="M176" i="16"/>
  <c r="N178" i="16"/>
  <c r="AL178" i="16"/>
  <c r="G185" i="16"/>
  <c r="D183" i="16"/>
  <c r="E190" i="16"/>
  <c r="K191" i="16"/>
  <c r="V196" i="16"/>
  <c r="E202" i="16"/>
  <c r="E203" i="16"/>
  <c r="E210" i="16"/>
  <c r="H230" i="16"/>
  <c r="T230" i="16"/>
  <c r="AF230" i="16"/>
  <c r="E214" i="16"/>
  <c r="E255" i="16"/>
  <c r="H267" i="16"/>
  <c r="AE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I309" i="16"/>
  <c r="O304" i="16"/>
  <c r="P295" i="16"/>
  <c r="Z304" i="16"/>
  <c r="Z309" i="16" s="1"/>
  <c r="Z314" i="16" s="1"/>
  <c r="E297" i="16"/>
  <c r="G298" i="16"/>
  <c r="C298" i="16"/>
  <c r="C300" i="16"/>
  <c r="M300" i="16"/>
  <c r="AF304" i="16"/>
  <c r="AF309" i="16" s="1"/>
  <c r="AF314" i="16" s="1"/>
  <c r="P330" i="16"/>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U309" i="16"/>
  <c r="V304" i="16"/>
  <c r="AA304" i="16"/>
  <c r="AB295" i="16"/>
  <c r="AL304" i="16"/>
  <c r="AL309" i="16" s="1"/>
  <c r="AL314" i="16" s="1"/>
  <c r="C296" i="16"/>
  <c r="M296" i="16"/>
  <c r="G300" i="16"/>
  <c r="E300" i="16"/>
  <c r="M308" i="16"/>
  <c r="E308" i="16"/>
  <c r="E319" i="16"/>
  <c r="E331" i="16"/>
  <c r="H348" i="16"/>
  <c r="T348" i="16"/>
  <c r="S348" i="16" s="1"/>
  <c r="AF348" i="16"/>
  <c r="G376" i="16"/>
  <c r="H396" i="16"/>
  <c r="AE376" i="16"/>
  <c r="AF396" i="16"/>
  <c r="AE396" i="16" s="1"/>
  <c r="E318" i="16"/>
  <c r="K348" i="16"/>
  <c r="K350" i="16" s="1"/>
  <c r="J350" i="16" s="1"/>
  <c r="W348" i="16"/>
  <c r="V348" i="16" s="1"/>
  <c r="AI348" i="16"/>
  <c r="E341" i="16"/>
  <c r="V394" i="16"/>
  <c r="M295" i="16"/>
  <c r="Y295" i="16"/>
  <c r="AK295" i="16"/>
  <c r="C307" i="16"/>
  <c r="E376" i="16"/>
  <c r="P394" i="16"/>
  <c r="AN394" i="16"/>
  <c r="E419" i="16"/>
  <c r="Q348" i="16"/>
  <c r="P348" i="16" s="1"/>
  <c r="AC348" i="16"/>
  <c r="AO348" i="16"/>
  <c r="E451" i="16"/>
  <c r="K464" i="16"/>
  <c r="N464" i="16"/>
  <c r="Z464" i="16"/>
  <c r="AL464" i="16"/>
  <c r="E470" i="16"/>
  <c r="M34" i="16" l="1"/>
  <c r="AO30" i="16"/>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AE30" i="16" s="1"/>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Q466" i="16" s="1"/>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AN77" i="16" s="1"/>
  <c r="AN44"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406" i="16" s="1"/>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D75" i="16" s="1"/>
  <c r="AI77" i="16"/>
  <c r="AH77" i="16" s="1"/>
  <c r="AH44" i="16"/>
  <c r="AI197" i="16"/>
  <c r="AI234" i="16"/>
  <c r="W197" i="16"/>
  <c r="K234" i="16"/>
  <c r="T157" i="16"/>
  <c r="G155"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G157" i="16" s="1"/>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G232" i="16" s="1"/>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AN57" i="16"/>
  <c r="Z77" i="16"/>
  <c r="S412" i="16"/>
  <c r="H418" i="16"/>
  <c r="Q77" i="16"/>
  <c r="J414" i="16"/>
  <c r="AK110" i="16"/>
  <c r="E99" i="16"/>
  <c r="AN75" i="16"/>
  <c r="AH39" i="16"/>
  <c r="AH37" i="16"/>
  <c r="AH408" i="16"/>
  <c r="J408" i="16"/>
  <c r="AH304" i="16"/>
  <c r="AO287" i="16"/>
  <c r="Q287" i="16"/>
  <c r="V212" i="16"/>
  <c r="AL232" i="16"/>
  <c r="AK232" i="16" s="1"/>
  <c r="N232" i="16"/>
  <c r="M232" i="16" s="1"/>
  <c r="E472" i="16"/>
  <c r="AF167"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AE27" i="16"/>
  <c r="AE40" i="16"/>
  <c r="AE35" i="16"/>
  <c r="W157" i="16"/>
  <c r="K406" i="16"/>
  <c r="AH30" i="16"/>
  <c r="C16" i="16"/>
  <c r="D57" i="16" l="1"/>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AM450" i="16"/>
  <c r="P75" i="16"/>
  <c r="F464" i="16"/>
  <c r="F432"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79" i="16"/>
  <c r="F450" i="16"/>
  <c r="Z405" i="16"/>
  <c r="Y314" i="16"/>
  <c r="AC234" i="16"/>
  <c r="AC197" i="16"/>
  <c r="AB212" i="16"/>
  <c r="AC406" i="16"/>
  <c r="AA466" i="16" s="1"/>
  <c r="AB230" i="16"/>
  <c r="E350" i="16"/>
  <c r="D330" i="16"/>
  <c r="AH157" i="16"/>
  <c r="AI167" i="16"/>
  <c r="AN157" i="16"/>
  <c r="AO167" i="16"/>
  <c r="AN287" i="16"/>
  <c r="AO289" i="16"/>
  <c r="H466" i="16"/>
  <c r="F466" i="16" s="1"/>
  <c r="F418" i="16"/>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I481" i="16" l="1"/>
  <c r="D110" i="16"/>
  <c r="L466" i="16"/>
  <c r="L464" i="16"/>
  <c r="R466" i="16"/>
  <c r="L432" i="16"/>
  <c r="E466" i="16"/>
  <c r="AO481" i="16"/>
  <c r="AO487" i="16" s="1"/>
  <c r="J481" i="16"/>
  <c r="AJ450" i="16"/>
  <c r="Z481" i="16"/>
  <c r="O466" i="16"/>
  <c r="N481" i="16"/>
  <c r="N487" i="16" s="1"/>
  <c r="AM464" i="16"/>
  <c r="AM466" i="16"/>
  <c r="AM432" i="16"/>
  <c r="AM418" i="16"/>
  <c r="X466" i="16"/>
  <c r="AL481" i="16"/>
  <c r="L479" i="16"/>
  <c r="M481" i="16"/>
  <c r="D157" i="16"/>
  <c r="O464" i="16"/>
  <c r="Q481" i="16"/>
  <c r="Q487" i="16" s="1"/>
  <c r="O418" i="16"/>
  <c r="O450" i="16"/>
  <c r="X479" i="16"/>
  <c r="X464" i="16"/>
  <c r="X418" i="16"/>
  <c r="X450" i="16"/>
  <c r="O432" i="16"/>
  <c r="X432" i="16"/>
  <c r="AJ479" i="16"/>
  <c r="AJ418" i="16"/>
  <c r="AJ432" i="16"/>
  <c r="AJ464" i="16"/>
  <c r="AB314" i="16"/>
  <c r="AC405" i="16"/>
  <c r="AL487" i="16"/>
  <c r="AE314" i="16"/>
  <c r="AF405" i="16"/>
  <c r="E167" i="16"/>
  <c r="D137" i="16"/>
  <c r="E406" i="16"/>
  <c r="C466" i="16" s="1"/>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Y481" i="16"/>
  <c r="E234" i="16"/>
  <c r="E197" i="16"/>
  <c r="D230" i="16"/>
  <c r="AC481" i="16"/>
  <c r="AA464" i="16"/>
  <c r="AA450" i="16"/>
  <c r="AA418" i="16"/>
  <c r="AA432" i="16"/>
  <c r="AA479" i="16"/>
  <c r="AI487" i="16"/>
  <c r="AH481" i="16"/>
  <c r="AN314" i="16"/>
  <c r="AO405" i="16"/>
  <c r="AK314" i="16"/>
  <c r="AL405" i="16"/>
  <c r="AK481" i="16" s="1"/>
  <c r="D77" i="16"/>
  <c r="E88" i="16"/>
  <c r="K496" i="16"/>
  <c r="J496" i="16" s="1"/>
  <c r="J487" i="16"/>
  <c r="D418" i="16"/>
  <c r="E289" i="16"/>
  <c r="P314" i="16"/>
  <c r="Q405" i="16"/>
  <c r="AD466" i="16"/>
  <c r="D232" i="16"/>
  <c r="H481" i="16"/>
  <c r="AN481" i="16" l="1"/>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7" i="5" l="1"/>
  <c r="X697" i="5" s="1"/>
  <c r="E492" i="15"/>
  <c r="E491" i="15"/>
  <c r="B483" i="15"/>
  <c r="E477" i="15"/>
  <c r="E476" i="15"/>
  <c r="E475" i="15"/>
  <c r="AO471" i="15"/>
  <c r="AL471" i="15"/>
  <c r="AI471" i="15"/>
  <c r="AF471" i="15"/>
  <c r="AC471" i="15"/>
  <c r="Z471" i="15"/>
  <c r="W471" i="15"/>
  <c r="T471" i="15"/>
  <c r="Q471" i="15"/>
  <c r="N471" i="15"/>
  <c r="K471" i="15"/>
  <c r="H471" i="15"/>
  <c r="AO470" i="15"/>
  <c r="AL470" i="15"/>
  <c r="AI470" i="15"/>
  <c r="AF470" i="15"/>
  <c r="AC470" i="15"/>
  <c r="Z470" i="15"/>
  <c r="W470" i="15"/>
  <c r="T470" i="15"/>
  <c r="Q470" i="15"/>
  <c r="N470" i="15"/>
  <c r="K470" i="15"/>
  <c r="H470" i="15"/>
  <c r="E467" i="15"/>
  <c r="E463" i="15"/>
  <c r="E462" i="15"/>
  <c r="E461" i="15"/>
  <c r="E460" i="15"/>
  <c r="E454" i="15"/>
  <c r="AL464" i="15"/>
  <c r="T464" i="15"/>
  <c r="N464" i="15"/>
  <c r="B401" i="15"/>
  <c r="AO394" i="15"/>
  <c r="AL394" i="15"/>
  <c r="AK394" i="15" s="1"/>
  <c r="AI394" i="15"/>
  <c r="AH394" i="15" s="1"/>
  <c r="AF394" i="15"/>
  <c r="AC394" i="15"/>
  <c r="AB394" i="15" s="1"/>
  <c r="Z394" i="15"/>
  <c r="Y394" i="15" s="1"/>
  <c r="W394" i="15"/>
  <c r="V394" i="15" s="1"/>
  <c r="T394" i="15"/>
  <c r="Q394" i="15"/>
  <c r="P394" i="15" s="1"/>
  <c r="N394" i="15"/>
  <c r="M394" i="15" s="1"/>
  <c r="K394" i="15"/>
  <c r="J394" i="15" s="1"/>
  <c r="H394" i="15"/>
  <c r="E393" i="15"/>
  <c r="E392" i="15"/>
  <c r="E391" i="15"/>
  <c r="E390" i="15"/>
  <c r="E389" i="15"/>
  <c r="E388" i="15"/>
  <c r="E387" i="15"/>
  <c r="E386" i="15"/>
  <c r="E385" i="15"/>
  <c r="E384" i="15"/>
  <c r="E383" i="15"/>
  <c r="E382" i="15"/>
  <c r="E381" i="15"/>
  <c r="E380" i="15"/>
  <c r="E379" i="15"/>
  <c r="E378" i="15"/>
  <c r="E377" i="15"/>
  <c r="AO376" i="15"/>
  <c r="AN376" i="15" s="1"/>
  <c r="AL376" i="15"/>
  <c r="AI376" i="15"/>
  <c r="AF376" i="15"/>
  <c r="AE376" i="15" s="1"/>
  <c r="AC376" i="15"/>
  <c r="AB376" i="15" s="1"/>
  <c r="Z376" i="15"/>
  <c r="W376" i="15"/>
  <c r="T376" i="15"/>
  <c r="S376" i="15" s="1"/>
  <c r="Q376" i="15"/>
  <c r="P376" i="15" s="1"/>
  <c r="N376" i="15"/>
  <c r="K376" i="15"/>
  <c r="H376" i="15"/>
  <c r="G376" i="15" s="1"/>
  <c r="E375" i="15"/>
  <c r="E374" i="15"/>
  <c r="E373" i="15"/>
  <c r="E372" i="15"/>
  <c r="E371" i="15"/>
  <c r="E370" i="15"/>
  <c r="E369" i="15"/>
  <c r="E368" i="15"/>
  <c r="E367" i="15"/>
  <c r="E366" i="15"/>
  <c r="E365" i="15"/>
  <c r="E364"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T361" i="15"/>
  <c r="R361" i="15"/>
  <c r="Q361" i="15"/>
  <c r="O361" i="15"/>
  <c r="P361" i="15" s="1"/>
  <c r="N361" i="15"/>
  <c r="L361" i="15"/>
  <c r="M361" i="15" s="1"/>
  <c r="K361" i="15"/>
  <c r="I361" i="15"/>
  <c r="J361" i="15" s="1"/>
  <c r="H361" i="15"/>
  <c r="F361" i="15"/>
  <c r="G361" i="15" s="1"/>
  <c r="AN359" i="15"/>
  <c r="AK359" i="15"/>
  <c r="AH359" i="15"/>
  <c r="AE359" i="15"/>
  <c r="AB359" i="15"/>
  <c r="Y359" i="15"/>
  <c r="V359" i="15"/>
  <c r="S359" i="15"/>
  <c r="P359" i="15"/>
  <c r="M359" i="15"/>
  <c r="J359" i="15"/>
  <c r="G359" i="15"/>
  <c r="E359" i="15"/>
  <c r="E361" i="15" s="1"/>
  <c r="C359" i="15"/>
  <c r="C361" i="15" s="1"/>
  <c r="D361" i="15" s="1"/>
  <c r="E347" i="15"/>
  <c r="E346" i="15"/>
  <c r="E345" i="15"/>
  <c r="E333" i="15"/>
  <c r="AF348" i="15"/>
  <c r="H348" i="15"/>
  <c r="E329" i="15"/>
  <c r="E324" i="15"/>
  <c r="E323" i="15"/>
  <c r="E322" i="15"/>
  <c r="E321" i="15"/>
  <c r="AC330" i="15"/>
  <c r="AN312" i="15"/>
  <c r="AK312" i="15"/>
  <c r="AH312" i="15"/>
  <c r="AE312" i="15"/>
  <c r="AB312" i="15"/>
  <c r="Y312" i="15"/>
  <c r="V312" i="15"/>
  <c r="S312" i="15"/>
  <c r="P312" i="15"/>
  <c r="M312" i="15"/>
  <c r="J312" i="15"/>
  <c r="G312" i="15"/>
  <c r="D312" i="15"/>
  <c r="AN308" i="15"/>
  <c r="AK308" i="15"/>
  <c r="AH308" i="15"/>
  <c r="AB308" i="15"/>
  <c r="V308" i="15"/>
  <c r="M308" i="15"/>
  <c r="G308" i="15"/>
  <c r="AH307" i="15"/>
  <c r="AE307" i="15"/>
  <c r="Y307" i="15"/>
  <c r="V307" i="15"/>
  <c r="P307" i="15"/>
  <c r="AN303" i="15"/>
  <c r="AK303" i="15"/>
  <c r="AH303" i="15"/>
  <c r="AE303" i="15"/>
  <c r="AB303" i="15"/>
  <c r="Y303" i="15"/>
  <c r="V303" i="15"/>
  <c r="S303" i="15"/>
  <c r="P303" i="15"/>
  <c r="M303" i="15"/>
  <c r="J303" i="15"/>
  <c r="G303" i="15"/>
  <c r="C303" i="15"/>
  <c r="D303" i="15" s="1"/>
  <c r="AN302" i="15"/>
  <c r="AK302" i="15"/>
  <c r="AH302" i="15"/>
  <c r="AE302" i="15"/>
  <c r="AB302" i="15"/>
  <c r="Y302" i="15"/>
  <c r="V302" i="15"/>
  <c r="S302" i="15"/>
  <c r="P302" i="15"/>
  <c r="M302" i="15"/>
  <c r="J302" i="15"/>
  <c r="G302" i="15"/>
  <c r="C302" i="15"/>
  <c r="D302" i="15" s="1"/>
  <c r="AN301" i="15"/>
  <c r="AK301" i="15"/>
  <c r="AH301" i="15"/>
  <c r="AE301" i="15"/>
  <c r="AB301" i="15"/>
  <c r="Y301" i="15"/>
  <c r="V301" i="15"/>
  <c r="S301" i="15"/>
  <c r="P301" i="15"/>
  <c r="M301" i="15"/>
  <c r="J301" i="15"/>
  <c r="G301" i="15"/>
  <c r="E301" i="15"/>
  <c r="C301" i="15"/>
  <c r="D301" i="15" s="1"/>
  <c r="AE300" i="15"/>
  <c r="M300" i="15"/>
  <c r="AN299" i="15"/>
  <c r="AH299" i="15"/>
  <c r="AB299" i="15"/>
  <c r="V299" i="15"/>
  <c r="S299" i="15"/>
  <c r="J299" i="15"/>
  <c r="AK298" i="15"/>
  <c r="AB298" i="15"/>
  <c r="Y298" i="15"/>
  <c r="S298" i="15"/>
  <c r="M298" i="15"/>
  <c r="AH297" i="15"/>
  <c r="AB297" i="15"/>
  <c r="S297" i="15"/>
  <c r="AK296" i="15"/>
  <c r="AH296" i="15"/>
  <c r="AE296" i="15"/>
  <c r="S296" i="15"/>
  <c r="AN295" i="15"/>
  <c r="Y295" i="15"/>
  <c r="J295" i="15"/>
  <c r="B291" i="15"/>
  <c r="B355" i="15" s="1"/>
  <c r="E284" i="15"/>
  <c r="E283" i="15"/>
  <c r="E282" i="15"/>
  <c r="AL285" i="15"/>
  <c r="AK285" i="15" s="1"/>
  <c r="N285" i="15"/>
  <c r="M285" i="15" s="1"/>
  <c r="E266" i="15"/>
  <c r="E261" i="15"/>
  <c r="E260" i="15"/>
  <c r="E259" i="15"/>
  <c r="Z267" i="15"/>
  <c r="AL267" i="15"/>
  <c r="AO249" i="15"/>
  <c r="AL249" i="15"/>
  <c r="AI249" i="15"/>
  <c r="AF249" i="15"/>
  <c r="AC249" i="15"/>
  <c r="Z249" i="15"/>
  <c r="W249" i="15"/>
  <c r="T249" i="15"/>
  <c r="Q249" i="15"/>
  <c r="N249" i="15"/>
  <c r="K249" i="15"/>
  <c r="H249" i="15"/>
  <c r="E248" i="15"/>
  <c r="D248" i="15"/>
  <c r="C248" i="15"/>
  <c r="AO246" i="15"/>
  <c r="AL246" i="15"/>
  <c r="AI246" i="15"/>
  <c r="AF246" i="15"/>
  <c r="AC246" i="15"/>
  <c r="Z246" i="15"/>
  <c r="W246" i="15"/>
  <c r="T246" i="15"/>
  <c r="Q246" i="15"/>
  <c r="N246" i="15"/>
  <c r="K246" i="15"/>
  <c r="H246" i="15"/>
  <c r="E245" i="15"/>
  <c r="D245" i="15"/>
  <c r="C245" i="15"/>
  <c r="AN251" i="15"/>
  <c r="AL251" i="15"/>
  <c r="AK251" i="15"/>
  <c r="AI251" i="15"/>
  <c r="AH251" i="15"/>
  <c r="AE251" i="15"/>
  <c r="AC251" i="15"/>
  <c r="AB251" i="15"/>
  <c r="Z251" i="15"/>
  <c r="Y251" i="15"/>
  <c r="W251" i="15"/>
  <c r="T251" i="15"/>
  <c r="P251" i="15"/>
  <c r="N251" i="15"/>
  <c r="M251" i="15"/>
  <c r="K251" i="15"/>
  <c r="J251" i="15"/>
  <c r="G251" i="15"/>
  <c r="C242" i="15"/>
  <c r="B237" i="15"/>
  <c r="E229" i="15"/>
  <c r="E228" i="15"/>
  <c r="E227" i="15"/>
  <c r="E211" i="15"/>
  <c r="E206" i="15"/>
  <c r="E205" i="15"/>
  <c r="E204" i="15"/>
  <c r="W212" i="15"/>
  <c r="T212" i="15"/>
  <c r="AO194" i="15"/>
  <c r="AL194" i="15"/>
  <c r="AI194" i="15"/>
  <c r="AF194" i="15"/>
  <c r="AC194" i="15"/>
  <c r="Z194" i="15"/>
  <c r="W194" i="15"/>
  <c r="T194" i="15"/>
  <c r="Q194" i="15"/>
  <c r="N194" i="15"/>
  <c r="K194" i="15"/>
  <c r="H194" i="15"/>
  <c r="E193" i="15"/>
  <c r="E194" i="15" s="1"/>
  <c r="D193" i="15"/>
  <c r="C193" i="15"/>
  <c r="AO191" i="15"/>
  <c r="AI191" i="15"/>
  <c r="AF191" i="15"/>
  <c r="Z191" i="15"/>
  <c r="W191" i="15"/>
  <c r="T191" i="15"/>
  <c r="AN184" i="15"/>
  <c r="AK184" i="15"/>
  <c r="AH184" i="15"/>
  <c r="AE184" i="15"/>
  <c r="AB184" i="15"/>
  <c r="Y184" i="15"/>
  <c r="V184" i="15"/>
  <c r="S184" i="15"/>
  <c r="P184" i="15"/>
  <c r="M184" i="15"/>
  <c r="J184" i="15"/>
  <c r="G184" i="15"/>
  <c r="D184" i="15"/>
  <c r="AL184" i="15"/>
  <c r="AK185" i="15"/>
  <c r="AE185" i="15"/>
  <c r="AC184" i="15"/>
  <c r="W184" i="15"/>
  <c r="V185" i="15"/>
  <c r="T184" i="15"/>
  <c r="N184" i="15"/>
  <c r="G185" i="15"/>
  <c r="AF181" i="15"/>
  <c r="AN182" i="15"/>
  <c r="AB182" i="15"/>
  <c r="Z181" i="15"/>
  <c r="W181" i="15"/>
  <c r="T181" i="15"/>
  <c r="Q181" i="15"/>
  <c r="H181" i="15"/>
  <c r="G182" i="15"/>
  <c r="AO178" i="15"/>
  <c r="AN179" i="15"/>
  <c r="AI178" i="15"/>
  <c r="AG187" i="15"/>
  <c r="AF178" i="15"/>
  <c r="Y179" i="15"/>
  <c r="S179" i="15"/>
  <c r="P179" i="15"/>
  <c r="I187" i="15"/>
  <c r="H178" i="15"/>
  <c r="G179" i="15"/>
  <c r="AL175" i="15"/>
  <c r="AH176" i="15"/>
  <c r="AA187" i="15"/>
  <c r="Z175" i="15"/>
  <c r="Y176" i="15"/>
  <c r="Q175" i="15"/>
  <c r="N175" i="15"/>
  <c r="J176" i="15"/>
  <c r="B170" i="15"/>
  <c r="E163" i="15"/>
  <c r="E162" i="15"/>
  <c r="E161" i="15"/>
  <c r="AO474" i="15"/>
  <c r="AL474" i="15"/>
  <c r="AI474" i="15"/>
  <c r="AF474" i="15"/>
  <c r="AC474" i="15"/>
  <c r="Z474" i="15"/>
  <c r="W474" i="15"/>
  <c r="T474" i="15"/>
  <c r="Q474" i="15"/>
  <c r="N474" i="15"/>
  <c r="H474" i="15"/>
  <c r="AO473" i="15"/>
  <c r="AL473" i="15"/>
  <c r="AI473" i="15"/>
  <c r="AF473" i="15"/>
  <c r="AC473" i="15"/>
  <c r="W473" i="15"/>
  <c r="T473" i="15"/>
  <c r="Q473" i="15"/>
  <c r="N473" i="15"/>
  <c r="K473" i="15"/>
  <c r="AL472" i="15"/>
  <c r="AC472" i="15"/>
  <c r="Z472" i="15"/>
  <c r="T472" i="15"/>
  <c r="N472" i="15"/>
  <c r="E154" i="15"/>
  <c r="E153" i="15"/>
  <c r="E152" i="15"/>
  <c r="E136" i="15"/>
  <c r="E131" i="15"/>
  <c r="E130" i="15"/>
  <c r="E129" i="15"/>
  <c r="E128" i="15"/>
  <c r="T137" i="15"/>
  <c r="E123" i="15"/>
  <c r="E122" i="15"/>
  <c r="E121" i="15"/>
  <c r="AI124" i="15"/>
  <c r="W107" i="15"/>
  <c r="N107" i="15"/>
  <c r="AF107" i="15"/>
  <c r="AC107" i="15"/>
  <c r="AN102" i="15"/>
  <c r="AK102" i="15"/>
  <c r="AB102" i="15"/>
  <c r="AA99" i="15"/>
  <c r="AB122" i="15" s="1"/>
  <c r="AK98" i="15"/>
  <c r="AH98" i="15"/>
  <c r="P98" i="15"/>
  <c r="J98" i="15"/>
  <c r="G98" i="15"/>
  <c r="AM99" i="15"/>
  <c r="AM107" i="15" s="1"/>
  <c r="AL99" i="15"/>
  <c r="AI99" i="15"/>
  <c r="AD99" i="15"/>
  <c r="AE104" i="15" s="1"/>
  <c r="AC99" i="15"/>
  <c r="V97" i="15"/>
  <c r="S97" i="15"/>
  <c r="O99" i="15"/>
  <c r="G97" i="15"/>
  <c r="F99" i="15"/>
  <c r="B92" i="15"/>
  <c r="W433" i="15" s="1"/>
  <c r="AO478" i="15"/>
  <c r="AL478" i="15"/>
  <c r="AF478" i="15"/>
  <c r="AC478" i="15"/>
  <c r="T478" i="15"/>
  <c r="Q478" i="15"/>
  <c r="N478" i="15"/>
  <c r="H478" i="15"/>
  <c r="E84" i="15"/>
  <c r="E83" i="15"/>
  <c r="E82" i="15"/>
  <c r="AO468" i="15"/>
  <c r="AL468" i="15"/>
  <c r="AI468" i="15"/>
  <c r="AF468" i="15"/>
  <c r="AC468" i="15"/>
  <c r="Z468" i="15"/>
  <c r="W468" i="15"/>
  <c r="Q468" i="15"/>
  <c r="N468" i="15"/>
  <c r="K468" i="15"/>
  <c r="H468" i="15"/>
  <c r="E80" i="15"/>
  <c r="E79" i="15"/>
  <c r="AL469" i="15"/>
  <c r="AC469" i="15"/>
  <c r="Z469" i="15"/>
  <c r="W469" i="15"/>
  <c r="T469" i="15"/>
  <c r="N469" i="15"/>
  <c r="E74" i="15"/>
  <c r="E73" i="15"/>
  <c r="E72" i="15"/>
  <c r="E66" i="15"/>
  <c r="E56" i="15"/>
  <c r="N427" i="15"/>
  <c r="E51" i="15"/>
  <c r="E50" i="15"/>
  <c r="E49" i="15"/>
  <c r="E48"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T413" i="15"/>
  <c r="K27" i="15"/>
  <c r="I35" i="15" s="1"/>
  <c r="AN20" i="15"/>
  <c r="AK20" i="15"/>
  <c r="AH20" i="15"/>
  <c r="AE20" i="15"/>
  <c r="AB20" i="15"/>
  <c r="Y20" i="15"/>
  <c r="V20" i="15"/>
  <c r="S20" i="15"/>
  <c r="P20" i="15"/>
  <c r="M20" i="15"/>
  <c r="C20" i="15"/>
  <c r="D20" i="15" s="1"/>
  <c r="G20" i="15"/>
  <c r="AK18" i="15"/>
  <c r="Y18" i="15"/>
  <c r="G18" i="15"/>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L16" i="15"/>
  <c r="Z16" i="15"/>
  <c r="S10" i="15"/>
  <c r="G10" i="15"/>
  <c r="AN9" i="15"/>
  <c r="AK9" i="15"/>
  <c r="AH9" i="15"/>
  <c r="AC16" i="15"/>
  <c r="U16" i="15"/>
  <c r="T16" i="15"/>
  <c r="P9" i="15"/>
  <c r="M9" i="15"/>
  <c r="H16" i="15"/>
  <c r="B1" i="16"/>
  <c r="B1" i="15"/>
  <c r="A226" i="17"/>
  <c r="B68" i="17"/>
  <c r="B82" i="17"/>
  <c r="B82" i="3"/>
  <c r="B68" i="3"/>
  <c r="D359" i="15" l="1"/>
  <c r="K436" i="15"/>
  <c r="Q420" i="15"/>
  <c r="AI445" i="15"/>
  <c r="N409" i="15"/>
  <c r="Z428" i="15"/>
  <c r="AL409" i="15"/>
  <c r="Z421" i="15"/>
  <c r="AL429" i="15"/>
  <c r="AF439" i="15"/>
  <c r="AL252" i="15"/>
  <c r="Q396" i="15"/>
  <c r="P396" i="15" s="1"/>
  <c r="Q414" i="15"/>
  <c r="W412" i="15"/>
  <c r="AI422" i="15"/>
  <c r="E394" i="15"/>
  <c r="D394" i="15" s="1"/>
  <c r="AI409" i="15"/>
  <c r="AI412" i="15"/>
  <c r="W414" i="15"/>
  <c r="W420" i="15"/>
  <c r="AC421" i="15"/>
  <c r="AL422" i="15"/>
  <c r="Q427" i="15"/>
  <c r="AC428" i="15"/>
  <c r="AO429" i="15"/>
  <c r="K434" i="15"/>
  <c r="Q436" i="15"/>
  <c r="N252" i="15"/>
  <c r="N396" i="15"/>
  <c r="AO422" i="15"/>
  <c r="Q434" i="15"/>
  <c r="Q410" i="15"/>
  <c r="Z413" i="15"/>
  <c r="AC414" i="15"/>
  <c r="AL420" i="15"/>
  <c r="AO421" i="15"/>
  <c r="AI427" i="15"/>
  <c r="K429" i="15"/>
  <c r="T430" i="15"/>
  <c r="T434" i="15"/>
  <c r="AO436" i="15"/>
  <c r="AO442" i="15"/>
  <c r="Z414" i="15"/>
  <c r="AL428" i="15"/>
  <c r="W408" i="15"/>
  <c r="AC410" i="15"/>
  <c r="AI413" i="15"/>
  <c r="AF414" i="15"/>
  <c r="AO420" i="15"/>
  <c r="K422" i="15"/>
  <c r="AL427" i="15"/>
  <c r="N429" i="15"/>
  <c r="W430" i="15"/>
  <c r="AI434" i="15"/>
  <c r="H437" i="15"/>
  <c r="AC443" i="15"/>
  <c r="AL396" i="15"/>
  <c r="AK396" i="15" s="1"/>
  <c r="Z427" i="15"/>
  <c r="Q442" i="15"/>
  <c r="AC408" i="15"/>
  <c r="AO410" i="15"/>
  <c r="H414" i="15"/>
  <c r="AI414" i="15"/>
  <c r="K421" i="15"/>
  <c r="Q422" i="15"/>
  <c r="AO427" i="15"/>
  <c r="Q429" i="15"/>
  <c r="Z430" i="15"/>
  <c r="AO434" i="15"/>
  <c r="AO438" i="15"/>
  <c r="Q444" i="15"/>
  <c r="AC420" i="15"/>
  <c r="N430" i="15"/>
  <c r="AI408" i="15"/>
  <c r="Z411" i="15"/>
  <c r="K414" i="15"/>
  <c r="AL414" i="15"/>
  <c r="Q421" i="15"/>
  <c r="W422" i="15"/>
  <c r="N428" i="15"/>
  <c r="Z429" i="15"/>
  <c r="AL430" i="15"/>
  <c r="H435" i="15"/>
  <c r="H439" i="15"/>
  <c r="W446" i="15"/>
  <c r="AI421" i="15"/>
  <c r="T436" i="15"/>
  <c r="K409" i="15"/>
  <c r="K412" i="15"/>
  <c r="N414" i="15"/>
  <c r="AO414" i="15"/>
  <c r="N420" i="15"/>
  <c r="W421" i="15"/>
  <c r="AC422" i="15"/>
  <c r="K427" i="15"/>
  <c r="W428" i="15"/>
  <c r="AI429" i="15"/>
  <c r="AC435" i="15"/>
  <c r="AC439" i="15"/>
  <c r="E249" i="15"/>
  <c r="AF396" i="15"/>
  <c r="AE396" i="15" s="1"/>
  <c r="AC437" i="15"/>
  <c r="Q440" i="15"/>
  <c r="AO444" i="15"/>
  <c r="E471" i="15"/>
  <c r="AF437" i="15"/>
  <c r="AO440" i="15"/>
  <c r="K445" i="15"/>
  <c r="T396" i="15"/>
  <c r="E470" i="15"/>
  <c r="AF435" i="15"/>
  <c r="Q438" i="15"/>
  <c r="AC445" i="15"/>
  <c r="Z396" i="15"/>
  <c r="Y396" i="15" s="1"/>
  <c r="T438" i="15"/>
  <c r="AC441" i="15"/>
  <c r="AF398" i="15"/>
  <c r="AE9" i="15"/>
  <c r="AB10" i="15"/>
  <c r="M18" i="15"/>
  <c r="N437" i="15"/>
  <c r="AL437" i="15"/>
  <c r="Z438" i="15"/>
  <c r="Z440" i="15"/>
  <c r="AB98" i="15"/>
  <c r="J102" i="15"/>
  <c r="V102" i="15"/>
  <c r="AC181" i="15"/>
  <c r="N191" i="15"/>
  <c r="K267" i="15"/>
  <c r="J267" i="15" s="1"/>
  <c r="AI267" i="15"/>
  <c r="K285" i="15"/>
  <c r="J285" i="15" s="1"/>
  <c r="AI285" i="15"/>
  <c r="AH285" i="15" s="1"/>
  <c r="AN296" i="15"/>
  <c r="P297" i="15"/>
  <c r="M299" i="15"/>
  <c r="E302" i="15"/>
  <c r="AB307" i="15"/>
  <c r="W330" i="15"/>
  <c r="AI330" i="15"/>
  <c r="E343" i="15"/>
  <c r="E489" i="15"/>
  <c r="L16" i="15"/>
  <c r="L27" i="15" s="1"/>
  <c r="U30" i="15"/>
  <c r="W27" i="15"/>
  <c r="U35" i="15" s="1"/>
  <c r="T420" i="15"/>
  <c r="H421" i="15"/>
  <c r="AF421" i="15"/>
  <c r="T427" i="15"/>
  <c r="H428" i="15"/>
  <c r="AF428" i="15"/>
  <c r="T429" i="15"/>
  <c r="H430" i="15"/>
  <c r="AF430" i="15"/>
  <c r="AC434" i="15"/>
  <c r="Q435" i="15"/>
  <c r="AO435" i="15"/>
  <c r="AC436" i="15"/>
  <c r="Q437" i="15"/>
  <c r="AO437" i="15"/>
  <c r="AC438" i="15"/>
  <c r="Q439" i="15"/>
  <c r="AO439" i="15"/>
  <c r="AC440" i="15"/>
  <c r="N441" i="15"/>
  <c r="AL441" i="15"/>
  <c r="Z442" i="15"/>
  <c r="N443" i="15"/>
  <c r="AL443" i="15"/>
  <c r="Z444" i="15"/>
  <c r="N445" i="15"/>
  <c r="AL445" i="15"/>
  <c r="Z446" i="15"/>
  <c r="Y102" i="15"/>
  <c r="E117" i="15"/>
  <c r="E180" i="15"/>
  <c r="AE182" i="15"/>
  <c r="E225" i="15"/>
  <c r="AN297" i="15"/>
  <c r="AH300" i="15"/>
  <c r="S307" i="15"/>
  <c r="P308" i="15"/>
  <c r="E338" i="15"/>
  <c r="E452" i="15"/>
  <c r="W16" i="15"/>
  <c r="U34" i="15" s="1"/>
  <c r="AD16" i="15"/>
  <c r="AE26" i="15" s="1"/>
  <c r="E25" i="15"/>
  <c r="AL27" i="15"/>
  <c r="AJ35" i="15" s="1"/>
  <c r="Z27" i="15"/>
  <c r="W427" i="15"/>
  <c r="AI428" i="15"/>
  <c r="W429" i="15"/>
  <c r="K430" i="15"/>
  <c r="AI430" i="15"/>
  <c r="H434" i="15"/>
  <c r="AF434" i="15"/>
  <c r="T435" i="15"/>
  <c r="AF436" i="15"/>
  <c r="T437" i="15"/>
  <c r="H438" i="15"/>
  <c r="AF438" i="15"/>
  <c r="T439" i="15"/>
  <c r="H440" i="15"/>
  <c r="AF440" i="15"/>
  <c r="Q441" i="15"/>
  <c r="AO441" i="15"/>
  <c r="AC442" i="15"/>
  <c r="Q443" i="15"/>
  <c r="AO443" i="15"/>
  <c r="AC444" i="15"/>
  <c r="Q445" i="15"/>
  <c r="AO445" i="15"/>
  <c r="AC446" i="15"/>
  <c r="N165" i="15"/>
  <c r="T178" i="15"/>
  <c r="AB179" i="15"/>
  <c r="E223" i="15"/>
  <c r="AK300" i="15"/>
  <c r="N16" i="15"/>
  <c r="P18" i="15"/>
  <c r="AC27" i="15"/>
  <c r="AA35" i="15" s="1"/>
  <c r="AC86" i="15"/>
  <c r="AE97" i="15"/>
  <c r="U99" i="15"/>
  <c r="V121" i="15" s="1"/>
  <c r="P102" i="15"/>
  <c r="E116" i="15"/>
  <c r="AL165" i="15"/>
  <c r="AC178" i="15"/>
  <c r="P182" i="15"/>
  <c r="Q184" i="15"/>
  <c r="Y185" i="15"/>
  <c r="AF184" i="15"/>
  <c r="AB185" i="15"/>
  <c r="AL230" i="15"/>
  <c r="E274" i="15"/>
  <c r="V295" i="15"/>
  <c r="J296" i="15"/>
  <c r="AE297" i="15"/>
  <c r="P298" i="15"/>
  <c r="P300" i="15"/>
  <c r="AB300" i="15"/>
  <c r="J307" i="15"/>
  <c r="AF330" i="15"/>
  <c r="V10" i="15"/>
  <c r="AF27" i="15"/>
  <c r="AD35" i="15" s="1"/>
  <c r="H409" i="15"/>
  <c r="AF409" i="15"/>
  <c r="H413" i="15"/>
  <c r="AF413" i="15"/>
  <c r="T414" i="15"/>
  <c r="Q428" i="15"/>
  <c r="AO428" i="15"/>
  <c r="AC429" i="15"/>
  <c r="Z439" i="15"/>
  <c r="N440" i="15"/>
  <c r="AL440" i="15"/>
  <c r="E120" i="15"/>
  <c r="E146" i="15"/>
  <c r="E151" i="15"/>
  <c r="AC348" i="15"/>
  <c r="AC464" i="15"/>
  <c r="H420" i="15"/>
  <c r="AF420" i="15"/>
  <c r="Z441" i="15"/>
  <c r="AL442" i="15"/>
  <c r="Z443" i="15"/>
  <c r="N444" i="15"/>
  <c r="AL444" i="15"/>
  <c r="Z445" i="15"/>
  <c r="N446" i="15"/>
  <c r="AL446" i="15"/>
  <c r="K99" i="15"/>
  <c r="V98" i="15"/>
  <c r="AL107" i="15"/>
  <c r="AL110" i="15" s="1"/>
  <c r="W178" i="15"/>
  <c r="AE179" i="15"/>
  <c r="AH182" i="15"/>
  <c r="Z184" i="15"/>
  <c r="K191" i="15"/>
  <c r="V296" i="15"/>
  <c r="V297" i="15"/>
  <c r="Y10" i="15"/>
  <c r="E58" i="15"/>
  <c r="AJ99" i="15"/>
  <c r="AJ110" i="15" s="1"/>
  <c r="Q107" i="15"/>
  <c r="AO107" i="15"/>
  <c r="AC191" i="15"/>
  <c r="Z243" i="15"/>
  <c r="M296" i="15"/>
  <c r="Y296" i="15"/>
  <c r="Y297" i="15"/>
  <c r="AH298" i="15"/>
  <c r="S300" i="15"/>
  <c r="S18" i="15"/>
  <c r="E24" i="15"/>
  <c r="E26" i="15"/>
  <c r="AI304" i="15"/>
  <c r="AI309" i="15" s="1"/>
  <c r="AI314" i="15" s="1"/>
  <c r="AH295" i="15"/>
  <c r="P10" i="15"/>
  <c r="AH18" i="15"/>
  <c r="E20" i="15"/>
  <c r="J20" i="15"/>
  <c r="Z30" i="15"/>
  <c r="N422" i="15"/>
  <c r="E47" i="15"/>
  <c r="E36" i="15"/>
  <c r="E38" i="15"/>
  <c r="E132" i="15"/>
  <c r="AO184" i="15"/>
  <c r="AN185" i="15"/>
  <c r="E217" i="15"/>
  <c r="H107" i="15"/>
  <c r="E104" i="15"/>
  <c r="E296" i="15"/>
  <c r="G296" i="15"/>
  <c r="X16" i="15"/>
  <c r="X30" i="15" s="1"/>
  <c r="E10" i="15"/>
  <c r="AN107" i="15"/>
  <c r="Q187" i="15"/>
  <c r="Q196" i="15" s="1"/>
  <c r="Q178" i="15"/>
  <c r="O16" i="15"/>
  <c r="P24" i="15" s="1"/>
  <c r="AJ16" i="15"/>
  <c r="I16" i="15"/>
  <c r="J26" i="15" s="1"/>
  <c r="AN10" i="15"/>
  <c r="J18" i="15"/>
  <c r="AE18" i="15"/>
  <c r="Q27" i="15"/>
  <c r="AO27" i="15"/>
  <c r="AM35" i="15" s="1"/>
  <c r="M26" i="15"/>
  <c r="E143" i="15"/>
  <c r="AO187" i="15"/>
  <c r="T230" i="15"/>
  <c r="T232" i="15" s="1"/>
  <c r="C300" i="15"/>
  <c r="G300" i="15"/>
  <c r="C9" i="15"/>
  <c r="E22" i="15"/>
  <c r="T27" i="15"/>
  <c r="R35" i="15" s="1"/>
  <c r="R34" i="15"/>
  <c r="E37" i="15"/>
  <c r="Z422" i="15"/>
  <c r="O304" i="15"/>
  <c r="P295" i="15"/>
  <c r="H243" i="15"/>
  <c r="H251" i="15"/>
  <c r="H252" i="15" s="1"/>
  <c r="E242" i="15"/>
  <c r="AF243" i="15"/>
  <c r="AF251" i="15"/>
  <c r="AF252" i="15" s="1"/>
  <c r="E265" i="15"/>
  <c r="J9" i="15"/>
  <c r="E71" i="15"/>
  <c r="W478" i="15"/>
  <c r="W86" i="15"/>
  <c r="E308" i="15"/>
  <c r="T330" i="15"/>
  <c r="E340" i="15"/>
  <c r="E341" i="15"/>
  <c r="E459" i="15"/>
  <c r="S9" i="15"/>
  <c r="AM16" i="15"/>
  <c r="AN410" i="15" s="1"/>
  <c r="M10" i="15"/>
  <c r="AG16" i="15"/>
  <c r="R16" i="15"/>
  <c r="S24" i="15" s="1"/>
  <c r="AN18" i="15"/>
  <c r="AJ34" i="15"/>
  <c r="T422" i="15"/>
  <c r="E55" i="15"/>
  <c r="AC430" i="15"/>
  <c r="K433" i="15"/>
  <c r="AI433" i="15"/>
  <c r="W434" i="15"/>
  <c r="K435" i="15"/>
  <c r="AI435" i="15"/>
  <c r="W436" i="15"/>
  <c r="K437" i="15"/>
  <c r="AI437" i="15"/>
  <c r="W438" i="15"/>
  <c r="AI439" i="15"/>
  <c r="W440" i="15"/>
  <c r="H441" i="15"/>
  <c r="AF441" i="15"/>
  <c r="T442" i="15"/>
  <c r="H443" i="15"/>
  <c r="AF443" i="15"/>
  <c r="T444" i="15"/>
  <c r="H445" i="15"/>
  <c r="AF445" i="15"/>
  <c r="Q446" i="15"/>
  <c r="AO446" i="15"/>
  <c r="Z478" i="15"/>
  <c r="T99" i="15"/>
  <c r="AH102" i="15"/>
  <c r="H124" i="15"/>
  <c r="AF124" i="15"/>
  <c r="E135" i="15"/>
  <c r="E145" i="15"/>
  <c r="M176" i="15"/>
  <c r="AC175" i="15"/>
  <c r="AK176" i="15"/>
  <c r="AO175" i="15"/>
  <c r="J179" i="15"/>
  <c r="Z178" i="15"/>
  <c r="AH179" i="15"/>
  <c r="AC212" i="15"/>
  <c r="AO230" i="15"/>
  <c r="AJ304" i="15"/>
  <c r="C308" i="15"/>
  <c r="E327" i="15"/>
  <c r="K330" i="15"/>
  <c r="Q348" i="15"/>
  <c r="AO348" i="15"/>
  <c r="Z420" i="15"/>
  <c r="N421" i="15"/>
  <c r="AL421" i="15"/>
  <c r="Z434" i="15"/>
  <c r="N435" i="15"/>
  <c r="AL435" i="15"/>
  <c r="Z436" i="15"/>
  <c r="K441" i="15"/>
  <c r="AI441" i="15"/>
  <c r="W442" i="15"/>
  <c r="K443" i="15"/>
  <c r="AI443" i="15"/>
  <c r="W444" i="15"/>
  <c r="T446" i="15"/>
  <c r="L99" i="15"/>
  <c r="M106" i="15" s="1"/>
  <c r="K107" i="15"/>
  <c r="E114" i="15"/>
  <c r="Z137" i="15"/>
  <c r="E134" i="15"/>
  <c r="E142" i="15"/>
  <c r="F187" i="15"/>
  <c r="N187" i="15"/>
  <c r="N196" i="15" s="1"/>
  <c r="V187" i="15"/>
  <c r="AD187" i="15"/>
  <c r="AL187" i="15"/>
  <c r="AL196" i="15" s="1"/>
  <c r="V176" i="15"/>
  <c r="AL191" i="15"/>
  <c r="E216" i="15"/>
  <c r="E221" i="15"/>
  <c r="E272" i="15"/>
  <c r="H304" i="15"/>
  <c r="H309" i="15" s="1"/>
  <c r="H314" i="15" s="1"/>
  <c r="AA304" i="15"/>
  <c r="AA309" i="15" s="1"/>
  <c r="AK297" i="15"/>
  <c r="AE298" i="15"/>
  <c r="AN298" i="15"/>
  <c r="P299" i="15"/>
  <c r="Y299" i="15"/>
  <c r="E303" i="15"/>
  <c r="J308" i="15"/>
  <c r="S308" i="15"/>
  <c r="Z330" i="15"/>
  <c r="M97" i="15"/>
  <c r="W99" i="15"/>
  <c r="E98" i="15"/>
  <c r="AI107" i="15"/>
  <c r="AI110" i="15" s="1"/>
  <c r="AH124" i="15" s="1"/>
  <c r="E164" i="15"/>
  <c r="M179" i="15"/>
  <c r="AK179" i="15"/>
  <c r="J182" i="15"/>
  <c r="Y182" i="15"/>
  <c r="AO181" i="15"/>
  <c r="S185" i="15"/>
  <c r="K212" i="15"/>
  <c r="AI212" i="15"/>
  <c r="W230" i="15"/>
  <c r="E214" i="15"/>
  <c r="E218" i="15"/>
  <c r="E220" i="15"/>
  <c r="AF230" i="15"/>
  <c r="E224" i="15"/>
  <c r="E262" i="15"/>
  <c r="E280" i="15"/>
  <c r="S295" i="15"/>
  <c r="AC304" i="15"/>
  <c r="AC309" i="15" s="1"/>
  <c r="AC314" i="15" s="1"/>
  <c r="AB330" i="15" s="1"/>
  <c r="V298" i="15"/>
  <c r="G299" i="15"/>
  <c r="AK299" i="15"/>
  <c r="AN300" i="15"/>
  <c r="AK307" i="15"/>
  <c r="AE308" i="15"/>
  <c r="AO330" i="15"/>
  <c r="E336" i="15"/>
  <c r="K464" i="15"/>
  <c r="AI464" i="15"/>
  <c r="E456" i="15"/>
  <c r="N99" i="15"/>
  <c r="N110" i="15" s="1"/>
  <c r="X99" i="15"/>
  <c r="X110" i="15" s="1"/>
  <c r="E102" i="15"/>
  <c r="T107" i="15"/>
  <c r="Q124" i="15"/>
  <c r="AO124" i="15"/>
  <c r="AF137" i="15"/>
  <c r="H187" i="15"/>
  <c r="P187" i="15"/>
  <c r="P196" i="15" s="1"/>
  <c r="X187" i="15"/>
  <c r="AF187" i="15"/>
  <c r="AF196" i="15" s="1"/>
  <c r="AE230" i="15" s="1"/>
  <c r="AN187" i="15"/>
  <c r="D177" i="15"/>
  <c r="N212" i="15"/>
  <c r="AL212" i="15"/>
  <c r="E210" i="15"/>
  <c r="N230" i="15"/>
  <c r="E226" i="15"/>
  <c r="T304" i="15"/>
  <c r="T309" i="15" s="1"/>
  <c r="T314" i="15" s="1"/>
  <c r="S330" i="15" s="1"/>
  <c r="C297" i="15"/>
  <c r="E299" i="15"/>
  <c r="E325" i="15"/>
  <c r="E334" i="15"/>
  <c r="N411" i="15"/>
  <c r="AL411" i="15"/>
  <c r="AL413" i="15"/>
  <c r="H427" i="15"/>
  <c r="AF427" i="15"/>
  <c r="T428" i="15"/>
  <c r="H429" i="15"/>
  <c r="AF429" i="15"/>
  <c r="Q430" i="15"/>
  <c r="AO430" i="15"/>
  <c r="AI436" i="15"/>
  <c r="W437" i="15"/>
  <c r="K438" i="15"/>
  <c r="AI438" i="15"/>
  <c r="W439" i="15"/>
  <c r="K440" i="15"/>
  <c r="AI440" i="15"/>
  <c r="T441" i="15"/>
  <c r="H442" i="15"/>
  <c r="AF442" i="15"/>
  <c r="T443" i="15"/>
  <c r="AF444" i="15"/>
  <c r="T445" i="15"/>
  <c r="AI75" i="15"/>
  <c r="Y97" i="15"/>
  <c r="AE98" i="15"/>
  <c r="AN98" i="15"/>
  <c r="S102" i="15"/>
  <c r="E105" i="15"/>
  <c r="AI137" i="15"/>
  <c r="E139" i="15"/>
  <c r="V179" i="15"/>
  <c r="AL178" i="15"/>
  <c r="K181" i="15"/>
  <c r="S182" i="15"/>
  <c r="AI181" i="15"/>
  <c r="D183" i="15"/>
  <c r="E202" i="15"/>
  <c r="E209" i="15"/>
  <c r="AC230" i="15"/>
  <c r="AC252" i="15"/>
  <c r="H267" i="15"/>
  <c r="G267" i="15" s="1"/>
  <c r="AF267" i="15"/>
  <c r="AE267" i="15" s="1"/>
  <c r="E257" i="15"/>
  <c r="E263" i="15"/>
  <c r="U304" i="15"/>
  <c r="U309" i="15" s="1"/>
  <c r="AF304" i="15"/>
  <c r="AF309" i="15" s="1"/>
  <c r="AF314" i="15" s="1"/>
  <c r="AE330" i="15" s="1"/>
  <c r="P296" i="15"/>
  <c r="J297" i="15"/>
  <c r="V300" i="15"/>
  <c r="Q464" i="15"/>
  <c r="AO464" i="15"/>
  <c r="E490" i="15"/>
  <c r="AL434" i="15"/>
  <c r="Z435" i="15"/>
  <c r="N436" i="15"/>
  <c r="AL436" i="15"/>
  <c r="Z437" i="15"/>
  <c r="N438" i="15"/>
  <c r="AL438" i="15"/>
  <c r="W441" i="15"/>
  <c r="K442" i="15"/>
  <c r="AI442" i="15"/>
  <c r="K444" i="15"/>
  <c r="AI444" i="15"/>
  <c r="W445" i="15"/>
  <c r="H446" i="15"/>
  <c r="AF446" i="15"/>
  <c r="AK97" i="15"/>
  <c r="AE102" i="15"/>
  <c r="Z107" i="15"/>
  <c r="W124" i="15"/>
  <c r="E201" i="15"/>
  <c r="E269" i="15"/>
  <c r="E271" i="15"/>
  <c r="L304" i="15"/>
  <c r="L309" i="15" s="1"/>
  <c r="AE299" i="15"/>
  <c r="K446" i="15"/>
  <c r="AI446" i="15"/>
  <c r="AB97" i="15"/>
  <c r="M98" i="15"/>
  <c r="M102" i="15"/>
  <c r="Q137" i="15"/>
  <c r="AO137" i="15"/>
  <c r="AF155" i="15"/>
  <c r="E140" i="15"/>
  <c r="E149" i="15"/>
  <c r="T165" i="15"/>
  <c r="E215" i="15"/>
  <c r="T243" i="15"/>
  <c r="E268" i="15"/>
  <c r="E277" i="15"/>
  <c r="AB296" i="15"/>
  <c r="M297" i="15"/>
  <c r="G298" i="15"/>
  <c r="Y300" i="15"/>
  <c r="M307" i="15"/>
  <c r="K348" i="15"/>
  <c r="AI348" i="15"/>
  <c r="AH348" i="15" s="1"/>
  <c r="W464" i="15"/>
  <c r="E455" i="15"/>
  <c r="E457" i="15"/>
  <c r="AL30" i="15"/>
  <c r="L34" i="15"/>
  <c r="AK25" i="15"/>
  <c r="AK16" i="15"/>
  <c r="AJ30" i="15"/>
  <c r="AK24" i="15"/>
  <c r="AJ27" i="15"/>
  <c r="AK36" i="15" s="1"/>
  <c r="AK26" i="15"/>
  <c r="O35" i="15"/>
  <c r="F34" i="15"/>
  <c r="AH26" i="15"/>
  <c r="AH25" i="15"/>
  <c r="AG27" i="15"/>
  <c r="AH37" i="15" s="1"/>
  <c r="AH24" i="15"/>
  <c r="AG30" i="15"/>
  <c r="P120" i="15"/>
  <c r="P116" i="15"/>
  <c r="O110" i="15"/>
  <c r="P121" i="15"/>
  <c r="P104" i="15"/>
  <c r="P119" i="15"/>
  <c r="P115" i="15"/>
  <c r="P122" i="15"/>
  <c r="P118" i="15"/>
  <c r="P114" i="15"/>
  <c r="P123" i="15"/>
  <c r="P106" i="15"/>
  <c r="P117" i="15"/>
  <c r="O107" i="15"/>
  <c r="P105" i="15"/>
  <c r="AJ107" i="15"/>
  <c r="Y9" i="15"/>
  <c r="J10" i="15"/>
  <c r="AH10" i="15"/>
  <c r="AF16" i="15"/>
  <c r="AF30" i="15" s="1"/>
  <c r="C18" i="15"/>
  <c r="AM27" i="15"/>
  <c r="AN38" i="15" s="1"/>
  <c r="N408" i="15"/>
  <c r="N44" i="15"/>
  <c r="X34" i="15"/>
  <c r="E35" i="15"/>
  <c r="Z409" i="15"/>
  <c r="X35" i="15"/>
  <c r="N410" i="15"/>
  <c r="M410" i="15" s="1"/>
  <c r="AF410" i="15"/>
  <c r="AE410" i="15" s="1"/>
  <c r="AF411" i="15"/>
  <c r="AF412" i="15"/>
  <c r="K413" i="15"/>
  <c r="T440" i="15"/>
  <c r="E65" i="15"/>
  <c r="E127" i="15"/>
  <c r="H137" i="15"/>
  <c r="E190" i="15"/>
  <c r="H191" i="15"/>
  <c r="D190" i="15"/>
  <c r="Q191" i="15"/>
  <c r="K410" i="15"/>
  <c r="K411" i="15"/>
  <c r="AC411" i="15"/>
  <c r="AC412" i="15"/>
  <c r="AC413" i="15"/>
  <c r="K428" i="15"/>
  <c r="E53" i="15"/>
  <c r="N442" i="15"/>
  <c r="E67" i="15"/>
  <c r="C10" i="15"/>
  <c r="E18" i="15"/>
  <c r="U27" i="15"/>
  <c r="V35" i="15" s="1"/>
  <c r="V18" i="15"/>
  <c r="H27" i="15"/>
  <c r="H30" i="15" s="1"/>
  <c r="Q409" i="15"/>
  <c r="AI410" i="15"/>
  <c r="AI411" i="15"/>
  <c r="N412" i="15"/>
  <c r="N413" i="15"/>
  <c r="T421" i="15"/>
  <c r="E46" i="15"/>
  <c r="K439" i="15"/>
  <c r="E64" i="15"/>
  <c r="K16" i="15"/>
  <c r="AA16" i="15"/>
  <c r="AA27" i="15" s="1"/>
  <c r="AB37" i="15" s="1"/>
  <c r="AI16" i="15"/>
  <c r="Q408" i="15"/>
  <c r="Q44" i="15"/>
  <c r="Z408" i="15"/>
  <c r="Z44" i="15"/>
  <c r="AC409" i="15"/>
  <c r="AL410" i="15"/>
  <c r="Q411" i="15"/>
  <c r="Q412" i="15"/>
  <c r="Q413" i="15"/>
  <c r="K420" i="15"/>
  <c r="E45" i="15"/>
  <c r="K57" i="15"/>
  <c r="AI420" i="15"/>
  <c r="AI57" i="15"/>
  <c r="AC433" i="15"/>
  <c r="AC75" i="15"/>
  <c r="AB9" i="15"/>
  <c r="AK10" i="15"/>
  <c r="AI27" i="15"/>
  <c r="AG35" i="15" s="1"/>
  <c r="H408" i="15"/>
  <c r="H44" i="15"/>
  <c r="E34" i="15"/>
  <c r="AA34" i="15"/>
  <c r="AO409" i="15"/>
  <c r="T410" i="15"/>
  <c r="T411" i="15"/>
  <c r="T412" i="15"/>
  <c r="AL412" i="15"/>
  <c r="T30" i="15"/>
  <c r="AO16" i="15"/>
  <c r="E9" i="15"/>
  <c r="E16" i="15" s="1"/>
  <c r="V26" i="15"/>
  <c r="V25" i="15"/>
  <c r="F16" i="15"/>
  <c r="G413" i="15" s="1"/>
  <c r="AL408" i="15"/>
  <c r="AL44" i="15"/>
  <c r="W410" i="15"/>
  <c r="W411" i="15"/>
  <c r="AO411" i="15"/>
  <c r="AO412" i="15"/>
  <c r="AO413" i="15"/>
  <c r="H436" i="15"/>
  <c r="E61" i="15"/>
  <c r="AF408" i="15"/>
  <c r="AF44" i="15"/>
  <c r="V24" i="15"/>
  <c r="V9" i="15"/>
  <c r="AE10" i="15"/>
  <c r="Q16" i="15"/>
  <c r="N27" i="15"/>
  <c r="L35" i="15" s="1"/>
  <c r="T408" i="15"/>
  <c r="T44" i="15"/>
  <c r="Z410" i="15"/>
  <c r="E39" i="15"/>
  <c r="W413" i="15"/>
  <c r="W435" i="15"/>
  <c r="E60" i="15"/>
  <c r="H444" i="15"/>
  <c r="E69" i="15"/>
  <c r="G9" i="15"/>
  <c r="AB18" i="15"/>
  <c r="K408" i="15"/>
  <c r="K44" i="15"/>
  <c r="AD34" i="15"/>
  <c r="AO408" i="15"/>
  <c r="AM34" i="15"/>
  <c r="AO44" i="15"/>
  <c r="W409" i="15"/>
  <c r="H410" i="15"/>
  <c r="H411" i="15"/>
  <c r="H412" i="15"/>
  <c r="Z412" i="15"/>
  <c r="N434" i="15"/>
  <c r="E59" i="15"/>
  <c r="W443" i="15"/>
  <c r="E68" i="15"/>
  <c r="E40" i="15"/>
  <c r="W44" i="15"/>
  <c r="AI44" i="15"/>
  <c r="H422" i="15"/>
  <c r="AF422" i="15"/>
  <c r="E52" i="15"/>
  <c r="AC427" i="15"/>
  <c r="H57" i="15"/>
  <c r="T57" i="15"/>
  <c r="AF57" i="15"/>
  <c r="AE57" i="15" s="1"/>
  <c r="H433" i="15"/>
  <c r="H75" i="15"/>
  <c r="AF433" i="15"/>
  <c r="AF75" i="15"/>
  <c r="AE75" i="15" s="1"/>
  <c r="E63" i="15"/>
  <c r="N439" i="15"/>
  <c r="AL439" i="15"/>
  <c r="G123" i="15"/>
  <c r="G119" i="15"/>
  <c r="G115" i="15"/>
  <c r="F107" i="15"/>
  <c r="F110" i="15"/>
  <c r="G118" i="15"/>
  <c r="G114" i="15"/>
  <c r="G106" i="15"/>
  <c r="G121" i="15"/>
  <c r="G117" i="15"/>
  <c r="G105" i="15"/>
  <c r="G122" i="15"/>
  <c r="G120" i="15"/>
  <c r="G116" i="15"/>
  <c r="P97" i="15"/>
  <c r="Q99" i="15"/>
  <c r="Q110" i="15" s="1"/>
  <c r="C102" i="15"/>
  <c r="E118" i="15"/>
  <c r="E125" i="15"/>
  <c r="W137" i="15"/>
  <c r="E126" i="15"/>
  <c r="E141" i="15"/>
  <c r="D180" i="15"/>
  <c r="M182" i="15"/>
  <c r="N181" i="15"/>
  <c r="C180" i="15"/>
  <c r="V182" i="15"/>
  <c r="U187" i="15"/>
  <c r="V188" i="15" s="1"/>
  <c r="AK182" i="15"/>
  <c r="AL181" i="15"/>
  <c r="M187" i="15"/>
  <c r="T409" i="15"/>
  <c r="K75" i="15"/>
  <c r="N124" i="15"/>
  <c r="AL124" i="15"/>
  <c r="N137" i="15"/>
  <c r="AL137" i="15"/>
  <c r="E414" i="15"/>
  <c r="E54" i="15"/>
  <c r="W57" i="15"/>
  <c r="N433" i="15"/>
  <c r="N75" i="15"/>
  <c r="AL433" i="15"/>
  <c r="AL75" i="15"/>
  <c r="I99" i="15"/>
  <c r="C97" i="15"/>
  <c r="J97" i="15"/>
  <c r="AN120" i="15"/>
  <c r="AN116" i="15"/>
  <c r="AM110" i="15"/>
  <c r="AN121" i="15"/>
  <c r="AN104" i="15"/>
  <c r="AN119" i="15"/>
  <c r="AN115" i="15"/>
  <c r="AN122" i="15"/>
  <c r="AN118" i="15"/>
  <c r="AN114" i="15"/>
  <c r="AN123" i="15"/>
  <c r="AN106" i="15"/>
  <c r="AN117" i="15"/>
  <c r="AN105" i="15"/>
  <c r="M409" i="15"/>
  <c r="E429" i="15"/>
  <c r="Q433" i="15"/>
  <c r="Q75" i="15"/>
  <c r="AO433" i="15"/>
  <c r="AO75" i="15"/>
  <c r="E62" i="15"/>
  <c r="E70" i="15"/>
  <c r="H469" i="15"/>
  <c r="E78" i="15"/>
  <c r="H86" i="15"/>
  <c r="AF469" i="15"/>
  <c r="AF86" i="15"/>
  <c r="N479" i="15"/>
  <c r="AL479" i="15"/>
  <c r="AE123" i="15"/>
  <c r="AE119" i="15"/>
  <c r="AE115" i="15"/>
  <c r="AD107" i="15"/>
  <c r="AE107" i="15" s="1"/>
  <c r="AD110" i="15"/>
  <c r="AE118" i="15"/>
  <c r="AE114" i="15"/>
  <c r="AE106" i="15"/>
  <c r="AE121" i="15"/>
  <c r="AE117" i="15"/>
  <c r="AE105" i="15"/>
  <c r="AE122" i="15"/>
  <c r="AE120" i="15"/>
  <c r="AE116" i="15"/>
  <c r="AN97" i="15"/>
  <c r="AO99" i="15"/>
  <c r="AO110" i="15" s="1"/>
  <c r="AN124" i="15" s="1"/>
  <c r="Z99" i="15"/>
  <c r="Y98" i="15"/>
  <c r="V118" i="15"/>
  <c r="T124" i="15"/>
  <c r="E115" i="15"/>
  <c r="AC44" i="15"/>
  <c r="N57" i="15"/>
  <c r="Z57" i="15"/>
  <c r="Y57" i="15" s="1"/>
  <c r="AL57" i="15"/>
  <c r="AK57" i="15" s="1"/>
  <c r="T433" i="15"/>
  <c r="T75" i="15"/>
  <c r="W75" i="15"/>
  <c r="K469" i="15"/>
  <c r="K86" i="15"/>
  <c r="AI469" i="15"/>
  <c r="AI86" i="15"/>
  <c r="E96" i="15"/>
  <c r="M117" i="15"/>
  <c r="M105" i="15"/>
  <c r="M121" i="15"/>
  <c r="M120" i="15"/>
  <c r="M116" i="15"/>
  <c r="L107" i="15"/>
  <c r="M107" i="15" s="1"/>
  <c r="L110" i="15"/>
  <c r="M104" i="15"/>
  <c r="M122" i="15"/>
  <c r="M119" i="15"/>
  <c r="M115" i="15"/>
  <c r="M123" i="15"/>
  <c r="M118" i="15"/>
  <c r="M114" i="15"/>
  <c r="AB120" i="15"/>
  <c r="AB116" i="15"/>
  <c r="AB123" i="15"/>
  <c r="AB104" i="15"/>
  <c r="AB119" i="15"/>
  <c r="AB115" i="15"/>
  <c r="AA107" i="15"/>
  <c r="AB107" i="15" s="1"/>
  <c r="AB118" i="15"/>
  <c r="AB114" i="15"/>
  <c r="AA110" i="15"/>
  <c r="AB121" i="15"/>
  <c r="AB106" i="15"/>
  <c r="AB117" i="15"/>
  <c r="AB99" i="15"/>
  <c r="E119" i="15"/>
  <c r="K124" i="15"/>
  <c r="H155" i="15"/>
  <c r="E138" i="15"/>
  <c r="K474" i="15"/>
  <c r="E160" i="15"/>
  <c r="D174" i="15"/>
  <c r="G176" i="15"/>
  <c r="G187" i="15"/>
  <c r="H188" i="15" s="1"/>
  <c r="H175" i="15"/>
  <c r="C174" i="15"/>
  <c r="P176" i="15"/>
  <c r="O187" i="15"/>
  <c r="P188" i="15" s="1"/>
  <c r="W175" i="15"/>
  <c r="W187" i="15"/>
  <c r="AE176" i="15"/>
  <c r="AE187" i="15"/>
  <c r="AF175" i="15"/>
  <c r="AN176" i="15"/>
  <c r="AM187" i="15"/>
  <c r="AN188" i="15" s="1"/>
  <c r="T468" i="15"/>
  <c r="T479" i="15" s="1"/>
  <c r="T86" i="15"/>
  <c r="W110" i="15"/>
  <c r="AG99" i="15"/>
  <c r="AH413" i="15" s="1"/>
  <c r="AH97" i="15"/>
  <c r="R99" i="15"/>
  <c r="S98" i="15"/>
  <c r="AC110" i="15"/>
  <c r="G104" i="15"/>
  <c r="AB105" i="15"/>
  <c r="Z124" i="15"/>
  <c r="E133" i="15"/>
  <c r="K155" i="15"/>
  <c r="AI155" i="15"/>
  <c r="W155" i="15"/>
  <c r="E144" i="15"/>
  <c r="Z473" i="15"/>
  <c r="Z479" i="15" s="1"/>
  <c r="Z165" i="15"/>
  <c r="Q230" i="15"/>
  <c r="E213" i="15"/>
  <c r="Q57" i="15"/>
  <c r="AC57" i="15"/>
  <c r="AO57" i="15"/>
  <c r="Z433" i="15"/>
  <c r="Z75" i="15"/>
  <c r="Q469" i="15"/>
  <c r="Q86" i="15"/>
  <c r="AO469" i="15"/>
  <c r="AO86" i="15"/>
  <c r="AC124" i="15"/>
  <c r="AC137" i="15"/>
  <c r="Z86" i="15"/>
  <c r="C98" i="15"/>
  <c r="E150" i="15"/>
  <c r="Q472" i="15"/>
  <c r="Q165" i="15"/>
  <c r="AO472" i="15"/>
  <c r="AO165" i="15"/>
  <c r="H196" i="15"/>
  <c r="AN196" i="15"/>
  <c r="C177" i="15"/>
  <c r="N178" i="15"/>
  <c r="E177" i="15"/>
  <c r="C183" i="15"/>
  <c r="D185" i="15" s="1"/>
  <c r="M185" i="15"/>
  <c r="E186" i="15"/>
  <c r="AK187" i="15"/>
  <c r="AL188" i="15" s="1"/>
  <c r="E207" i="15"/>
  <c r="K137" i="15"/>
  <c r="N155" i="15"/>
  <c r="AL155" i="15"/>
  <c r="H473" i="15"/>
  <c r="E159" i="15"/>
  <c r="E203" i="15"/>
  <c r="H230" i="15"/>
  <c r="G102" i="15"/>
  <c r="E106" i="15"/>
  <c r="E107" i="15" s="1"/>
  <c r="Q155" i="15"/>
  <c r="AO155" i="15"/>
  <c r="E147" i="15"/>
  <c r="W472" i="15"/>
  <c r="W479" i="15" s="1"/>
  <c r="W165" i="15"/>
  <c r="R187" i="15"/>
  <c r="E222" i="15"/>
  <c r="AD304" i="15"/>
  <c r="AE295" i="15"/>
  <c r="J300" i="15"/>
  <c r="E300" i="15"/>
  <c r="D300" i="15" s="1"/>
  <c r="AO449" i="15"/>
  <c r="Q449" i="15"/>
  <c r="AF448" i="15"/>
  <c r="H448" i="15"/>
  <c r="W447" i="15"/>
  <c r="AL431" i="15"/>
  <c r="N431" i="15"/>
  <c r="AO426" i="15"/>
  <c r="Q426" i="15"/>
  <c r="AF425" i="15"/>
  <c r="H425" i="15"/>
  <c r="W424" i="15"/>
  <c r="AL423" i="15"/>
  <c r="N423" i="15"/>
  <c r="AL449" i="15"/>
  <c r="N449" i="15"/>
  <c r="AC448" i="15"/>
  <c r="T447" i="15"/>
  <c r="AI431" i="15"/>
  <c r="K431" i="15"/>
  <c r="AL426" i="15"/>
  <c r="N426" i="15"/>
  <c r="AC425" i="15"/>
  <c r="T424" i="15"/>
  <c r="AI423" i="15"/>
  <c r="K423" i="15"/>
  <c r="AI449" i="15"/>
  <c r="K449" i="15"/>
  <c r="Z448" i="15"/>
  <c r="AO447" i="15"/>
  <c r="Q447" i="15"/>
  <c r="AF431" i="15"/>
  <c r="H431" i="15"/>
  <c r="AI426" i="15"/>
  <c r="K426" i="15"/>
  <c r="Z425" i="15"/>
  <c r="AO424" i="15"/>
  <c r="Q424" i="15"/>
  <c r="AF423" i="15"/>
  <c r="H423" i="15"/>
  <c r="AF449" i="15"/>
  <c r="H449" i="15"/>
  <c r="W448" i="15"/>
  <c r="AL447" i="15"/>
  <c r="N447" i="15"/>
  <c r="AC431" i="15"/>
  <c r="AF426" i="15"/>
  <c r="H426" i="15"/>
  <c r="W425" i="15"/>
  <c r="AL424" i="15"/>
  <c r="N424" i="15"/>
  <c r="AC423" i="15"/>
  <c r="AC449" i="15"/>
  <c r="T448" i="15"/>
  <c r="AI447" i="15"/>
  <c r="K447" i="15"/>
  <c r="Z431" i="15"/>
  <c r="AC426" i="15"/>
  <c r="T425" i="15"/>
  <c r="AI424" i="15"/>
  <c r="K424" i="15"/>
  <c r="Z423" i="15"/>
  <c r="Z449" i="15"/>
  <c r="AO448" i="15"/>
  <c r="Q448" i="15"/>
  <c r="AF447" i="15"/>
  <c r="H447" i="15"/>
  <c r="W431" i="15"/>
  <c r="Z426" i="15"/>
  <c r="AO425" i="15"/>
  <c r="Q425" i="15"/>
  <c r="AF424" i="15"/>
  <c r="H424" i="15"/>
  <c r="W423" i="15"/>
  <c r="W449" i="15"/>
  <c r="AL448" i="15"/>
  <c r="N448" i="15"/>
  <c r="AC447" i="15"/>
  <c r="T431" i="15"/>
  <c r="W426" i="15"/>
  <c r="AL425" i="15"/>
  <c r="N425" i="15"/>
  <c r="AC424" i="15"/>
  <c r="T423" i="15"/>
  <c r="Q431" i="15"/>
  <c r="T426" i="15"/>
  <c r="T417" i="15"/>
  <c r="AI416" i="15"/>
  <c r="K416" i="15"/>
  <c r="Z415" i="15"/>
  <c r="AI448" i="15"/>
  <c r="K425" i="15"/>
  <c r="AL417" i="15"/>
  <c r="N417" i="15"/>
  <c r="AC416" i="15"/>
  <c r="T415" i="15"/>
  <c r="K448" i="15"/>
  <c r="Z424" i="15"/>
  <c r="AI417" i="15"/>
  <c r="K417" i="15"/>
  <c r="Z416" i="15"/>
  <c r="AO415" i="15"/>
  <c r="Q415" i="15"/>
  <c r="Z447" i="15"/>
  <c r="AO423" i="15"/>
  <c r="AF417" i="15"/>
  <c r="H417" i="15"/>
  <c r="W416" i="15"/>
  <c r="AL415" i="15"/>
  <c r="N415" i="15"/>
  <c r="Q423" i="15"/>
  <c r="AC417" i="15"/>
  <c r="T416" i="15"/>
  <c r="AI415" i="15"/>
  <c r="K415" i="15"/>
  <c r="Z417" i="15"/>
  <c r="AO416" i="15"/>
  <c r="Q416" i="15"/>
  <c r="AF415" i="15"/>
  <c r="H415" i="15"/>
  <c r="AO431" i="15"/>
  <c r="W417" i="15"/>
  <c r="AL416" i="15"/>
  <c r="N416" i="15"/>
  <c r="AF416" i="15"/>
  <c r="H416" i="15"/>
  <c r="AC415" i="15"/>
  <c r="AI425" i="15"/>
  <c r="W415" i="15"/>
  <c r="T449" i="15"/>
  <c r="AO417" i="15"/>
  <c r="Q417" i="15"/>
  <c r="E97" i="15"/>
  <c r="V123" i="15"/>
  <c r="T155" i="15"/>
  <c r="K175" i="15"/>
  <c r="K187" i="15"/>
  <c r="S176" i="15"/>
  <c r="S187" i="15"/>
  <c r="AI175" i="15"/>
  <c r="AI187" i="15"/>
  <c r="E200" i="15"/>
  <c r="AC232" i="15"/>
  <c r="Q212" i="15"/>
  <c r="AO212" i="15"/>
  <c r="AK212" i="15"/>
  <c r="E255" i="15"/>
  <c r="N267" i="15"/>
  <c r="AK267" i="15"/>
  <c r="AL287" i="15"/>
  <c r="AK287" i="15" s="1"/>
  <c r="Y267" i="15"/>
  <c r="E81" i="15"/>
  <c r="AC479" i="15"/>
  <c r="E85" i="15"/>
  <c r="N86" i="15"/>
  <c r="AL86" i="15"/>
  <c r="H99" i="15"/>
  <c r="AF99" i="15"/>
  <c r="AF110" i="15" s="1"/>
  <c r="AE155" i="15" s="1"/>
  <c r="L187" i="15"/>
  <c r="T187" i="15"/>
  <c r="AB187" i="15"/>
  <c r="AJ187" i="15"/>
  <c r="H184" i="15"/>
  <c r="E183" i="15"/>
  <c r="E184" i="15" s="1"/>
  <c r="P185" i="15"/>
  <c r="Y187" i="15"/>
  <c r="H212" i="15"/>
  <c r="AF212" i="15"/>
  <c r="E208" i="15"/>
  <c r="E468" i="15"/>
  <c r="Z155" i="15"/>
  <c r="H472" i="15"/>
  <c r="H165" i="15"/>
  <c r="E158" i="15"/>
  <c r="AF472" i="15"/>
  <c r="AF165" i="15"/>
  <c r="E174" i="15"/>
  <c r="T175" i="15"/>
  <c r="AB176" i="15"/>
  <c r="K178" i="15"/>
  <c r="AC187" i="15"/>
  <c r="C190" i="15"/>
  <c r="K230" i="15"/>
  <c r="AI230" i="15"/>
  <c r="E219" i="15"/>
  <c r="W232" i="15"/>
  <c r="K478" i="15"/>
  <c r="AI478" i="15"/>
  <c r="AC155" i="15"/>
  <c r="E148" i="15"/>
  <c r="K472" i="15"/>
  <c r="K165" i="15"/>
  <c r="AI472" i="15"/>
  <c r="AI165" i="15"/>
  <c r="V196" i="15"/>
  <c r="K184" i="15"/>
  <c r="J185" i="15"/>
  <c r="AI184" i="15"/>
  <c r="AH185" i="15"/>
  <c r="Z212" i="15"/>
  <c r="Z230" i="15"/>
  <c r="AC165" i="15"/>
  <c r="J187" i="15"/>
  <c r="Z187" i="15"/>
  <c r="AH187" i="15"/>
  <c r="Q251" i="15"/>
  <c r="Q243" i="15"/>
  <c r="AO251" i="15"/>
  <c r="AO243" i="15"/>
  <c r="E251" i="15"/>
  <c r="K252" i="15"/>
  <c r="Q267" i="15"/>
  <c r="AO267" i="15"/>
  <c r="K304" i="15"/>
  <c r="K309" i="15" s="1"/>
  <c r="K314" i="15" s="1"/>
  <c r="C299" i="15"/>
  <c r="AM304" i="15"/>
  <c r="D242" i="15"/>
  <c r="E243" i="15" s="1"/>
  <c r="E246" i="15"/>
  <c r="S251" i="15"/>
  <c r="T252" i="15" s="1"/>
  <c r="T267" i="15"/>
  <c r="E256" i="15"/>
  <c r="Q285" i="15"/>
  <c r="P285" i="15" s="1"/>
  <c r="AO285" i="15"/>
  <c r="AN285" i="15" s="1"/>
  <c r="E270" i="15"/>
  <c r="Z285" i="15"/>
  <c r="Y285" i="15" s="1"/>
  <c r="C296" i="15"/>
  <c r="D296" i="15" s="1"/>
  <c r="Q304" i="15"/>
  <c r="Q309" i="15" s="1"/>
  <c r="Q314" i="15" s="1"/>
  <c r="P348" i="15" s="1"/>
  <c r="C307" i="15"/>
  <c r="E319" i="15"/>
  <c r="Q330" i="15"/>
  <c r="T348" i="15"/>
  <c r="S348" i="15" s="1"/>
  <c r="AH376" i="15"/>
  <c r="AI396" i="15"/>
  <c r="AH396" i="15" s="1"/>
  <c r="AL398" i="15"/>
  <c r="K243" i="15"/>
  <c r="W267" i="15"/>
  <c r="E264" i="15"/>
  <c r="T285" i="15"/>
  <c r="S285" i="15" s="1"/>
  <c r="E278" i="15"/>
  <c r="N304" i="15"/>
  <c r="N309" i="15" s="1"/>
  <c r="N314" i="15" s="1"/>
  <c r="M295" i="15"/>
  <c r="E295" i="15"/>
  <c r="G307" i="15"/>
  <c r="E307" i="15"/>
  <c r="E318" i="15"/>
  <c r="H330" i="15"/>
  <c r="AF350" i="15"/>
  <c r="E332" i="15"/>
  <c r="E335" i="15"/>
  <c r="W243" i="15"/>
  <c r="V251" i="15"/>
  <c r="W252" i="15" s="1"/>
  <c r="E298" i="15"/>
  <c r="G348" i="15"/>
  <c r="V376" i="15"/>
  <c r="W396" i="15"/>
  <c r="E474" i="15"/>
  <c r="AC243" i="15"/>
  <c r="AC267" i="15"/>
  <c r="E258" i="15"/>
  <c r="E275" i="15"/>
  <c r="E276" i="15"/>
  <c r="E279" i="15"/>
  <c r="E281" i="15"/>
  <c r="W285" i="15"/>
  <c r="V285" i="15" s="1"/>
  <c r="F304" i="15"/>
  <c r="C295" i="15"/>
  <c r="G295" i="15"/>
  <c r="Z304" i="15"/>
  <c r="Z309" i="15" s="1"/>
  <c r="Z314" i="15" s="1"/>
  <c r="AJ309" i="15"/>
  <c r="AO304" i="15"/>
  <c r="AO309" i="15" s="1"/>
  <c r="AO314" i="15" s="1"/>
  <c r="C298" i="15"/>
  <c r="J298" i="15"/>
  <c r="N330" i="15"/>
  <c r="AL330" i="15"/>
  <c r="E342" i="15"/>
  <c r="E344" i="15"/>
  <c r="AN394" i="15"/>
  <c r="AO396" i="15"/>
  <c r="AN396" i="15" s="1"/>
  <c r="AI243" i="15"/>
  <c r="AC285" i="15"/>
  <c r="AB285" i="15" s="1"/>
  <c r="AL304" i="15"/>
  <c r="AL309" i="15" s="1"/>
  <c r="AL314" i="15" s="1"/>
  <c r="AK295" i="15"/>
  <c r="O309" i="15"/>
  <c r="AE348" i="15"/>
  <c r="J376" i="15"/>
  <c r="K396" i="15"/>
  <c r="J396" i="15" s="1"/>
  <c r="Z252" i="15"/>
  <c r="AI252" i="15"/>
  <c r="AH267" i="15"/>
  <c r="AI287" i="15"/>
  <c r="AH287" i="15" s="1"/>
  <c r="H285" i="15"/>
  <c r="G285" i="15" s="1"/>
  <c r="AF285" i="15"/>
  <c r="AE285" i="15" s="1"/>
  <c r="E273" i="15"/>
  <c r="G297" i="15"/>
  <c r="E297" i="15"/>
  <c r="D297" i="15" s="1"/>
  <c r="W304" i="15"/>
  <c r="W309" i="15" s="1"/>
  <c r="W314" i="15" s="1"/>
  <c r="V330" i="15" s="1"/>
  <c r="M396" i="15"/>
  <c r="N398" i="15"/>
  <c r="H396" i="15"/>
  <c r="G396" i="15" s="1"/>
  <c r="G394" i="15"/>
  <c r="X304" i="15"/>
  <c r="E320" i="15"/>
  <c r="N348" i="15"/>
  <c r="AL348" i="15"/>
  <c r="E376" i="15"/>
  <c r="M376" i="15"/>
  <c r="Y376" i="15"/>
  <c r="AK376" i="15"/>
  <c r="I304" i="15"/>
  <c r="AG304" i="15"/>
  <c r="N243" i="15"/>
  <c r="AL243" i="15"/>
  <c r="R304" i="15"/>
  <c r="Q398" i="15"/>
  <c r="AE394" i="15"/>
  <c r="W348" i="15"/>
  <c r="E337" i="15"/>
  <c r="AC396" i="15"/>
  <c r="Y308" i="15"/>
  <c r="Z348" i="15"/>
  <c r="Z350" i="15" s="1"/>
  <c r="E339" i="15"/>
  <c r="S361" i="15"/>
  <c r="S394" i="15"/>
  <c r="AB295" i="15"/>
  <c r="E326" i="15"/>
  <c r="E419" i="15"/>
  <c r="AN307" i="15"/>
  <c r="E328" i="15"/>
  <c r="E331" i="15"/>
  <c r="V361" i="15"/>
  <c r="Z464" i="15"/>
  <c r="H464" i="15"/>
  <c r="AF464" i="15"/>
  <c r="E453" i="15"/>
  <c r="E458" i="15"/>
  <c r="E451" i="15"/>
  <c r="Q432" i="15" l="1"/>
  <c r="M212" i="15"/>
  <c r="AK75" i="15"/>
  <c r="AB137" i="15"/>
  <c r="E27" i="15"/>
  <c r="AI232" i="15"/>
  <c r="K398" i="15"/>
  <c r="AK348" i="15"/>
  <c r="AO398" i="15"/>
  <c r="AD30" i="15"/>
  <c r="AL232" i="15"/>
  <c r="AK232" i="15" s="1"/>
  <c r="AF157" i="15"/>
  <c r="AE157" i="15" s="1"/>
  <c r="M348" i="15"/>
  <c r="AK230" i="15"/>
  <c r="E409" i="15"/>
  <c r="AK107" i="15"/>
  <c r="N188" i="15"/>
  <c r="AB414" i="15"/>
  <c r="AI398" i="15"/>
  <c r="AE350" i="15"/>
  <c r="H479" i="15"/>
  <c r="AO157" i="15"/>
  <c r="V124" i="15"/>
  <c r="E427" i="15"/>
  <c r="E420" i="15"/>
  <c r="E421" i="15"/>
  <c r="AC418" i="15"/>
  <c r="P107" i="15"/>
  <c r="K350" i="15"/>
  <c r="D179" i="15"/>
  <c r="AO350" i="15"/>
  <c r="AN350" i="15" s="1"/>
  <c r="Y119" i="15"/>
  <c r="Q479" i="15"/>
  <c r="Z110" i="15"/>
  <c r="Y137" i="15" s="1"/>
  <c r="D102" i="15"/>
  <c r="AK118" i="15"/>
  <c r="AE30" i="15"/>
  <c r="Y16" i="15"/>
  <c r="AC30" i="15"/>
  <c r="AB57" i="15" s="1"/>
  <c r="P124" i="15"/>
  <c r="H157" i="15"/>
  <c r="S414" i="15"/>
  <c r="J409" i="15"/>
  <c r="AI418" i="15"/>
  <c r="M230" i="15"/>
  <c r="T110" i="15"/>
  <c r="S124" i="15" s="1"/>
  <c r="G409" i="15"/>
  <c r="V105" i="15"/>
  <c r="G414" i="15"/>
  <c r="E439" i="15"/>
  <c r="V412" i="15"/>
  <c r="AK123" i="15"/>
  <c r="AK116" i="15"/>
  <c r="AI350" i="15"/>
  <c r="AH350" i="15" s="1"/>
  <c r="Z398" i="15"/>
  <c r="V114" i="15"/>
  <c r="AL432" i="15"/>
  <c r="AK40" i="15"/>
  <c r="V40" i="15"/>
  <c r="AE413" i="15"/>
  <c r="V411" i="15"/>
  <c r="AK37" i="15"/>
  <c r="AK99" i="15"/>
  <c r="AK120" i="15"/>
  <c r="I27" i="15"/>
  <c r="J27" i="15" s="1"/>
  <c r="E441" i="15"/>
  <c r="AB348" i="15"/>
  <c r="AB304" i="15"/>
  <c r="D299" i="15"/>
  <c r="V120" i="15"/>
  <c r="V119" i="15"/>
  <c r="AE409" i="15"/>
  <c r="V414" i="15"/>
  <c r="R30" i="15"/>
  <c r="S30" i="15" s="1"/>
  <c r="V36" i="15"/>
  <c r="AK115" i="15"/>
  <c r="AK121" i="15"/>
  <c r="I30" i="15"/>
  <c r="E438" i="15"/>
  <c r="E413" i="15"/>
  <c r="AC432" i="15"/>
  <c r="V117" i="15"/>
  <c r="V116" i="15"/>
  <c r="V115" i="15"/>
  <c r="AK414" i="15"/>
  <c r="AK39" i="15"/>
  <c r="G107" i="15"/>
  <c r="V409" i="15"/>
  <c r="S25" i="15"/>
  <c r="V410" i="15"/>
  <c r="AK410" i="15"/>
  <c r="AK119" i="15"/>
  <c r="AK105" i="15"/>
  <c r="AE24" i="15"/>
  <c r="J24" i="15"/>
  <c r="E445" i="15"/>
  <c r="AK411" i="15"/>
  <c r="V122" i="15"/>
  <c r="U110" i="15"/>
  <c r="V110" i="15" s="1"/>
  <c r="V408" i="15"/>
  <c r="AK409" i="15"/>
  <c r="AK412" i="15"/>
  <c r="AK122" i="15"/>
  <c r="AK117" i="15"/>
  <c r="AD27" i="15"/>
  <c r="AE39" i="15" s="1"/>
  <c r="J25" i="15"/>
  <c r="E304" i="15"/>
  <c r="E309" i="15" s="1"/>
  <c r="E314" i="15" s="1"/>
  <c r="U107" i="15"/>
  <c r="V107" i="15" s="1"/>
  <c r="S16" i="15"/>
  <c r="V39" i="15"/>
  <c r="AE412" i="15"/>
  <c r="AK106" i="15"/>
  <c r="AK104" i="15"/>
  <c r="AE25" i="15"/>
  <c r="V106" i="15"/>
  <c r="H110" i="15"/>
  <c r="G124" i="15" s="1"/>
  <c r="AF432" i="15"/>
  <c r="V99" i="15"/>
  <c r="V104" i="15"/>
  <c r="E178" i="15"/>
  <c r="AE414" i="15"/>
  <c r="S26" i="15"/>
  <c r="V413" i="15"/>
  <c r="AE411" i="15"/>
  <c r="AK114" i="15"/>
  <c r="T398" i="15"/>
  <c r="S396" i="15"/>
  <c r="M37" i="15"/>
  <c r="M36" i="15"/>
  <c r="M35" i="15"/>
  <c r="M34" i="15"/>
  <c r="M39" i="15"/>
  <c r="M38" i="15"/>
  <c r="M40" i="15"/>
  <c r="K287" i="15"/>
  <c r="J287" i="15" s="1"/>
  <c r="K432" i="15"/>
  <c r="Z432" i="15"/>
  <c r="Y104" i="15"/>
  <c r="Y106" i="15"/>
  <c r="AB408" i="15"/>
  <c r="P414" i="15"/>
  <c r="E435" i="15"/>
  <c r="AN409" i="15"/>
  <c r="P413" i="15"/>
  <c r="P410" i="15"/>
  <c r="M412" i="15"/>
  <c r="E440" i="15"/>
  <c r="AO432" i="15"/>
  <c r="E434" i="15"/>
  <c r="D308" i="15"/>
  <c r="E437" i="15"/>
  <c r="Y30" i="15"/>
  <c r="E478" i="15"/>
  <c r="Y116" i="15"/>
  <c r="AB409" i="15"/>
  <c r="M414" i="15"/>
  <c r="P26" i="15"/>
  <c r="W30" i="15"/>
  <c r="V30" i="15" s="1"/>
  <c r="E430" i="15"/>
  <c r="E442" i="15"/>
  <c r="AC350" i="15"/>
  <c r="Z352" i="15"/>
  <c r="K352" i="15"/>
  <c r="X107" i="15"/>
  <c r="Y107" i="15" s="1"/>
  <c r="Y120" i="15"/>
  <c r="AN413" i="15"/>
  <c r="AK34" i="15"/>
  <c r="AK38" i="15"/>
  <c r="P412" i="15"/>
  <c r="M411" i="15"/>
  <c r="M24" i="15"/>
  <c r="E428" i="15"/>
  <c r="V16" i="15"/>
  <c r="AN25" i="15"/>
  <c r="O30" i="15"/>
  <c r="Y114" i="15"/>
  <c r="Y123" i="15"/>
  <c r="Y75" i="15"/>
  <c r="AK413" i="15"/>
  <c r="AN412" i="15"/>
  <c r="L30" i="15"/>
  <c r="AB413" i="15"/>
  <c r="AN26" i="15"/>
  <c r="P25" i="15"/>
  <c r="J348" i="15"/>
  <c r="AK155" i="15"/>
  <c r="Y118" i="15"/>
  <c r="Y105" i="15"/>
  <c r="AN411" i="15"/>
  <c r="M16" i="15"/>
  <c r="AM30" i="15"/>
  <c r="O27" i="15"/>
  <c r="P34" i="15" s="1"/>
  <c r="K110" i="15"/>
  <c r="J124" i="15" s="1"/>
  <c r="T350" i="15"/>
  <c r="S350" i="15" s="1"/>
  <c r="AN330" i="15"/>
  <c r="Y330" i="15"/>
  <c r="AF479" i="15"/>
  <c r="AH330" i="15"/>
  <c r="Y121" i="15"/>
  <c r="Y117" i="15"/>
  <c r="Y410" i="15"/>
  <c r="P411" i="15"/>
  <c r="P409" i="15"/>
  <c r="M25" i="15"/>
  <c r="AN24" i="15"/>
  <c r="AK110" i="15"/>
  <c r="AB155" i="15"/>
  <c r="Y115" i="15"/>
  <c r="Y122" i="15"/>
  <c r="AK137" i="15"/>
  <c r="D182" i="15"/>
  <c r="AN414" i="15"/>
  <c r="AN36" i="15"/>
  <c r="M413" i="15"/>
  <c r="D10" i="15"/>
  <c r="N432" i="15"/>
  <c r="E285" i="15"/>
  <c r="D285" i="15" s="1"/>
  <c r="AI479" i="15"/>
  <c r="Y155" i="15"/>
  <c r="AN137" i="15"/>
  <c r="AN110" i="15"/>
  <c r="S57" i="15"/>
  <c r="Y411" i="15"/>
  <c r="AN37" i="15"/>
  <c r="Y26" i="15"/>
  <c r="D98" i="15"/>
  <c r="Y99" i="15"/>
  <c r="M99" i="15"/>
  <c r="K479" i="15"/>
  <c r="P137" i="15"/>
  <c r="E443" i="15"/>
  <c r="Y409" i="15"/>
  <c r="X27" i="15"/>
  <c r="Y27" i="15" s="1"/>
  <c r="AN155" i="15"/>
  <c r="G230" i="15"/>
  <c r="V155" i="15"/>
  <c r="E124" i="15"/>
  <c r="E75" i="15"/>
  <c r="AB36" i="15"/>
  <c r="V37" i="15"/>
  <c r="AN35" i="15"/>
  <c r="Y24" i="15"/>
  <c r="N232" i="15"/>
  <c r="R27" i="15"/>
  <c r="M155" i="15"/>
  <c r="AI432" i="15"/>
  <c r="E415" i="15"/>
  <c r="W432" i="15"/>
  <c r="K450" i="15"/>
  <c r="E423" i="15"/>
  <c r="T432" i="15"/>
  <c r="P155" i="15"/>
  <c r="AO479" i="15"/>
  <c r="Y414" i="15"/>
  <c r="AH155" i="15"/>
  <c r="AN157" i="15"/>
  <c r="V137" i="15"/>
  <c r="E436" i="15"/>
  <c r="Y25" i="15"/>
  <c r="D298" i="15"/>
  <c r="AI450" i="15"/>
  <c r="C187" i="15"/>
  <c r="J414" i="15"/>
  <c r="Y413" i="15"/>
  <c r="Q30" i="15"/>
  <c r="P75" i="15" s="1"/>
  <c r="AN39" i="15"/>
  <c r="AC450" i="15"/>
  <c r="AO188" i="15"/>
  <c r="AO196" i="15"/>
  <c r="AO197" i="15" s="1"/>
  <c r="Q188" i="15"/>
  <c r="M304" i="15"/>
  <c r="E267" i="15"/>
  <c r="E473" i="15"/>
  <c r="S75" i="15"/>
  <c r="E30" i="15"/>
  <c r="C16" i="15"/>
  <c r="D26" i="15" s="1"/>
  <c r="N30" i="15"/>
  <c r="N406" i="15" s="1"/>
  <c r="AK304" i="15"/>
  <c r="AF287" i="15"/>
  <c r="AE287" i="15" s="1"/>
  <c r="E99" i="15"/>
  <c r="E110" i="15" s="1"/>
  <c r="M110" i="15"/>
  <c r="Y412" i="15"/>
  <c r="E444" i="15"/>
  <c r="AO30" i="15"/>
  <c r="AN75" i="15" s="1"/>
  <c r="E446" i="15"/>
  <c r="Q77" i="15"/>
  <c r="AH40" i="15"/>
  <c r="AH27" i="15"/>
  <c r="AH38" i="15"/>
  <c r="AH34" i="15"/>
  <c r="AE27" i="15"/>
  <c r="J304" i="15"/>
  <c r="I309" i="15"/>
  <c r="AI289" i="15"/>
  <c r="P304" i="15"/>
  <c r="N350" i="15"/>
  <c r="M350" i="15" s="1"/>
  <c r="M330" i="15"/>
  <c r="D295" i="15"/>
  <c r="C304" i="15"/>
  <c r="P330" i="15"/>
  <c r="Q350" i="15"/>
  <c r="P350" i="15" s="1"/>
  <c r="AN348" i="15"/>
  <c r="V304" i="15"/>
  <c r="E165" i="15"/>
  <c r="Y188" i="15"/>
  <c r="Y196" i="15"/>
  <c r="J330" i="15"/>
  <c r="AI157" i="15"/>
  <c r="AH157" i="15" s="1"/>
  <c r="Z450" i="15"/>
  <c r="E230" i="15"/>
  <c r="S121" i="15"/>
  <c r="S119" i="15"/>
  <c r="S115" i="15"/>
  <c r="S122" i="15"/>
  <c r="S118" i="15"/>
  <c r="S114" i="15"/>
  <c r="S106" i="15"/>
  <c r="S123" i="15"/>
  <c r="S117" i="15"/>
  <c r="R107" i="15"/>
  <c r="S107" i="15" s="1"/>
  <c r="R110" i="15"/>
  <c r="S105" i="15"/>
  <c r="S120" i="15"/>
  <c r="S116" i="15"/>
  <c r="S104" i="15"/>
  <c r="S99" i="15"/>
  <c r="W450" i="15"/>
  <c r="W418" i="15"/>
  <c r="E86" i="15"/>
  <c r="Q450" i="15"/>
  <c r="M188" i="15"/>
  <c r="M196" i="15"/>
  <c r="N197" i="15" s="1"/>
  <c r="AE124" i="15"/>
  <c r="AL77" i="15"/>
  <c r="AK77" i="15" s="1"/>
  <c r="AK44" i="15"/>
  <c r="S411" i="15"/>
  <c r="O34" i="15"/>
  <c r="AH411" i="15"/>
  <c r="V34" i="15"/>
  <c r="V38" i="15"/>
  <c r="V27" i="15"/>
  <c r="AB411" i="15"/>
  <c r="N77" i="15"/>
  <c r="P110" i="15"/>
  <c r="AL406" i="15"/>
  <c r="AJ479" i="15" s="1"/>
  <c r="AL88" i="15"/>
  <c r="E426" i="15"/>
  <c r="G412" i="15"/>
  <c r="E412" i="15"/>
  <c r="E464" i="15"/>
  <c r="Y348" i="15"/>
  <c r="AL289" i="15"/>
  <c r="P309" i="15"/>
  <c r="O314" i="15"/>
  <c r="F309" i="15"/>
  <c r="G304" i="15"/>
  <c r="AC287" i="15"/>
  <c r="AB267" i="15"/>
  <c r="AO252" i="15"/>
  <c r="AC188" i="15"/>
  <c r="AC196" i="15"/>
  <c r="AF352" i="15"/>
  <c r="AI196" i="15"/>
  <c r="AH230" i="15" s="1"/>
  <c r="AI188" i="15"/>
  <c r="E416" i="15"/>
  <c r="J350" i="15"/>
  <c r="AC157" i="15"/>
  <c r="AB157" i="15" s="1"/>
  <c r="AB124" i="15"/>
  <c r="P230" i="15"/>
  <c r="AC77" i="15"/>
  <c r="AO167" i="15"/>
  <c r="AE99" i="15"/>
  <c r="E469" i="15"/>
  <c r="Q157" i="15"/>
  <c r="P157" i="15" s="1"/>
  <c r="AN99" i="15"/>
  <c r="AL450" i="15"/>
  <c r="AJ450" i="15" s="1"/>
  <c r="E181" i="15"/>
  <c r="AF450" i="15"/>
  <c r="T77" i="15"/>
  <c r="S77" i="15" s="1"/>
  <c r="S44" i="15"/>
  <c r="AE44" i="15"/>
  <c r="AF77" i="15"/>
  <c r="AE77" i="15" s="1"/>
  <c r="G44" i="15"/>
  <c r="H77" i="15"/>
  <c r="G77" i="15" s="1"/>
  <c r="W157" i="15"/>
  <c r="V157" i="15" s="1"/>
  <c r="Q418" i="15"/>
  <c r="P408" i="15"/>
  <c r="E191" i="15"/>
  <c r="AE16" i="15"/>
  <c r="H432" i="15"/>
  <c r="E348" i="15"/>
  <c r="R309" i="15"/>
  <c r="S304" i="15"/>
  <c r="X309" i="15"/>
  <c r="Y304" i="15"/>
  <c r="G330" i="15"/>
  <c r="H350" i="15"/>
  <c r="D307" i="15"/>
  <c r="E472" i="15"/>
  <c r="Z287" i="15"/>
  <c r="AO232" i="15"/>
  <c r="AD309" i="15"/>
  <c r="AE304" i="15"/>
  <c r="AH118" i="15"/>
  <c r="AH114" i="15"/>
  <c r="AH99" i="15"/>
  <c r="AH106" i="15"/>
  <c r="AH117" i="15"/>
  <c r="AH121" i="15"/>
  <c r="AH105" i="15"/>
  <c r="AH120" i="15"/>
  <c r="AH116" i="15"/>
  <c r="AH122" i="15"/>
  <c r="AG107" i="15"/>
  <c r="AH107" i="15" s="1"/>
  <c r="AH104" i="15"/>
  <c r="AH119" i="15"/>
  <c r="AH115" i="15"/>
  <c r="AG110" i="15"/>
  <c r="AH110" i="15" s="1"/>
  <c r="AH123" i="15"/>
  <c r="E155" i="15"/>
  <c r="D155" i="15" s="1"/>
  <c r="AH414" i="15"/>
  <c r="D97" i="15"/>
  <c r="C99" i="15"/>
  <c r="M75" i="15"/>
  <c r="G75" i="15"/>
  <c r="G411" i="15"/>
  <c r="E411" i="15"/>
  <c r="AO77" i="15"/>
  <c r="T418" i="15"/>
  <c r="S408" i="15"/>
  <c r="AF418" i="15"/>
  <c r="AE408" i="15"/>
  <c r="AL418" i="15"/>
  <c r="AK408" i="15"/>
  <c r="H418" i="15"/>
  <c r="E408" i="15"/>
  <c r="G408" i="15"/>
  <c r="AH412" i="15"/>
  <c r="AI30" i="15"/>
  <c r="AH44" i="15" s="1"/>
  <c r="AG34" i="15"/>
  <c r="AH36" i="15"/>
  <c r="J411" i="15"/>
  <c r="AE137" i="15"/>
  <c r="J413" i="15"/>
  <c r="N418" i="15"/>
  <c r="M408" i="15"/>
  <c r="P16" i="15"/>
  <c r="AC398" i="15"/>
  <c r="AB396" i="15"/>
  <c r="E330" i="15"/>
  <c r="Y350" i="15"/>
  <c r="AO287" i="15"/>
  <c r="AN287" i="15" s="1"/>
  <c r="AN267" i="15"/>
  <c r="Q232" i="15"/>
  <c r="P232" i="15" s="1"/>
  <c r="P212" i="15"/>
  <c r="S188" i="15"/>
  <c r="S196" i="15"/>
  <c r="E448" i="15"/>
  <c r="T352" i="15"/>
  <c r="Z157" i="15"/>
  <c r="Y157" i="15" s="1"/>
  <c r="Y124" i="15"/>
  <c r="AB110" i="15"/>
  <c r="S137" i="15"/>
  <c r="J118" i="15"/>
  <c r="J114" i="15"/>
  <c r="J99" i="15"/>
  <c r="J106" i="15"/>
  <c r="J117" i="15"/>
  <c r="J121" i="15"/>
  <c r="J105" i="15"/>
  <c r="J120" i="15"/>
  <c r="J116" i="15"/>
  <c r="J122" i="15"/>
  <c r="I107" i="15"/>
  <c r="J107" i="15" s="1"/>
  <c r="J104" i="15"/>
  <c r="J119" i="15"/>
  <c r="J115" i="15"/>
  <c r="I110" i="15"/>
  <c r="J123" i="15"/>
  <c r="N450" i="15"/>
  <c r="M137" i="15"/>
  <c r="G99" i="15"/>
  <c r="H450" i="15"/>
  <c r="E433" i="15"/>
  <c r="E422" i="15"/>
  <c r="S413" i="15"/>
  <c r="AB40" i="15"/>
  <c r="AB34" i="15"/>
  <c r="AB27" i="15"/>
  <c r="M27" i="15"/>
  <c r="S410" i="15"/>
  <c r="AB35" i="15"/>
  <c r="AB24" i="15"/>
  <c r="AB26" i="15"/>
  <c r="AA30" i="15"/>
  <c r="AB16" i="15"/>
  <c r="AB25" i="15"/>
  <c r="AH410" i="15"/>
  <c r="AB39" i="15"/>
  <c r="AN40" i="15"/>
  <c r="AN27" i="15"/>
  <c r="P99" i="15"/>
  <c r="AN34" i="15"/>
  <c r="AK27" i="15"/>
  <c r="AK35" i="15"/>
  <c r="AG309" i="15"/>
  <c r="AH304" i="15"/>
  <c r="U314" i="15"/>
  <c r="V309" i="15"/>
  <c r="G212" i="15"/>
  <c r="H232" i="15"/>
  <c r="G232" i="15" s="1"/>
  <c r="E417" i="15"/>
  <c r="E447" i="15"/>
  <c r="E425" i="15"/>
  <c r="Q197" i="15"/>
  <c r="AE188" i="15"/>
  <c r="AE196" i="15"/>
  <c r="AF197" i="15" s="1"/>
  <c r="AF188" i="15"/>
  <c r="G188" i="15"/>
  <c r="G196" i="15"/>
  <c r="H197" i="15" s="1"/>
  <c r="K157" i="15"/>
  <c r="T157" i="15"/>
  <c r="AL157" i="15"/>
  <c r="AK124" i="15"/>
  <c r="AH39" i="15"/>
  <c r="AI77" i="15"/>
  <c r="AN408" i="15"/>
  <c r="AO418" i="15"/>
  <c r="F30" i="15"/>
  <c r="G30" i="15" s="1"/>
  <c r="G26" i="15"/>
  <c r="G16" i="15"/>
  <c r="F27" i="15"/>
  <c r="G24" i="15"/>
  <c r="G25" i="15"/>
  <c r="I34" i="15"/>
  <c r="K30" i="15"/>
  <c r="J57" i="15" s="1"/>
  <c r="J410" i="15"/>
  <c r="D18" i="15"/>
  <c r="AH30" i="15"/>
  <c r="AL350" i="15"/>
  <c r="AK350" i="15" s="1"/>
  <c r="AK330" i="15"/>
  <c r="J188" i="15"/>
  <c r="J196" i="15"/>
  <c r="E44" i="15"/>
  <c r="C34" i="15"/>
  <c r="V396" i="15"/>
  <c r="W398" i="15"/>
  <c r="S267" i="15"/>
  <c r="T287" i="15"/>
  <c r="Q287" i="15"/>
  <c r="P287" i="15" s="1"/>
  <c r="P267" i="15"/>
  <c r="Z232" i="15"/>
  <c r="D251" i="15"/>
  <c r="E252" i="15" s="1"/>
  <c r="V348" i="15"/>
  <c r="D376" i="15"/>
  <c r="E396" i="15"/>
  <c r="AJ314" i="15"/>
  <c r="AK309" i="15"/>
  <c r="AH188" i="15"/>
  <c r="AH196" i="15"/>
  <c r="E449" i="15"/>
  <c r="W350" i="15"/>
  <c r="V350" i="15" s="1"/>
  <c r="H287" i="15"/>
  <c r="AK188" i="15"/>
  <c r="AK196" i="15"/>
  <c r="AL197" i="15" s="1"/>
  <c r="C409" i="15"/>
  <c r="T450" i="15"/>
  <c r="AE110" i="15"/>
  <c r="N157" i="15"/>
  <c r="M157" i="15" s="1"/>
  <c r="M124" i="15"/>
  <c r="S409" i="15"/>
  <c r="AH137" i="15"/>
  <c r="W77" i="15"/>
  <c r="G410" i="15"/>
  <c r="E410" i="15"/>
  <c r="S412" i="15"/>
  <c r="E57" i="15"/>
  <c r="Z77" i="15"/>
  <c r="Y44" i="15"/>
  <c r="AB38" i="15"/>
  <c r="AH409" i="15"/>
  <c r="J412" i="15"/>
  <c r="AF406" i="15"/>
  <c r="AD464" i="15" s="1"/>
  <c r="AH16" i="15"/>
  <c r="AN16" i="15"/>
  <c r="J16" i="15"/>
  <c r="AK30" i="15"/>
  <c r="K418" i="15"/>
  <c r="J408" i="15"/>
  <c r="Q252" i="15"/>
  <c r="AA314" i="15"/>
  <c r="AB309" i="15"/>
  <c r="L314" i="15"/>
  <c r="M309" i="15"/>
  <c r="AM309" i="15"/>
  <c r="AN304" i="15"/>
  <c r="E175" i="15"/>
  <c r="E187" i="15"/>
  <c r="AB196" i="15"/>
  <c r="AB188" i="15"/>
  <c r="K196" i="15"/>
  <c r="J230" i="15" s="1"/>
  <c r="K188" i="15"/>
  <c r="H398" i="15"/>
  <c r="V267" i="15"/>
  <c r="W287" i="15"/>
  <c r="Z196" i="15"/>
  <c r="Y230" i="15" s="1"/>
  <c r="Z188" i="15"/>
  <c r="K232" i="15"/>
  <c r="AF232" i="15"/>
  <c r="AE232" i="15" s="1"/>
  <c r="AE212" i="15"/>
  <c r="T196" i="15"/>
  <c r="S232" i="15" s="1"/>
  <c r="T188" i="15"/>
  <c r="M267" i="15"/>
  <c r="N287" i="15"/>
  <c r="E212" i="15"/>
  <c r="E424" i="15"/>
  <c r="E431" i="15"/>
  <c r="W196" i="15"/>
  <c r="V232" i="15" s="1"/>
  <c r="W188" i="15"/>
  <c r="D187" i="15"/>
  <c r="D176" i="15"/>
  <c r="AO450" i="15"/>
  <c r="AH408" i="15"/>
  <c r="E137" i="15"/>
  <c r="G57" i="15"/>
  <c r="Y110" i="15"/>
  <c r="AH35" i="15"/>
  <c r="K77" i="15"/>
  <c r="Z418" i="15"/>
  <c r="Y408" i="15"/>
  <c r="AB410" i="15"/>
  <c r="F35" i="15"/>
  <c r="E8" i="15"/>
  <c r="AB412" i="15"/>
  <c r="C35" i="15"/>
  <c r="D9" i="15"/>
  <c r="AB30" i="15" l="1"/>
  <c r="AF167" i="15"/>
  <c r="AB75" i="15"/>
  <c r="D348" i="15"/>
  <c r="AB44" i="15"/>
  <c r="W167" i="15"/>
  <c r="AN30" i="15"/>
  <c r="S155" i="15"/>
  <c r="AI352" i="15"/>
  <c r="AH232" i="15"/>
  <c r="S157" i="15"/>
  <c r="AC406" i="15"/>
  <c r="AA450" i="15" s="1"/>
  <c r="S110" i="15"/>
  <c r="Y34" i="15"/>
  <c r="T88" i="15"/>
  <c r="M77" i="15"/>
  <c r="AC466" i="15"/>
  <c r="AL234" i="15"/>
  <c r="AN212" i="15"/>
  <c r="AE36" i="15"/>
  <c r="AE35" i="15"/>
  <c r="G157" i="15"/>
  <c r="J110" i="15"/>
  <c r="J44" i="15"/>
  <c r="Y35" i="15"/>
  <c r="AE38" i="15"/>
  <c r="D25" i="15"/>
  <c r="AE40" i="15"/>
  <c r="AO352" i="15"/>
  <c r="J30" i="15"/>
  <c r="AE37" i="15"/>
  <c r="J77" i="15"/>
  <c r="AJ432" i="15"/>
  <c r="G137" i="15"/>
  <c r="M44" i="15"/>
  <c r="AE34" i="15"/>
  <c r="D409" i="15"/>
  <c r="J39" i="15"/>
  <c r="M30" i="15"/>
  <c r="M57" i="15"/>
  <c r="H406" i="15"/>
  <c r="F450" i="15" s="1"/>
  <c r="D124" i="15"/>
  <c r="G155" i="15"/>
  <c r="D57" i="15"/>
  <c r="P36" i="15"/>
  <c r="Q88" i="15"/>
  <c r="H167" i="15"/>
  <c r="J37" i="15"/>
  <c r="C27" i="15"/>
  <c r="D40" i="15" s="1"/>
  <c r="AC167" i="15"/>
  <c r="AF88" i="15"/>
  <c r="P40" i="15"/>
  <c r="Q406" i="15"/>
  <c r="O479" i="15" s="1"/>
  <c r="AI466" i="15"/>
  <c r="Q289" i="15"/>
  <c r="G110" i="15"/>
  <c r="J137" i="15"/>
  <c r="J34" i="15"/>
  <c r="J36" i="15"/>
  <c r="J40" i="15"/>
  <c r="P27" i="15"/>
  <c r="P30" i="15"/>
  <c r="C114" i="15"/>
  <c r="J155" i="15"/>
  <c r="K289" i="15"/>
  <c r="J38" i="15"/>
  <c r="E287" i="15"/>
  <c r="D287" i="15" s="1"/>
  <c r="J35" i="15"/>
  <c r="AO406" i="15"/>
  <c r="AM450" i="15" s="1"/>
  <c r="D137" i="15"/>
  <c r="AN44" i="15"/>
  <c r="AB232" i="15"/>
  <c r="AN77" i="15"/>
  <c r="V44" i="15"/>
  <c r="V77" i="15"/>
  <c r="D267" i="15"/>
  <c r="V57" i="15"/>
  <c r="P35" i="15"/>
  <c r="P37" i="15"/>
  <c r="P38" i="15"/>
  <c r="P39" i="15"/>
  <c r="AB350" i="15"/>
  <c r="AC352" i="15"/>
  <c r="AI167" i="15"/>
  <c r="Q234" i="15"/>
  <c r="V75" i="15"/>
  <c r="L479" i="15"/>
  <c r="L432" i="15"/>
  <c r="AA418" i="15"/>
  <c r="T406" i="15"/>
  <c r="R450" i="15" s="1"/>
  <c r="D16" i="15"/>
  <c r="Q352" i="15"/>
  <c r="C30" i="15"/>
  <c r="D30" i="15" s="1"/>
  <c r="P57" i="15"/>
  <c r="E432" i="15"/>
  <c r="Z406" i="15"/>
  <c r="X450" i="15" s="1"/>
  <c r="E289" i="15"/>
  <c r="E450" i="15"/>
  <c r="E479" i="15"/>
  <c r="AO88" i="15"/>
  <c r="D24" i="15"/>
  <c r="S37" i="15"/>
  <c r="S27" i="15"/>
  <c r="S40" i="15"/>
  <c r="S34" i="15"/>
  <c r="S38" i="15"/>
  <c r="S39" i="15"/>
  <c r="S35" i="15"/>
  <c r="S36" i="15"/>
  <c r="D75" i="15"/>
  <c r="P44" i="15"/>
  <c r="AF289" i="15"/>
  <c r="AN230" i="15"/>
  <c r="AF234" i="15"/>
  <c r="Y212" i="15"/>
  <c r="AD450" i="15"/>
  <c r="N88" i="15"/>
  <c r="P77" i="15"/>
  <c r="Y36" i="15"/>
  <c r="Y37" i="15"/>
  <c r="Y38" i="15"/>
  <c r="Y40" i="15"/>
  <c r="Y39" i="15"/>
  <c r="Y232" i="15"/>
  <c r="AN57" i="15"/>
  <c r="N234" i="15"/>
  <c r="M232" i="15"/>
  <c r="J232" i="15"/>
  <c r="D34" i="15"/>
  <c r="H88" i="15"/>
  <c r="AN309" i="15"/>
  <c r="AM314" i="15"/>
  <c r="AK314" i="15"/>
  <c r="AL405" i="15"/>
  <c r="D330" i="15"/>
  <c r="E350" i="15"/>
  <c r="T466" i="15"/>
  <c r="D122" i="15"/>
  <c r="D120" i="15"/>
  <c r="D116" i="15"/>
  <c r="D104" i="15"/>
  <c r="D123" i="15"/>
  <c r="D119" i="15"/>
  <c r="D115" i="15"/>
  <c r="C107" i="15"/>
  <c r="D107" i="15" s="1"/>
  <c r="D118" i="15"/>
  <c r="D114" i="15"/>
  <c r="C110" i="15"/>
  <c r="D110" i="15" s="1"/>
  <c r="D106" i="15"/>
  <c r="D121" i="15"/>
  <c r="D117" i="15"/>
  <c r="D99" i="15"/>
  <c r="D105" i="15"/>
  <c r="M287" i="15"/>
  <c r="N289" i="15"/>
  <c r="Z234" i="15"/>
  <c r="Z197" i="15"/>
  <c r="D410" i="15"/>
  <c r="G287" i="15"/>
  <c r="H289" i="15"/>
  <c r="D396" i="15"/>
  <c r="E398" i="15"/>
  <c r="K406" i="15"/>
  <c r="I418" i="15" s="1"/>
  <c r="K88" i="15"/>
  <c r="AH309" i="15"/>
  <c r="AG314" i="15"/>
  <c r="Q167" i="15"/>
  <c r="AL352" i="15"/>
  <c r="E418" i="15"/>
  <c r="D408" i="15"/>
  <c r="C408" i="15"/>
  <c r="AD314" i="15"/>
  <c r="AE309" i="15"/>
  <c r="R314" i="15"/>
  <c r="S309" i="15"/>
  <c r="N167" i="15"/>
  <c r="AI234" i="15"/>
  <c r="AI197" i="15"/>
  <c r="AH212" i="15"/>
  <c r="AB287" i="15"/>
  <c r="AC289" i="15"/>
  <c r="E232" i="15"/>
  <c r="M314" i="15"/>
  <c r="N405" i="15"/>
  <c r="AK157" i="15"/>
  <c r="AL167" i="15"/>
  <c r="H466" i="15"/>
  <c r="Q466" i="15"/>
  <c r="D412" i="15"/>
  <c r="AD432" i="15"/>
  <c r="D196" i="15"/>
  <c r="D188" i="15"/>
  <c r="D413" i="15"/>
  <c r="S287" i="15"/>
  <c r="T289" i="15"/>
  <c r="E77" i="15"/>
  <c r="D44" i="15"/>
  <c r="L450" i="15"/>
  <c r="F432" i="15"/>
  <c r="AC234" i="15"/>
  <c r="AC197" i="15"/>
  <c r="AB212" i="15"/>
  <c r="AB230" i="15"/>
  <c r="F314" i="15"/>
  <c r="G309" i="15"/>
  <c r="J309" i="15"/>
  <c r="I314" i="15"/>
  <c r="W197" i="15"/>
  <c r="W234" i="15"/>
  <c r="V212" i="15"/>
  <c r="V230" i="15"/>
  <c r="K234" i="15"/>
  <c r="K197" i="15"/>
  <c r="J212" i="15"/>
  <c r="K466" i="15"/>
  <c r="T234" i="15"/>
  <c r="T197" i="15"/>
  <c r="S230" i="15"/>
  <c r="S212" i="15"/>
  <c r="V287" i="15"/>
  <c r="W289" i="15"/>
  <c r="AB314" i="15"/>
  <c r="AC405" i="15"/>
  <c r="J75" i="15"/>
  <c r="AO466" i="15"/>
  <c r="AJ418" i="15"/>
  <c r="AL466" i="15"/>
  <c r="AJ466" i="15" s="1"/>
  <c r="D411" i="15"/>
  <c r="T167" i="15"/>
  <c r="AN232" i="15"/>
  <c r="AO234" i="15"/>
  <c r="G350" i="15"/>
  <c r="H352" i="15"/>
  <c r="W88" i="15"/>
  <c r="H234" i="15"/>
  <c r="P314" i="15"/>
  <c r="Q405" i="15"/>
  <c r="AD479" i="15"/>
  <c r="E188" i="15"/>
  <c r="E196" i="15"/>
  <c r="AI406" i="15"/>
  <c r="AI88" i="15"/>
  <c r="AH75" i="15"/>
  <c r="Y287" i="15"/>
  <c r="Z289" i="15"/>
  <c r="W406" i="15"/>
  <c r="U450" i="15" s="1"/>
  <c r="Z167" i="15"/>
  <c r="C309" i="15"/>
  <c r="D304" i="15"/>
  <c r="Z466" i="15"/>
  <c r="Y77" i="15"/>
  <c r="Z88" i="15"/>
  <c r="G40" i="15"/>
  <c r="G39" i="15"/>
  <c r="G35" i="15"/>
  <c r="G27" i="15"/>
  <c r="G38" i="15"/>
  <c r="G36" i="15"/>
  <c r="G37" i="15"/>
  <c r="G34" i="15"/>
  <c r="AF466" i="15"/>
  <c r="AD466" i="15" s="1"/>
  <c r="AD418" i="15"/>
  <c r="AO289" i="15"/>
  <c r="AJ464" i="15"/>
  <c r="E157" i="15"/>
  <c r="W352" i="15"/>
  <c r="AH77" i="15"/>
  <c r="J157" i="15"/>
  <c r="K167" i="15"/>
  <c r="V314" i="15"/>
  <c r="W405" i="15"/>
  <c r="N466" i="15"/>
  <c r="L466" i="15" s="1"/>
  <c r="L418" i="15"/>
  <c r="AH57" i="15"/>
  <c r="Y309" i="15"/>
  <c r="X314" i="15"/>
  <c r="D414" i="15"/>
  <c r="AB77" i="15"/>
  <c r="AC88" i="15"/>
  <c r="N352" i="15"/>
  <c r="W466" i="15"/>
  <c r="L464" i="15"/>
  <c r="AA464" i="15"/>
  <c r="AC481" i="15" l="1"/>
  <c r="H481" i="15"/>
  <c r="F466" i="15"/>
  <c r="AA466" i="15"/>
  <c r="F418" i="15"/>
  <c r="D37" i="15"/>
  <c r="AA479" i="15"/>
  <c r="AA432" i="15"/>
  <c r="O450" i="15"/>
  <c r="O418" i="15"/>
  <c r="D27" i="15"/>
  <c r="O466" i="15"/>
  <c r="D38" i="15"/>
  <c r="O464" i="15"/>
  <c r="D35" i="15"/>
  <c r="D36" i="15"/>
  <c r="D39" i="15"/>
  <c r="O432" i="15"/>
  <c r="AM466" i="15"/>
  <c r="X418" i="15"/>
  <c r="AM464" i="15"/>
  <c r="X464" i="15"/>
  <c r="F479" i="15"/>
  <c r="F464" i="15"/>
  <c r="AM418" i="15"/>
  <c r="R418" i="15"/>
  <c r="R466" i="15"/>
  <c r="I466" i="15"/>
  <c r="R464" i="15"/>
  <c r="AM479" i="15"/>
  <c r="AM432" i="15"/>
  <c r="U466" i="15"/>
  <c r="AL481" i="15"/>
  <c r="AL487" i="15" s="1"/>
  <c r="U418" i="15"/>
  <c r="X466" i="15"/>
  <c r="X432" i="15"/>
  <c r="X479" i="15"/>
  <c r="AF481" i="15"/>
  <c r="AF487" i="15" s="1"/>
  <c r="R479" i="15"/>
  <c r="R432" i="15"/>
  <c r="AK481" i="15"/>
  <c r="D77" i="15"/>
  <c r="E88" i="15"/>
  <c r="D350" i="15"/>
  <c r="E352" i="15"/>
  <c r="K481" i="15"/>
  <c r="I464" i="15"/>
  <c r="I479" i="15"/>
  <c r="I432" i="15"/>
  <c r="I450" i="15"/>
  <c r="D309" i="15"/>
  <c r="C314" i="15"/>
  <c r="D314" i="15" s="1"/>
  <c r="E197" i="15"/>
  <c r="E234" i="15"/>
  <c r="E406" i="15"/>
  <c r="AO481" i="15"/>
  <c r="D212" i="15"/>
  <c r="E466" i="15"/>
  <c r="AE314" i="15"/>
  <c r="AF405" i="15"/>
  <c r="D232" i="15"/>
  <c r="AN314" i="15"/>
  <c r="AO405" i="15"/>
  <c r="J314" i="15"/>
  <c r="K405" i="15"/>
  <c r="AI481" i="15"/>
  <c r="AG464" i="15"/>
  <c r="AG418" i="15"/>
  <c r="AG432" i="15"/>
  <c r="AG450" i="15"/>
  <c r="AG479" i="15"/>
  <c r="N481" i="15"/>
  <c r="T481" i="15"/>
  <c r="D157" i="15"/>
  <c r="E167" i="15"/>
  <c r="AG466" i="15"/>
  <c r="W481" i="15"/>
  <c r="U464" i="15"/>
  <c r="U479" i="15"/>
  <c r="U432" i="15"/>
  <c r="G314" i="15"/>
  <c r="H405" i="15"/>
  <c r="G481" i="15" s="1"/>
  <c r="Z481" i="15"/>
  <c r="D230" i="15"/>
  <c r="S314" i="15"/>
  <c r="T405" i="15"/>
  <c r="D418" i="15"/>
  <c r="AC487" i="15"/>
  <c r="AB481" i="15"/>
  <c r="Y314" i="15"/>
  <c r="Z405" i="15"/>
  <c r="H487" i="15"/>
  <c r="Q481" i="15"/>
  <c r="AH314" i="15"/>
  <c r="AI405" i="15"/>
  <c r="AE481" i="15" l="1"/>
  <c r="Q487" i="15"/>
  <c r="P481" i="15"/>
  <c r="E481" i="15"/>
  <c r="C432" i="15"/>
  <c r="C464" i="15"/>
  <c r="C450" i="15"/>
  <c r="C479" i="15"/>
  <c r="J481" i="15"/>
  <c r="K487" i="15"/>
  <c r="G487" i="15"/>
  <c r="H496" i="15"/>
  <c r="G496" i="15" s="1"/>
  <c r="E405" i="15"/>
  <c r="AH481" i="15"/>
  <c r="AI487" i="15"/>
  <c r="C418" i="15"/>
  <c r="T487" i="15"/>
  <c r="S481" i="15"/>
  <c r="M481" i="15"/>
  <c r="N487" i="15"/>
  <c r="AL496" i="15"/>
  <c r="AK496" i="15" s="1"/>
  <c r="AK487" i="15"/>
  <c r="V481" i="15"/>
  <c r="W487" i="15"/>
  <c r="Y481" i="15"/>
  <c r="Z487" i="15"/>
  <c r="AE487" i="15"/>
  <c r="AF496" i="15"/>
  <c r="AE496" i="15" s="1"/>
  <c r="C466" i="15"/>
  <c r="AC496" i="15"/>
  <c r="AB496" i="15" s="1"/>
  <c r="AB487" i="15"/>
  <c r="AO487" i="15"/>
  <c r="AN481" i="15"/>
  <c r="Z496" i="15" l="1"/>
  <c r="Y496" i="15" s="1"/>
  <c r="Y487" i="15"/>
  <c r="K496" i="15"/>
  <c r="J496" i="15" s="1"/>
  <c r="J487" i="15"/>
  <c r="Q496" i="15"/>
  <c r="P496" i="15" s="1"/>
  <c r="P487" i="15"/>
  <c r="S487" i="15"/>
  <c r="T496" i="15"/>
  <c r="S496" i="15" s="1"/>
  <c r="AO496" i="15"/>
  <c r="AN496" i="15" s="1"/>
  <c r="AN487" i="15"/>
  <c r="W496" i="15"/>
  <c r="V496" i="15" s="1"/>
  <c r="V487" i="15"/>
  <c r="AI496" i="15"/>
  <c r="AH496" i="15" s="1"/>
  <c r="AH487" i="15"/>
  <c r="N496" i="15"/>
  <c r="M496" i="15" s="1"/>
  <c r="M487" i="15"/>
  <c r="E487" i="15"/>
  <c r="D481" i="15"/>
  <c r="E496" i="15" l="1"/>
  <c r="D496" i="15" s="1"/>
  <c r="D487" i="15"/>
  <c r="A336" i="17"/>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A68" i="17"/>
  <c r="A68" i="3"/>
  <c r="B67" i="17"/>
  <c r="A67" i="17" s="1"/>
  <c r="B67" i="3"/>
  <c r="B46" i="17"/>
  <c r="A46" i="17" s="1"/>
  <c r="B47" i="17"/>
  <c r="A47" i="17" s="1"/>
  <c r="B48" i="17"/>
  <c r="A48" i="17" s="1"/>
  <c r="B46" i="3"/>
  <c r="A46" i="3" s="1"/>
  <c r="B47" i="3"/>
  <c r="A47" i="3" s="1"/>
  <c r="B48" i="3"/>
  <c r="A48" i="3" s="1"/>
  <c r="B37" i="17"/>
  <c r="A37" i="17" s="1"/>
  <c r="B38" i="17"/>
  <c r="A38" i="17" s="1"/>
  <c r="B39" i="17"/>
  <c r="A39" i="17" s="1"/>
  <c r="B37" i="3"/>
  <c r="A37" i="3" s="1"/>
  <c r="B38" i="3"/>
  <c r="A38" i="3" s="1"/>
  <c r="B39" i="3"/>
  <c r="A39" i="3" s="1"/>
  <c r="B7" i="17"/>
  <c r="A7" i="17" s="1"/>
  <c r="B8" i="17"/>
  <c r="A8" i="17" s="1"/>
  <c r="B9" i="17"/>
  <c r="A9" i="17" s="1"/>
  <c r="B10" i="17"/>
  <c r="A10" i="17" s="1"/>
  <c r="B11" i="17"/>
  <c r="A11" i="17" s="1"/>
  <c r="B7" i="3"/>
  <c r="A7" i="3" s="1"/>
  <c r="B8" i="3"/>
  <c r="A8" i="3" s="1"/>
  <c r="B9" i="3"/>
  <c r="A9" i="3" s="1"/>
  <c r="B10" i="3"/>
  <c r="A10" i="3" s="1"/>
  <c r="B11" i="3"/>
  <c r="A11" i="3" s="1"/>
  <c r="A67" i="3" l="1"/>
  <c r="A79" i="17"/>
  <c r="A81" i="3"/>
  <c r="A80" i="3"/>
  <c r="A79" i="3"/>
  <c r="A81" i="17"/>
  <c r="A80" i="17"/>
  <c r="H97" i="17" l="1"/>
  <c r="A101" i="16"/>
  <c r="A101" i="15"/>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1" i="17"/>
  <c r="S355" i="17" s="1"/>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Z439" i="17" l="1"/>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I9" i="3"/>
  <c r="I48" i="3"/>
  <c r="I46" i="3"/>
  <c r="G9" i="3"/>
  <c r="G11" i="3"/>
  <c r="G8" i="3"/>
  <c r="I79" i="3"/>
  <c r="I10" i="3"/>
  <c r="G7" i="3"/>
  <c r="I47" i="3"/>
  <c r="I37" i="3"/>
  <c r="I38" i="3"/>
  <c r="I11" i="3"/>
  <c r="I69" i="3"/>
  <c r="N69" i="3" s="1"/>
  <c r="I80" i="3"/>
  <c r="I67" i="3"/>
  <c r="I7" i="3"/>
  <c r="I39" i="3"/>
  <c r="G10" i="3"/>
  <c r="I8" i="3"/>
  <c r="I68" i="3"/>
  <c r="I81" i="3"/>
  <c r="AC490" i="3"/>
  <c r="AC491" i="3"/>
  <c r="AC456" i="3"/>
  <c r="AC457" i="3"/>
  <c r="AC458" i="3"/>
  <c r="AC455" i="3"/>
  <c r="AC454" i="3"/>
  <c r="AC459" i="3"/>
  <c r="AC460" i="3"/>
  <c r="AC452" i="3"/>
  <c r="AC453" i="3"/>
  <c r="AC495" i="3"/>
  <c r="AC494" i="3" l="1"/>
  <c r="AI494" i="3" s="1"/>
  <c r="AC496" i="3"/>
  <c r="AI496" i="3" s="1"/>
  <c r="H10" i="3"/>
  <c r="H7" i="3"/>
  <c r="H8" i="3"/>
  <c r="AI495" i="3"/>
  <c r="H11" i="3"/>
  <c r="H300" i="3"/>
  <c r="AI493" i="3"/>
  <c r="H9" i="3"/>
  <c r="AC468" i="3"/>
  <c r="A495" i="15" l="1"/>
  <c r="A494" i="15"/>
  <c r="A493" i="15"/>
  <c r="A492" i="15"/>
  <c r="A491" i="15"/>
  <c r="A490" i="15"/>
  <c r="A489"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05"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59" i="15"/>
  <c r="A289"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294"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40"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173" i="15"/>
  <c r="A97" i="15"/>
  <c r="A98" i="15"/>
  <c r="A99" i="15"/>
  <c r="A100"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D28" i="19" s="1"/>
  <c r="A111" i="3"/>
  <c r="I111" i="3" s="1"/>
  <c r="D24" i="19" s="1"/>
  <c r="A110" i="3"/>
  <c r="A109" i="3"/>
  <c r="A108" i="3"/>
  <c r="A107" i="3"/>
  <c r="A106" i="3"/>
  <c r="A105" i="3"/>
  <c r="A104" i="3"/>
  <c r="A103" i="3"/>
  <c r="A102" i="3"/>
  <c r="A101" i="3"/>
  <c r="A100" i="3"/>
  <c r="A99" i="3"/>
  <c r="A98" i="3"/>
  <c r="A97" i="3"/>
  <c r="A96" i="3"/>
  <c r="A95" i="3"/>
  <c r="A94" i="3"/>
  <c r="A93" i="3"/>
  <c r="I93" i="3" s="1"/>
  <c r="A71" i="3"/>
  <c r="I71" i="3" s="1"/>
  <c r="A75" i="3"/>
  <c r="I75" i="3" s="1"/>
  <c r="A82" i="3"/>
  <c r="I82" i="3" s="1"/>
  <c r="C3" i="1"/>
  <c r="N4" i="1"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Z493" i="3" l="1"/>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D7" i="3"/>
  <c r="F68" i="3"/>
  <c r="F46" i="3"/>
  <c r="D10" i="3"/>
  <c r="E10" i="3" s="1"/>
  <c r="F69" i="3"/>
  <c r="D8" i="3"/>
  <c r="E8" i="3" s="1"/>
  <c r="F11" i="3"/>
  <c r="D11" i="3"/>
  <c r="E11" i="3" s="1"/>
  <c r="F37" i="3"/>
  <c r="F9" i="3"/>
  <c r="F47" i="3"/>
  <c r="F10" i="3"/>
  <c r="F81" i="3"/>
  <c r="F39" i="3"/>
  <c r="F48" i="3"/>
  <c r="F7" i="3"/>
  <c r="F38" i="3"/>
  <c r="D9" i="3"/>
  <c r="E9" i="3" s="1"/>
  <c r="F8" i="3"/>
  <c r="F67" i="3"/>
  <c r="F79" i="3"/>
  <c r="F8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D30" i="19" s="1"/>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I3" i="15"/>
  <c r="J3" i="16"/>
  <c r="K3" i="16"/>
  <c r="I3" i="16"/>
  <c r="F113" i="3"/>
  <c r="F124" i="3"/>
  <c r="F135" i="3"/>
  <c r="F143" i="3"/>
  <c r="F224" i="3"/>
  <c r="F215" i="3"/>
  <c r="F207" i="3"/>
  <c r="F199" i="3"/>
  <c r="F280" i="3"/>
  <c r="F271" i="3"/>
  <c r="F263" i="3"/>
  <c r="F255" i="3"/>
  <c r="F338" i="3"/>
  <c r="F318" i="3"/>
  <c r="F366" i="3"/>
  <c r="F374" i="3"/>
  <c r="F382" i="3"/>
  <c r="F390" i="3"/>
  <c r="F276" i="3"/>
  <c r="F378" i="3"/>
  <c r="F140" i="3"/>
  <c r="F266" i="3"/>
  <c r="F82"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75" i="3"/>
  <c r="F115" i="3"/>
  <c r="F137" i="3"/>
  <c r="F145" i="3"/>
  <c r="F156" i="3"/>
  <c r="F222" i="3"/>
  <c r="F213" i="3"/>
  <c r="F205" i="3"/>
  <c r="F197" i="3"/>
  <c r="F278" i="3"/>
  <c r="F269" i="3"/>
  <c r="F261" i="3"/>
  <c r="F253" i="3"/>
  <c r="F335" i="3"/>
  <c r="F327" i="3"/>
  <c r="F368" i="3"/>
  <c r="F384" i="3"/>
  <c r="F392" i="3"/>
  <c r="F131" i="3"/>
  <c r="F386" i="3"/>
  <c r="F210" i="3"/>
  <c r="F258" i="3"/>
  <c r="F71"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J3" i="15"/>
  <c r="K3" i="15"/>
  <c r="N11" i="1"/>
  <c r="N10" i="1"/>
  <c r="N9" i="1"/>
  <c r="N8" i="1"/>
  <c r="N3" i="1"/>
  <c r="N7" i="1"/>
  <c r="N14" i="1"/>
  <c r="N6" i="1"/>
  <c r="N13" i="1"/>
  <c r="N5" i="1"/>
  <c r="N12" i="1"/>
  <c r="Z468" i="3"/>
  <c r="E44" i="19" l="1"/>
  <c r="E41" i="19"/>
  <c r="E40" i="19"/>
  <c r="E45" i="19"/>
  <c r="D41" i="19"/>
  <c r="E52" i="19"/>
  <c r="E58" i="19"/>
  <c r="E57" i="19"/>
  <c r="E51" i="19"/>
  <c r="D51" i="19"/>
  <c r="D57" i="19"/>
  <c r="D58" i="19"/>
  <c r="D52" i="19"/>
  <c r="D40" i="19"/>
  <c r="H99" i="3"/>
  <c r="E7" i="3"/>
  <c r="H306" i="3"/>
  <c r="H298" i="3"/>
  <c r="H295" i="3"/>
  <c r="H307" i="3"/>
  <c r="H296" i="3"/>
  <c r="H311" i="3"/>
  <c r="H94" i="3"/>
  <c r="H297" i="3"/>
  <c r="H299" i="3"/>
  <c r="H376" i="3"/>
  <c r="I396" i="3"/>
  <c r="H396" i="3" s="1"/>
  <c r="Z496" i="17"/>
  <c r="Z494" i="3"/>
  <c r="Z495" i="3"/>
  <c r="Z496" i="3"/>
  <c r="F134" i="3"/>
  <c r="F329" i="3"/>
  <c r="I134" i="3"/>
  <c r="I154" i="3" s="1"/>
  <c r="I209" i="3"/>
  <c r="D43" i="19" s="1"/>
  <c r="I96" i="3"/>
  <c r="D22" i="19" s="1"/>
  <c r="I348" i="3"/>
  <c r="I350" i="3" s="1"/>
  <c r="H249" i="3"/>
  <c r="I181" i="3"/>
  <c r="I178" i="3"/>
  <c r="H284" i="3"/>
  <c r="H265" i="3"/>
  <c r="I286" i="3"/>
  <c r="H286" i="3" s="1"/>
  <c r="I172" i="3"/>
  <c r="I184" i="3"/>
  <c r="H95" i="3"/>
  <c r="G96" i="3"/>
  <c r="D21" i="19" s="1"/>
  <c r="H173" i="3"/>
  <c r="H184" i="3"/>
  <c r="H193" i="3" s="1"/>
  <c r="D38" i="19" s="1"/>
  <c r="I241" i="3"/>
  <c r="I104" i="3"/>
  <c r="D26" i="19" s="1"/>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F367" i="17" l="1"/>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3" i="19"/>
  <c r="D25" i="19"/>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H298" i="17" s="1"/>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F376" i="17" l="1"/>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F398" i="17" l="1"/>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Z443" i="17"/>
  <c r="E99" i="17"/>
  <c r="E17" i="17"/>
  <c r="E15" i="17"/>
  <c r="E94" i="17"/>
  <c r="E296" i="17"/>
  <c r="Z436" i="17"/>
  <c r="F178" i="17"/>
  <c r="F284" i="17"/>
  <c r="E284" i="17" s="1"/>
  <c r="Z465" i="17"/>
  <c r="Z427" i="17"/>
  <c r="Z440" i="17"/>
  <c r="AC497" i="17"/>
  <c r="AB497" i="17" s="1"/>
  <c r="AB488" i="17"/>
  <c r="E7" i="17"/>
  <c r="F348" i="17"/>
  <c r="F188" i="17"/>
  <c r="E173" i="17"/>
  <c r="E184" i="17"/>
  <c r="E193" i="17" s="1"/>
  <c r="F228" i="17"/>
  <c r="F247" i="17"/>
  <c r="E249" i="17"/>
  <c r="F244" i="17"/>
  <c r="F249" i="17"/>
  <c r="Z447" i="17"/>
  <c r="F303" i="17"/>
  <c r="F308" i="17" s="1"/>
  <c r="F313" i="17" s="1"/>
  <c r="Z414" i="17"/>
  <c r="F181" i="17"/>
  <c r="E265"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L447" i="17" l="1"/>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6" i="3"/>
  <c r="AL495" i="17"/>
  <c r="AL495" i="3"/>
  <c r="AL492" i="17"/>
  <c r="AL492" i="3"/>
  <c r="AL493" i="17"/>
  <c r="AO493" i="17" s="1"/>
  <c r="AL493" i="3"/>
  <c r="AO493" i="3" s="1"/>
  <c r="AL496" i="17"/>
  <c r="AL494" i="17"/>
  <c r="AL494" i="3"/>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3" i="5"/>
  <c r="AL473" i="17" l="1"/>
  <c r="AO473" i="17" s="1"/>
  <c r="Q75" i="17"/>
  <c r="AL470" i="17" s="1"/>
  <c r="Q344" i="17"/>
  <c r="Q68" i="17"/>
  <c r="Q72" i="17" s="1"/>
  <c r="Q280" i="17"/>
  <c r="Q224" i="17"/>
  <c r="Q148" i="17"/>
  <c r="Q344" i="3"/>
  <c r="Q68" i="3"/>
  <c r="Q148" i="3"/>
  <c r="Q280" i="3"/>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284" i="17"/>
  <c r="P284" i="17" s="1"/>
  <c r="Q188" i="17"/>
  <c r="Q303" i="17"/>
  <c r="Q308" i="17" s="1"/>
  <c r="Q313" i="17" s="1"/>
  <c r="Q152" i="17"/>
  <c r="AL435" i="17"/>
  <c r="P94" i="17"/>
  <c r="O96" i="17"/>
  <c r="Q158" i="17" s="1"/>
  <c r="Q82" i="17" s="1"/>
  <c r="AL479" i="17" s="1"/>
  <c r="AL446" i="17"/>
  <c r="P297" i="17"/>
  <c r="AL438" i="17"/>
  <c r="Q329" i="17"/>
  <c r="Q13" i="17"/>
  <c r="AL444" i="17"/>
  <c r="Q228"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Q348" i="3"/>
  <c r="Q284" i="3"/>
  <c r="P284" i="3" s="1"/>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Q158" i="3"/>
  <c r="Q82" i="3" s="1"/>
  <c r="F31" i="19"/>
  <c r="F27" i="19"/>
  <c r="F46" i="19"/>
  <c r="F29" i="19"/>
  <c r="F23"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P36" i="17" l="1"/>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97" i="17" s="1"/>
  <c r="Y488" i="17"/>
  <c r="Q83" i="17"/>
  <c r="Q85" i="17" s="1"/>
  <c r="P313" i="17"/>
  <c r="AL405" i="17"/>
  <c r="K146" i="10"/>
  <c r="K145" i="10"/>
  <c r="K143" i="10"/>
  <c r="K142" i="10"/>
  <c r="K139" i="10"/>
  <c r="K137" i="10"/>
  <c r="K132" i="10"/>
  <c r="K130" i="10"/>
  <c r="K129" i="10"/>
  <c r="K128" i="10"/>
  <c r="K127" i="10"/>
  <c r="K126" i="10"/>
  <c r="K125" i="10"/>
  <c r="K124" i="10"/>
  <c r="K123" i="10"/>
  <c r="K122" i="10"/>
  <c r="K121" i="10"/>
  <c r="K119" i="10"/>
  <c r="K118" i="10"/>
  <c r="K117" i="10"/>
  <c r="K116" i="10"/>
  <c r="K114"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5" i="5"/>
  <c r="R1055" i="5"/>
  <c r="Q1055" i="5"/>
  <c r="N1055" i="5" s="1"/>
  <c r="M1055" i="5"/>
  <c r="L1055" i="5"/>
  <c r="S1054" i="5"/>
  <c r="R1054" i="5"/>
  <c r="Q1054" i="5"/>
  <c r="P1054" i="5" s="1"/>
  <c r="M1054" i="5"/>
  <c r="L1054" i="5"/>
  <c r="S1053" i="5"/>
  <c r="R1053" i="5"/>
  <c r="Q1053" i="5"/>
  <c r="N1053" i="5" s="1"/>
  <c r="M1053" i="5"/>
  <c r="L1053" i="5"/>
  <c r="S1052" i="5"/>
  <c r="R1052" i="5"/>
  <c r="Q1052" i="5"/>
  <c r="M1052" i="5"/>
  <c r="L1052" i="5"/>
  <c r="S1051" i="5"/>
  <c r="R1051" i="5"/>
  <c r="Q1051" i="5"/>
  <c r="M1051" i="5"/>
  <c r="L1051" i="5"/>
  <c r="S1050" i="5"/>
  <c r="R1050" i="5"/>
  <c r="Q1050" i="5"/>
  <c r="P1050" i="5" s="1"/>
  <c r="M1050" i="5"/>
  <c r="L1050" i="5"/>
  <c r="S1049" i="5"/>
  <c r="R1049" i="5"/>
  <c r="Q1049" i="5"/>
  <c r="N1049" i="5" s="1"/>
  <c r="M1049" i="5"/>
  <c r="L1049" i="5"/>
  <c r="S1048" i="5"/>
  <c r="R1048" i="5"/>
  <c r="Q1048" i="5"/>
  <c r="P1048" i="5" s="1"/>
  <c r="M1048" i="5"/>
  <c r="L1048" i="5"/>
  <c r="S1047" i="5"/>
  <c r="R1047" i="5"/>
  <c r="Q1047" i="5"/>
  <c r="N1047" i="5" s="1"/>
  <c r="M1047" i="5"/>
  <c r="L1047" i="5"/>
  <c r="S1046" i="5"/>
  <c r="R1046" i="5"/>
  <c r="Q1046" i="5"/>
  <c r="P1046" i="5" s="1"/>
  <c r="M1046" i="5"/>
  <c r="L1046" i="5"/>
  <c r="S1045" i="5"/>
  <c r="R1045" i="5"/>
  <c r="Q1045" i="5"/>
  <c r="N1045" i="5" s="1"/>
  <c r="M1045" i="5"/>
  <c r="L1045" i="5"/>
  <c r="S1044" i="5"/>
  <c r="R1044" i="5"/>
  <c r="Q1044" i="5"/>
  <c r="P1044" i="5" s="1"/>
  <c r="M1044" i="5"/>
  <c r="L1044" i="5"/>
  <c r="S1043" i="5"/>
  <c r="R1043" i="5"/>
  <c r="Q1043" i="5"/>
  <c r="M1043" i="5"/>
  <c r="L1043" i="5"/>
  <c r="S1042" i="5"/>
  <c r="R1042" i="5"/>
  <c r="Q1042" i="5"/>
  <c r="P1042" i="5" s="1"/>
  <c r="M1042" i="5"/>
  <c r="L1042" i="5"/>
  <c r="S1041" i="5"/>
  <c r="R1041" i="5"/>
  <c r="Q1041" i="5"/>
  <c r="N1041" i="5" s="1"/>
  <c r="M1041" i="5"/>
  <c r="L1041" i="5"/>
  <c r="S1040" i="5"/>
  <c r="R1040" i="5"/>
  <c r="Q1040" i="5"/>
  <c r="M1040" i="5"/>
  <c r="L1040" i="5"/>
  <c r="S1039" i="5"/>
  <c r="R1039" i="5"/>
  <c r="Q1039" i="5"/>
  <c r="N1039" i="5" s="1"/>
  <c r="M1039" i="5"/>
  <c r="L1039" i="5"/>
  <c r="S1038" i="5"/>
  <c r="R1038" i="5"/>
  <c r="Q1038" i="5"/>
  <c r="P1038" i="5" s="1"/>
  <c r="M1038" i="5"/>
  <c r="L1038" i="5"/>
  <c r="S1037" i="5"/>
  <c r="R1037" i="5"/>
  <c r="Q1037" i="5"/>
  <c r="N1037" i="5" s="1"/>
  <c r="M1037" i="5"/>
  <c r="L1037" i="5"/>
  <c r="S1036" i="5"/>
  <c r="R1036" i="5"/>
  <c r="Q1036" i="5"/>
  <c r="P1036" i="5" s="1"/>
  <c r="M1036" i="5"/>
  <c r="L1036" i="5"/>
  <c r="S1035" i="5"/>
  <c r="R1035" i="5"/>
  <c r="Q1035" i="5"/>
  <c r="N1035" i="5" s="1"/>
  <c r="M1035" i="5"/>
  <c r="L1035" i="5"/>
  <c r="X1035" i="5" s="1"/>
  <c r="S1034" i="5"/>
  <c r="R1034" i="5"/>
  <c r="Q1034" i="5"/>
  <c r="P1034" i="5" s="1"/>
  <c r="M1034" i="5"/>
  <c r="L1034" i="5"/>
  <c r="X1034" i="5" s="1"/>
  <c r="S1033" i="5"/>
  <c r="R1033" i="5"/>
  <c r="Q1033" i="5"/>
  <c r="N1033" i="5" s="1"/>
  <c r="M1033" i="5"/>
  <c r="L1033" i="5"/>
  <c r="S1032" i="5"/>
  <c r="R1032" i="5"/>
  <c r="Q1032" i="5"/>
  <c r="P1032" i="5" s="1"/>
  <c r="M1032" i="5"/>
  <c r="L1032" i="5"/>
  <c r="X1032" i="5" s="1"/>
  <c r="S1031" i="5"/>
  <c r="R1031" i="5"/>
  <c r="Q1031" i="5"/>
  <c r="N1031" i="5" s="1"/>
  <c r="M1031" i="5"/>
  <c r="L1031" i="5"/>
  <c r="X1031" i="5" s="1"/>
  <c r="S1030" i="5"/>
  <c r="R1030" i="5"/>
  <c r="Q1030" i="5"/>
  <c r="P1030" i="5" s="1"/>
  <c r="M1030" i="5"/>
  <c r="L1030" i="5"/>
  <c r="X1030" i="5" s="1"/>
  <c r="S1029" i="5"/>
  <c r="R1029" i="5"/>
  <c r="Q1029" i="5"/>
  <c r="N1029" i="5" s="1"/>
  <c r="M1029" i="5"/>
  <c r="L1029" i="5"/>
  <c r="X1029" i="5" s="1"/>
  <c r="S1028" i="5"/>
  <c r="R1028" i="5"/>
  <c r="Q1028" i="5"/>
  <c r="P1028" i="5" s="1"/>
  <c r="M1028" i="5"/>
  <c r="L1028" i="5"/>
  <c r="S1027" i="5"/>
  <c r="R1027" i="5"/>
  <c r="Q1027" i="5"/>
  <c r="N1027" i="5" s="1"/>
  <c r="M1027" i="5"/>
  <c r="L1027" i="5"/>
  <c r="S1026" i="5"/>
  <c r="R1026" i="5"/>
  <c r="Q1026" i="5"/>
  <c r="P1026" i="5" s="1"/>
  <c r="M1026" i="5"/>
  <c r="L1026" i="5"/>
  <c r="S1025" i="5"/>
  <c r="R1025" i="5"/>
  <c r="Q1025" i="5"/>
  <c r="N1025" i="5" s="1"/>
  <c r="M1025" i="5"/>
  <c r="L1025" i="5"/>
  <c r="X1025" i="5" s="1"/>
  <c r="S1024" i="5"/>
  <c r="R1024" i="5"/>
  <c r="Q1024" i="5"/>
  <c r="P1024" i="5" s="1"/>
  <c r="M1024" i="5"/>
  <c r="L1024" i="5"/>
  <c r="S1023" i="5"/>
  <c r="R1023" i="5"/>
  <c r="Q1023" i="5"/>
  <c r="N1023" i="5" s="1"/>
  <c r="M1023" i="5"/>
  <c r="L1023" i="5"/>
  <c r="S1022" i="5"/>
  <c r="R1022" i="5"/>
  <c r="Q1022" i="5"/>
  <c r="P1022" i="5" s="1"/>
  <c r="M1022" i="5"/>
  <c r="L1022" i="5"/>
  <c r="S1021" i="5"/>
  <c r="R1021" i="5"/>
  <c r="Q1021" i="5"/>
  <c r="N1021" i="5" s="1"/>
  <c r="M1021" i="5"/>
  <c r="L1021" i="5"/>
  <c r="S1020" i="5"/>
  <c r="R1020" i="5"/>
  <c r="Q1020" i="5"/>
  <c r="M1020" i="5"/>
  <c r="L1020" i="5"/>
  <c r="S1019" i="5"/>
  <c r="R1019" i="5"/>
  <c r="Q1019" i="5"/>
  <c r="N1019" i="5" s="1"/>
  <c r="M1019" i="5"/>
  <c r="L1019" i="5"/>
  <c r="S1018" i="5"/>
  <c r="R1018" i="5"/>
  <c r="Q1018" i="5"/>
  <c r="P1018" i="5" s="1"/>
  <c r="M1018" i="5"/>
  <c r="L1018" i="5"/>
  <c r="S1017" i="5"/>
  <c r="R1017" i="5"/>
  <c r="Q1017" i="5"/>
  <c r="N1017" i="5" s="1"/>
  <c r="M1017" i="5"/>
  <c r="L1017" i="5"/>
  <c r="S1016" i="5"/>
  <c r="R1016" i="5"/>
  <c r="Q1016" i="5"/>
  <c r="P1016" i="5" s="1"/>
  <c r="M1016" i="5"/>
  <c r="L1016" i="5"/>
  <c r="S1015" i="5"/>
  <c r="R1015" i="5"/>
  <c r="Q1015" i="5"/>
  <c r="N1015" i="5" s="1"/>
  <c r="M1015" i="5"/>
  <c r="L1015" i="5"/>
  <c r="S1014" i="5"/>
  <c r="R1014" i="5"/>
  <c r="Q1014" i="5"/>
  <c r="P1014" i="5" s="1"/>
  <c r="M1014" i="5"/>
  <c r="L1014" i="5"/>
  <c r="S1013" i="5"/>
  <c r="R1013" i="5"/>
  <c r="Q1013" i="5"/>
  <c r="N1013" i="5" s="1"/>
  <c r="M1013" i="5"/>
  <c r="L1013" i="5"/>
  <c r="S1012" i="5"/>
  <c r="R1012" i="5"/>
  <c r="Q1012" i="5"/>
  <c r="M1012" i="5"/>
  <c r="L1012" i="5"/>
  <c r="S1011" i="5"/>
  <c r="R1011" i="5"/>
  <c r="Q1011" i="5"/>
  <c r="N1011" i="5" s="1"/>
  <c r="M1011" i="5"/>
  <c r="L1011" i="5"/>
  <c r="S1010" i="5"/>
  <c r="R1010" i="5"/>
  <c r="Q1010" i="5"/>
  <c r="M1010" i="5"/>
  <c r="L1010" i="5"/>
  <c r="S1009" i="5"/>
  <c r="R1009" i="5"/>
  <c r="Q1009" i="5"/>
  <c r="N1009" i="5" s="1"/>
  <c r="M1009" i="5"/>
  <c r="L1009" i="5"/>
  <c r="S1008" i="5"/>
  <c r="R1008" i="5"/>
  <c r="Q1008" i="5"/>
  <c r="P1008" i="5" s="1"/>
  <c r="M1008" i="5"/>
  <c r="L1008" i="5"/>
  <c r="X1008" i="5" s="1"/>
  <c r="S1007" i="5"/>
  <c r="R1007" i="5"/>
  <c r="Q1007" i="5"/>
  <c r="N1007" i="5" s="1"/>
  <c r="M1007" i="5"/>
  <c r="L1007" i="5"/>
  <c r="S1006" i="5"/>
  <c r="R1006" i="5"/>
  <c r="Q1006" i="5"/>
  <c r="P1006" i="5" s="1"/>
  <c r="M1006" i="5"/>
  <c r="L1006" i="5"/>
  <c r="S1005" i="5"/>
  <c r="R1005" i="5"/>
  <c r="Q1005" i="5"/>
  <c r="N1005" i="5" s="1"/>
  <c r="M1005" i="5"/>
  <c r="L1005" i="5"/>
  <c r="S1004" i="5"/>
  <c r="R1004" i="5"/>
  <c r="Q1004" i="5"/>
  <c r="P1004" i="5" s="1"/>
  <c r="M1004" i="5"/>
  <c r="L1004" i="5"/>
  <c r="S1003" i="5"/>
  <c r="R1003" i="5"/>
  <c r="Q1003" i="5"/>
  <c r="N1003" i="5" s="1"/>
  <c r="M1003" i="5"/>
  <c r="L1003" i="5"/>
  <c r="X1003" i="5" s="1"/>
  <c r="S1002" i="5"/>
  <c r="R1002" i="5"/>
  <c r="Q1002" i="5"/>
  <c r="M1002" i="5"/>
  <c r="L1002" i="5"/>
  <c r="X1002" i="5" s="1"/>
  <c r="S1001" i="5"/>
  <c r="R1001" i="5"/>
  <c r="Q1001" i="5"/>
  <c r="N1001" i="5" s="1"/>
  <c r="M1001" i="5"/>
  <c r="L1001" i="5"/>
  <c r="X1001" i="5" s="1"/>
  <c r="S1000" i="5"/>
  <c r="R1000" i="5"/>
  <c r="Q1000" i="5"/>
  <c r="P1000" i="5" s="1"/>
  <c r="M1000" i="5"/>
  <c r="L1000" i="5"/>
  <c r="X1000" i="5" s="1"/>
  <c r="S999" i="5"/>
  <c r="R999" i="5"/>
  <c r="Q999" i="5"/>
  <c r="N999" i="5" s="1"/>
  <c r="M999" i="5"/>
  <c r="L999" i="5"/>
  <c r="S998" i="5"/>
  <c r="R998" i="5"/>
  <c r="Q998" i="5"/>
  <c r="P998" i="5" s="1"/>
  <c r="M998" i="5"/>
  <c r="L998" i="5"/>
  <c r="S997" i="5"/>
  <c r="R997" i="5"/>
  <c r="Q997" i="5"/>
  <c r="N997" i="5" s="1"/>
  <c r="M997" i="5"/>
  <c r="L997" i="5"/>
  <c r="S996" i="5"/>
  <c r="R996" i="5"/>
  <c r="Q996" i="5"/>
  <c r="M996" i="5"/>
  <c r="L996" i="5"/>
  <c r="S995" i="5"/>
  <c r="R995" i="5"/>
  <c r="Q995" i="5"/>
  <c r="N995" i="5" s="1"/>
  <c r="M995" i="5"/>
  <c r="L995" i="5"/>
  <c r="X995" i="5" s="1"/>
  <c r="S994" i="5"/>
  <c r="R994" i="5"/>
  <c r="Q994" i="5"/>
  <c r="P994" i="5" s="1"/>
  <c r="M994" i="5"/>
  <c r="L994" i="5"/>
  <c r="S993" i="5"/>
  <c r="R993" i="5"/>
  <c r="Q993" i="5"/>
  <c r="N993" i="5" s="1"/>
  <c r="M993" i="5"/>
  <c r="L993" i="5"/>
  <c r="S992" i="5"/>
  <c r="R992" i="5"/>
  <c r="Q992" i="5"/>
  <c r="O992" i="5" s="1"/>
  <c r="M992" i="5"/>
  <c r="L992" i="5"/>
  <c r="S991" i="5"/>
  <c r="R991" i="5"/>
  <c r="Q991" i="5"/>
  <c r="N991" i="5" s="1"/>
  <c r="M991" i="5"/>
  <c r="L991" i="5"/>
  <c r="S990" i="5"/>
  <c r="R990" i="5"/>
  <c r="Q990" i="5"/>
  <c r="P990" i="5" s="1"/>
  <c r="M990" i="5"/>
  <c r="L990" i="5"/>
  <c r="X990" i="5" s="1"/>
  <c r="S989" i="5"/>
  <c r="R989" i="5"/>
  <c r="Q989" i="5"/>
  <c r="N989" i="5" s="1"/>
  <c r="M989" i="5"/>
  <c r="L989" i="5"/>
  <c r="S988" i="5"/>
  <c r="R988" i="5"/>
  <c r="Q988" i="5"/>
  <c r="N988" i="5" s="1"/>
  <c r="M988" i="5"/>
  <c r="L988" i="5"/>
  <c r="S987" i="5"/>
  <c r="R987" i="5"/>
  <c r="Q987" i="5"/>
  <c r="N987" i="5" s="1"/>
  <c r="M987" i="5"/>
  <c r="L987" i="5"/>
  <c r="S986" i="5"/>
  <c r="R986" i="5"/>
  <c r="Q986" i="5"/>
  <c r="P986" i="5" s="1"/>
  <c r="M986" i="5"/>
  <c r="L986" i="5"/>
  <c r="S985" i="5"/>
  <c r="R985" i="5"/>
  <c r="Q985" i="5"/>
  <c r="N985" i="5" s="1"/>
  <c r="M985" i="5"/>
  <c r="L985" i="5"/>
  <c r="S984" i="5"/>
  <c r="R984" i="5"/>
  <c r="Q984" i="5"/>
  <c r="N984" i="5" s="1"/>
  <c r="M984" i="5"/>
  <c r="L984" i="5"/>
  <c r="S983" i="5"/>
  <c r="R983" i="5"/>
  <c r="Q983" i="5"/>
  <c r="N983" i="5" s="1"/>
  <c r="M983" i="5"/>
  <c r="L983" i="5"/>
  <c r="S982" i="5"/>
  <c r="R982" i="5"/>
  <c r="Q982" i="5"/>
  <c r="P982" i="5" s="1"/>
  <c r="M982" i="5"/>
  <c r="L982" i="5"/>
  <c r="S981" i="5"/>
  <c r="R981" i="5"/>
  <c r="Q981" i="5"/>
  <c r="N981" i="5" s="1"/>
  <c r="M981" i="5"/>
  <c r="L981" i="5"/>
  <c r="S980" i="5"/>
  <c r="R980" i="5"/>
  <c r="Q980" i="5"/>
  <c r="N980" i="5" s="1"/>
  <c r="M980" i="5"/>
  <c r="L980" i="5"/>
  <c r="S979" i="5"/>
  <c r="R979" i="5"/>
  <c r="Q979" i="5"/>
  <c r="N979" i="5" s="1"/>
  <c r="M979" i="5"/>
  <c r="L979" i="5"/>
  <c r="S978" i="5"/>
  <c r="R978" i="5"/>
  <c r="Q978" i="5"/>
  <c r="O978" i="5" s="1"/>
  <c r="M978" i="5"/>
  <c r="L978" i="5"/>
  <c r="S977" i="5"/>
  <c r="R977" i="5"/>
  <c r="Q977" i="5"/>
  <c r="N977" i="5" s="1"/>
  <c r="M977" i="5"/>
  <c r="L977" i="5"/>
  <c r="S976" i="5"/>
  <c r="R976" i="5"/>
  <c r="Q976" i="5"/>
  <c r="O976" i="5" s="1"/>
  <c r="M976" i="5"/>
  <c r="L976" i="5"/>
  <c r="S975" i="5"/>
  <c r="R975" i="5"/>
  <c r="Q975" i="5"/>
  <c r="O975" i="5" s="1"/>
  <c r="M975" i="5"/>
  <c r="L975" i="5"/>
  <c r="S974" i="5"/>
  <c r="R974" i="5"/>
  <c r="Q974" i="5"/>
  <c r="O974" i="5" s="1"/>
  <c r="M974" i="5"/>
  <c r="L974" i="5"/>
  <c r="S973" i="5"/>
  <c r="R973" i="5"/>
  <c r="Q973" i="5"/>
  <c r="N973" i="5" s="1"/>
  <c r="M973" i="5"/>
  <c r="L973" i="5"/>
  <c r="S972" i="5"/>
  <c r="R972" i="5"/>
  <c r="Q972" i="5"/>
  <c r="M972" i="5"/>
  <c r="L972" i="5"/>
  <c r="S971" i="5"/>
  <c r="R971" i="5"/>
  <c r="Q971" i="5"/>
  <c r="P971" i="5" s="1"/>
  <c r="M971" i="5"/>
  <c r="L971" i="5"/>
  <c r="S970" i="5"/>
  <c r="R970" i="5"/>
  <c r="Q970" i="5"/>
  <c r="O970" i="5" s="1"/>
  <c r="M970" i="5"/>
  <c r="L970" i="5"/>
  <c r="S969" i="5"/>
  <c r="R969" i="5"/>
  <c r="Q969" i="5"/>
  <c r="O969" i="5" s="1"/>
  <c r="M969" i="5"/>
  <c r="L969" i="5"/>
  <c r="S968" i="5"/>
  <c r="R968" i="5"/>
  <c r="Q968" i="5"/>
  <c r="O968" i="5" s="1"/>
  <c r="M968" i="5"/>
  <c r="L968" i="5"/>
  <c r="S967" i="5"/>
  <c r="R967" i="5"/>
  <c r="Q967" i="5"/>
  <c r="O967" i="5" s="1"/>
  <c r="M967" i="5"/>
  <c r="L967" i="5"/>
  <c r="S966" i="5"/>
  <c r="R966" i="5"/>
  <c r="Q966" i="5"/>
  <c r="P966" i="5" s="1"/>
  <c r="M966" i="5"/>
  <c r="L966" i="5"/>
  <c r="X966" i="5" s="1"/>
  <c r="S965" i="5"/>
  <c r="R965" i="5"/>
  <c r="Q965" i="5"/>
  <c r="N965" i="5" s="1"/>
  <c r="M965" i="5"/>
  <c r="L965" i="5"/>
  <c r="X965" i="5" s="1"/>
  <c r="S964" i="5"/>
  <c r="R964" i="5"/>
  <c r="Q964" i="5"/>
  <c r="P964" i="5" s="1"/>
  <c r="M964" i="5"/>
  <c r="L964" i="5"/>
  <c r="S963" i="5"/>
  <c r="R963" i="5"/>
  <c r="Q963" i="5"/>
  <c r="O963" i="5" s="1"/>
  <c r="M963" i="5"/>
  <c r="L963" i="5"/>
  <c r="S962" i="5"/>
  <c r="R962" i="5"/>
  <c r="Q962" i="5"/>
  <c r="P962" i="5" s="1"/>
  <c r="M962" i="5"/>
  <c r="L962" i="5"/>
  <c r="S961" i="5"/>
  <c r="R961" i="5"/>
  <c r="Q961" i="5"/>
  <c r="O961" i="5" s="1"/>
  <c r="M961" i="5"/>
  <c r="L961" i="5"/>
  <c r="S960" i="5"/>
  <c r="R960" i="5"/>
  <c r="Q960" i="5"/>
  <c r="M960" i="5"/>
  <c r="L960" i="5"/>
  <c r="S959" i="5"/>
  <c r="R959" i="5"/>
  <c r="Q959" i="5"/>
  <c r="O959" i="5" s="1"/>
  <c r="M959" i="5"/>
  <c r="L959" i="5"/>
  <c r="S958" i="5"/>
  <c r="R958" i="5"/>
  <c r="Q958" i="5"/>
  <c r="P958" i="5" s="1"/>
  <c r="M958" i="5"/>
  <c r="L958" i="5"/>
  <c r="S957" i="5"/>
  <c r="R957" i="5"/>
  <c r="Q957" i="5"/>
  <c r="N957" i="5" s="1"/>
  <c r="M957" i="5"/>
  <c r="L957" i="5"/>
  <c r="S956" i="5"/>
  <c r="R956" i="5"/>
  <c r="Q956" i="5"/>
  <c r="O956" i="5" s="1"/>
  <c r="M956" i="5"/>
  <c r="L956" i="5"/>
  <c r="S955" i="5"/>
  <c r="R955" i="5"/>
  <c r="Q955" i="5"/>
  <c r="M955" i="5"/>
  <c r="L955" i="5"/>
  <c r="S954" i="5"/>
  <c r="R954" i="5"/>
  <c r="Q954" i="5"/>
  <c r="O954" i="5" s="1"/>
  <c r="M954" i="5"/>
  <c r="L954" i="5"/>
  <c r="S953" i="5"/>
  <c r="R953" i="5"/>
  <c r="Q953" i="5"/>
  <c r="N953" i="5" s="1"/>
  <c r="M953" i="5"/>
  <c r="L953" i="5"/>
  <c r="S952" i="5"/>
  <c r="R952" i="5"/>
  <c r="Q952" i="5"/>
  <c r="P952" i="5" s="1"/>
  <c r="M952" i="5"/>
  <c r="L952" i="5"/>
  <c r="S951" i="5"/>
  <c r="R951" i="5"/>
  <c r="Q951" i="5"/>
  <c r="M951" i="5"/>
  <c r="L951" i="5"/>
  <c r="S950" i="5"/>
  <c r="R950" i="5"/>
  <c r="Q950" i="5"/>
  <c r="P950" i="5" s="1"/>
  <c r="M950" i="5"/>
  <c r="L950" i="5"/>
  <c r="S949" i="5"/>
  <c r="R949" i="5"/>
  <c r="Q949" i="5"/>
  <c r="N949" i="5" s="1"/>
  <c r="M949" i="5"/>
  <c r="L949" i="5"/>
  <c r="S948" i="5"/>
  <c r="R948" i="5"/>
  <c r="Q948" i="5"/>
  <c r="M948" i="5"/>
  <c r="L948" i="5"/>
  <c r="S947" i="5"/>
  <c r="R947" i="5"/>
  <c r="Q947" i="5"/>
  <c r="N947" i="5" s="1"/>
  <c r="M947" i="5"/>
  <c r="L947" i="5"/>
  <c r="S946" i="5"/>
  <c r="R946" i="5"/>
  <c r="Q946" i="5"/>
  <c r="O946" i="5" s="1"/>
  <c r="M946" i="5"/>
  <c r="L946" i="5"/>
  <c r="S945" i="5"/>
  <c r="R945" i="5"/>
  <c r="Q945" i="5"/>
  <c r="N945" i="5" s="1"/>
  <c r="M945" i="5"/>
  <c r="L945" i="5"/>
  <c r="S944" i="5"/>
  <c r="R944" i="5"/>
  <c r="Q944" i="5"/>
  <c r="P944" i="5" s="1"/>
  <c r="M944" i="5"/>
  <c r="L944" i="5"/>
  <c r="X944" i="5" s="1"/>
  <c r="S943" i="5"/>
  <c r="R943" i="5"/>
  <c r="Q943" i="5"/>
  <c r="N943" i="5" s="1"/>
  <c r="M943" i="5"/>
  <c r="L943" i="5"/>
  <c r="S942" i="5"/>
  <c r="R942" i="5"/>
  <c r="Q942" i="5"/>
  <c r="M942" i="5"/>
  <c r="L942" i="5"/>
  <c r="S941" i="5"/>
  <c r="R941" i="5"/>
  <c r="Q941" i="5"/>
  <c r="N941" i="5" s="1"/>
  <c r="M941" i="5"/>
  <c r="L941" i="5"/>
  <c r="X941" i="5" s="1"/>
  <c r="S940" i="5"/>
  <c r="R940" i="5"/>
  <c r="Q940" i="5"/>
  <c r="M940" i="5"/>
  <c r="L940" i="5"/>
  <c r="S939" i="5"/>
  <c r="R939" i="5"/>
  <c r="Q939" i="5"/>
  <c r="M939" i="5"/>
  <c r="L939" i="5"/>
  <c r="X939" i="5" s="1"/>
  <c r="S938" i="5"/>
  <c r="R938" i="5"/>
  <c r="Q938" i="5"/>
  <c r="O938" i="5" s="1"/>
  <c r="M938" i="5"/>
  <c r="L938" i="5"/>
  <c r="S937" i="5"/>
  <c r="R937" i="5"/>
  <c r="Q937" i="5"/>
  <c r="N937" i="5" s="1"/>
  <c r="M937" i="5"/>
  <c r="L937" i="5"/>
  <c r="S936" i="5"/>
  <c r="R936" i="5"/>
  <c r="Q936" i="5"/>
  <c r="P936" i="5" s="1"/>
  <c r="M936" i="5"/>
  <c r="L936" i="5"/>
  <c r="S935" i="5"/>
  <c r="R935" i="5"/>
  <c r="Q935" i="5"/>
  <c r="N935" i="5" s="1"/>
  <c r="M935" i="5"/>
  <c r="L935" i="5"/>
  <c r="S934" i="5"/>
  <c r="R934" i="5"/>
  <c r="Q934" i="5"/>
  <c r="M934" i="5"/>
  <c r="L934" i="5"/>
  <c r="S933" i="5"/>
  <c r="R933" i="5"/>
  <c r="Q933" i="5"/>
  <c r="N933" i="5" s="1"/>
  <c r="M933" i="5"/>
  <c r="L933" i="5"/>
  <c r="S932" i="5"/>
  <c r="R932" i="5"/>
  <c r="Q932" i="5"/>
  <c r="P932" i="5" s="1"/>
  <c r="M932" i="5"/>
  <c r="L932" i="5"/>
  <c r="S931" i="5"/>
  <c r="R931" i="5"/>
  <c r="Q931" i="5"/>
  <c r="N931" i="5" s="1"/>
  <c r="M931" i="5"/>
  <c r="L931" i="5"/>
  <c r="X931" i="5" s="1"/>
  <c r="S930" i="5"/>
  <c r="R930" i="5"/>
  <c r="Q930" i="5"/>
  <c r="M930" i="5"/>
  <c r="L930" i="5"/>
  <c r="X930" i="5" s="1"/>
  <c r="S929" i="5"/>
  <c r="R929" i="5"/>
  <c r="Q929" i="5"/>
  <c r="M929" i="5"/>
  <c r="L929" i="5"/>
  <c r="S928" i="5"/>
  <c r="R928" i="5"/>
  <c r="Q928" i="5"/>
  <c r="O928" i="5" s="1"/>
  <c r="M928" i="5"/>
  <c r="L928" i="5"/>
  <c r="X928" i="5" s="1"/>
  <c r="S927" i="5"/>
  <c r="R927" i="5"/>
  <c r="Q927" i="5"/>
  <c r="N927" i="5" s="1"/>
  <c r="M927" i="5"/>
  <c r="L927" i="5"/>
  <c r="X927" i="5" s="1"/>
  <c r="S926" i="5"/>
  <c r="R926" i="5"/>
  <c r="Q926" i="5"/>
  <c r="O926" i="5" s="1"/>
  <c r="M926" i="5"/>
  <c r="L926" i="5"/>
  <c r="X926" i="5" s="1"/>
  <c r="S925" i="5"/>
  <c r="R925" i="5"/>
  <c r="Q925" i="5"/>
  <c r="N925" i="5" s="1"/>
  <c r="M925" i="5"/>
  <c r="L925" i="5"/>
  <c r="S924" i="5"/>
  <c r="R924" i="5"/>
  <c r="Q924" i="5"/>
  <c r="N924" i="5" s="1"/>
  <c r="M924" i="5"/>
  <c r="L924" i="5"/>
  <c r="X924" i="5" s="1"/>
  <c r="S923" i="5"/>
  <c r="R923" i="5"/>
  <c r="Q923" i="5"/>
  <c r="N923" i="5" s="1"/>
  <c r="M923" i="5"/>
  <c r="L923" i="5"/>
  <c r="S922" i="5"/>
  <c r="R922" i="5"/>
  <c r="Q922" i="5"/>
  <c r="N922" i="5" s="1"/>
  <c r="M922" i="5"/>
  <c r="L922" i="5"/>
  <c r="S921" i="5"/>
  <c r="R921" i="5"/>
  <c r="Q921" i="5"/>
  <c r="P921" i="5" s="1"/>
  <c r="M921" i="5"/>
  <c r="L921" i="5"/>
  <c r="S920" i="5"/>
  <c r="R920" i="5"/>
  <c r="Q920" i="5"/>
  <c r="O920" i="5" s="1"/>
  <c r="M920" i="5"/>
  <c r="L920" i="5"/>
  <c r="X920" i="5" s="1"/>
  <c r="S919" i="5"/>
  <c r="R919" i="5"/>
  <c r="Q919" i="5"/>
  <c r="N919" i="5" s="1"/>
  <c r="M919" i="5"/>
  <c r="L919" i="5"/>
  <c r="S918" i="5"/>
  <c r="R918" i="5"/>
  <c r="Q918" i="5"/>
  <c r="O918" i="5" s="1"/>
  <c r="M918" i="5"/>
  <c r="L918" i="5"/>
  <c r="X918" i="5" s="1"/>
  <c r="S917" i="5"/>
  <c r="R917" i="5"/>
  <c r="Q917" i="5"/>
  <c r="M917" i="5"/>
  <c r="L917" i="5"/>
  <c r="X917" i="5" s="1"/>
  <c r="S916" i="5"/>
  <c r="R916" i="5"/>
  <c r="Q916" i="5"/>
  <c r="M916" i="5"/>
  <c r="L916" i="5"/>
  <c r="S915" i="5"/>
  <c r="R915" i="5"/>
  <c r="Q915" i="5"/>
  <c r="M915" i="5"/>
  <c r="L915" i="5"/>
  <c r="S914" i="5"/>
  <c r="R914" i="5"/>
  <c r="Q914" i="5"/>
  <c r="N914" i="5" s="1"/>
  <c r="M914" i="5"/>
  <c r="L914" i="5"/>
  <c r="S913" i="5"/>
  <c r="R913" i="5"/>
  <c r="Q913" i="5"/>
  <c r="P913" i="5" s="1"/>
  <c r="M913" i="5"/>
  <c r="L913" i="5"/>
  <c r="S912" i="5"/>
  <c r="R912" i="5"/>
  <c r="Q912" i="5"/>
  <c r="O912" i="5" s="1"/>
  <c r="M912" i="5"/>
  <c r="L912" i="5"/>
  <c r="S911" i="5"/>
  <c r="R911" i="5"/>
  <c r="Q911" i="5"/>
  <c r="P911" i="5" s="1"/>
  <c r="M911" i="5"/>
  <c r="L911" i="5"/>
  <c r="S910" i="5"/>
  <c r="R910" i="5"/>
  <c r="Q910" i="5"/>
  <c r="O910" i="5" s="1"/>
  <c r="M910" i="5"/>
  <c r="L910" i="5"/>
  <c r="S909" i="5"/>
  <c r="R909" i="5"/>
  <c r="Q909" i="5"/>
  <c r="M909" i="5"/>
  <c r="L909" i="5"/>
  <c r="S908" i="5"/>
  <c r="R908" i="5"/>
  <c r="Q908" i="5"/>
  <c r="P908" i="5" s="1"/>
  <c r="M908" i="5"/>
  <c r="L908" i="5"/>
  <c r="S907" i="5"/>
  <c r="R907" i="5"/>
  <c r="Q907" i="5"/>
  <c r="N907" i="5" s="1"/>
  <c r="M907" i="5"/>
  <c r="L907" i="5"/>
  <c r="S906" i="5"/>
  <c r="R906" i="5"/>
  <c r="Q906" i="5"/>
  <c r="N906" i="5" s="1"/>
  <c r="M906" i="5"/>
  <c r="L906" i="5"/>
  <c r="S905" i="5"/>
  <c r="R905" i="5"/>
  <c r="Q905" i="5"/>
  <c r="P905" i="5" s="1"/>
  <c r="M905" i="5"/>
  <c r="L905" i="5"/>
  <c r="S904" i="5"/>
  <c r="R904" i="5"/>
  <c r="Q904" i="5"/>
  <c r="O904" i="5" s="1"/>
  <c r="M904" i="5"/>
  <c r="L904" i="5"/>
  <c r="S903" i="5"/>
  <c r="R903" i="5"/>
  <c r="Q903" i="5"/>
  <c r="N903" i="5" s="1"/>
  <c r="M903" i="5"/>
  <c r="L903" i="5"/>
  <c r="S902" i="5"/>
  <c r="R902" i="5"/>
  <c r="Q902" i="5"/>
  <c r="O902" i="5" s="1"/>
  <c r="M902" i="5"/>
  <c r="L902" i="5"/>
  <c r="S901" i="5"/>
  <c r="R901" i="5"/>
  <c r="Q901" i="5"/>
  <c r="N901" i="5" s="1"/>
  <c r="M901" i="5"/>
  <c r="L901" i="5"/>
  <c r="S900" i="5"/>
  <c r="R900" i="5"/>
  <c r="Q900" i="5"/>
  <c r="M900" i="5"/>
  <c r="L900" i="5"/>
  <c r="S899" i="5"/>
  <c r="R899" i="5"/>
  <c r="Q899" i="5"/>
  <c r="P899" i="5" s="1"/>
  <c r="M899" i="5"/>
  <c r="L899" i="5"/>
  <c r="S898" i="5"/>
  <c r="R898" i="5"/>
  <c r="Q898" i="5"/>
  <c r="N898" i="5" s="1"/>
  <c r="M898" i="5"/>
  <c r="L898" i="5"/>
  <c r="S897" i="5"/>
  <c r="R897" i="5"/>
  <c r="Q897" i="5"/>
  <c r="P897" i="5" s="1"/>
  <c r="M897" i="5"/>
  <c r="L897" i="5"/>
  <c r="X897" i="5" s="1"/>
  <c r="S896" i="5"/>
  <c r="R896" i="5"/>
  <c r="Q896" i="5"/>
  <c r="N896" i="5" s="1"/>
  <c r="M896" i="5"/>
  <c r="L896" i="5"/>
  <c r="S895" i="5"/>
  <c r="R895" i="5"/>
  <c r="Q895" i="5"/>
  <c r="N895" i="5" s="1"/>
  <c r="M895" i="5"/>
  <c r="L895" i="5"/>
  <c r="S894" i="5"/>
  <c r="R894" i="5"/>
  <c r="Q894" i="5"/>
  <c r="N894" i="5" s="1"/>
  <c r="M894" i="5"/>
  <c r="L894" i="5"/>
  <c r="S893" i="5"/>
  <c r="R893" i="5"/>
  <c r="Q893" i="5"/>
  <c r="P893" i="5" s="1"/>
  <c r="M893" i="5"/>
  <c r="L893" i="5"/>
  <c r="S892" i="5"/>
  <c r="R892" i="5"/>
  <c r="Q892" i="5"/>
  <c r="P892" i="5" s="1"/>
  <c r="M892" i="5"/>
  <c r="L892" i="5"/>
  <c r="S891" i="5"/>
  <c r="R891" i="5"/>
  <c r="Q891" i="5"/>
  <c r="N891" i="5" s="1"/>
  <c r="M891" i="5"/>
  <c r="L891" i="5"/>
  <c r="X891" i="5" s="1"/>
  <c r="S890" i="5"/>
  <c r="R890" i="5"/>
  <c r="Q890" i="5"/>
  <c r="N890" i="5" s="1"/>
  <c r="M890" i="5"/>
  <c r="L890" i="5"/>
  <c r="X890" i="5" s="1"/>
  <c r="S889" i="5"/>
  <c r="R889" i="5"/>
  <c r="Q889" i="5"/>
  <c r="M889" i="5"/>
  <c r="L889" i="5"/>
  <c r="S888" i="5"/>
  <c r="R888" i="5"/>
  <c r="Q888" i="5"/>
  <c r="N888" i="5" s="1"/>
  <c r="M888" i="5"/>
  <c r="L888" i="5"/>
  <c r="X888" i="5" s="1"/>
  <c r="S887" i="5"/>
  <c r="R887" i="5"/>
  <c r="Q887" i="5"/>
  <c r="N887" i="5" s="1"/>
  <c r="M887" i="5"/>
  <c r="L887" i="5"/>
  <c r="X887" i="5" s="1"/>
  <c r="S886" i="5"/>
  <c r="R886" i="5"/>
  <c r="Q886" i="5"/>
  <c r="N886" i="5" s="1"/>
  <c r="M886" i="5"/>
  <c r="L886" i="5"/>
  <c r="X886" i="5" s="1"/>
  <c r="S885" i="5"/>
  <c r="R885" i="5"/>
  <c r="Q885" i="5"/>
  <c r="P885" i="5" s="1"/>
  <c r="M885" i="5"/>
  <c r="L885" i="5"/>
  <c r="X885" i="5" s="1"/>
  <c r="S884" i="5"/>
  <c r="R884" i="5"/>
  <c r="Q884" i="5"/>
  <c r="P884" i="5" s="1"/>
  <c r="M884" i="5"/>
  <c r="L884" i="5"/>
  <c r="S883" i="5"/>
  <c r="R883" i="5"/>
  <c r="Q883" i="5"/>
  <c r="N883" i="5" s="1"/>
  <c r="M883" i="5"/>
  <c r="L883" i="5"/>
  <c r="S882" i="5"/>
  <c r="R882" i="5"/>
  <c r="Q882" i="5"/>
  <c r="M882" i="5"/>
  <c r="L882" i="5"/>
  <c r="X882" i="5" s="1"/>
  <c r="S881" i="5"/>
  <c r="R881" i="5"/>
  <c r="Q881" i="5"/>
  <c r="O881" i="5" s="1"/>
  <c r="M881" i="5"/>
  <c r="L881" i="5"/>
  <c r="S880" i="5"/>
  <c r="R880" i="5"/>
  <c r="Q880" i="5"/>
  <c r="O880" i="5" s="1"/>
  <c r="M880" i="5"/>
  <c r="L880" i="5"/>
  <c r="S879" i="5"/>
  <c r="R879" i="5"/>
  <c r="Q879" i="5"/>
  <c r="O879" i="5" s="1"/>
  <c r="M879" i="5"/>
  <c r="L879" i="5"/>
  <c r="S878" i="5"/>
  <c r="R878" i="5"/>
  <c r="Q878" i="5"/>
  <c r="N878" i="5" s="1"/>
  <c r="M878" i="5"/>
  <c r="L878" i="5"/>
  <c r="S877" i="5"/>
  <c r="R877" i="5"/>
  <c r="Q877" i="5"/>
  <c r="M877" i="5"/>
  <c r="L877" i="5"/>
  <c r="S876" i="5"/>
  <c r="R876" i="5"/>
  <c r="Q876" i="5"/>
  <c r="O876" i="5" s="1"/>
  <c r="M876" i="5"/>
  <c r="L876" i="5"/>
  <c r="S875" i="5"/>
  <c r="R875" i="5"/>
  <c r="Q875" i="5"/>
  <c r="N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X871" i="5" s="1"/>
  <c r="S870" i="5"/>
  <c r="R870" i="5"/>
  <c r="Q870" i="5"/>
  <c r="P870" i="5" s="1"/>
  <c r="M870" i="5"/>
  <c r="L870" i="5"/>
  <c r="S869" i="5"/>
  <c r="R869" i="5"/>
  <c r="Q869" i="5"/>
  <c r="P869" i="5" s="1"/>
  <c r="M869" i="5"/>
  <c r="L869" i="5"/>
  <c r="S868" i="5"/>
  <c r="R868" i="5"/>
  <c r="Q868" i="5"/>
  <c r="M868" i="5"/>
  <c r="L868" i="5"/>
  <c r="S867" i="5"/>
  <c r="R867" i="5"/>
  <c r="Q867" i="5"/>
  <c r="N867" i="5" s="1"/>
  <c r="M867" i="5"/>
  <c r="L867" i="5"/>
  <c r="S866" i="5"/>
  <c r="R866" i="5"/>
  <c r="Q866" i="5"/>
  <c r="P866" i="5" s="1"/>
  <c r="M866" i="5"/>
  <c r="L866" i="5"/>
  <c r="S865" i="5"/>
  <c r="R865" i="5"/>
  <c r="Q865" i="5"/>
  <c r="N865" i="5" s="1"/>
  <c r="M865" i="5"/>
  <c r="L865" i="5"/>
  <c r="S864" i="5"/>
  <c r="R864" i="5"/>
  <c r="Q864" i="5"/>
  <c r="O864" i="5" s="1"/>
  <c r="M864" i="5"/>
  <c r="L864" i="5"/>
  <c r="S863" i="5"/>
  <c r="R863" i="5"/>
  <c r="Q863" i="5"/>
  <c r="M863" i="5"/>
  <c r="L863" i="5"/>
  <c r="S862" i="5"/>
  <c r="R862" i="5"/>
  <c r="Q862" i="5"/>
  <c r="N862" i="5" s="1"/>
  <c r="M862" i="5"/>
  <c r="L862" i="5"/>
  <c r="S861" i="5"/>
  <c r="R861" i="5"/>
  <c r="Q861" i="5"/>
  <c r="M861" i="5"/>
  <c r="L861" i="5"/>
  <c r="X861" i="5" s="1"/>
  <c r="S860" i="5"/>
  <c r="R860" i="5"/>
  <c r="Q860" i="5"/>
  <c r="O860" i="5" s="1"/>
  <c r="M860" i="5"/>
  <c r="L860" i="5"/>
  <c r="X860" i="5" s="1"/>
  <c r="S859" i="5"/>
  <c r="R859" i="5"/>
  <c r="Q859" i="5"/>
  <c r="M859" i="5"/>
  <c r="L859" i="5"/>
  <c r="X859" i="5" s="1"/>
  <c r="S858" i="5"/>
  <c r="R858" i="5"/>
  <c r="Q858" i="5"/>
  <c r="P858" i="5" s="1"/>
  <c r="M858" i="5"/>
  <c r="L858" i="5"/>
  <c r="S857" i="5"/>
  <c r="R857" i="5"/>
  <c r="Q857" i="5"/>
  <c r="O857" i="5" s="1"/>
  <c r="M857" i="5"/>
  <c r="L857" i="5"/>
  <c r="S856" i="5"/>
  <c r="R856" i="5"/>
  <c r="Q856" i="5"/>
  <c r="N856" i="5" s="1"/>
  <c r="M856" i="5"/>
  <c r="L856" i="5"/>
  <c r="S855" i="5"/>
  <c r="R855" i="5"/>
  <c r="Q855" i="5"/>
  <c r="M855" i="5"/>
  <c r="L855" i="5"/>
  <c r="S854" i="5"/>
  <c r="R854" i="5"/>
  <c r="Q854" i="5"/>
  <c r="O854" i="5" s="1"/>
  <c r="M854" i="5"/>
  <c r="L854" i="5"/>
  <c r="S853" i="5"/>
  <c r="R853" i="5"/>
  <c r="Q853" i="5"/>
  <c r="P853" i="5" s="1"/>
  <c r="M853" i="5"/>
  <c r="L853" i="5"/>
  <c r="S852" i="5"/>
  <c r="R852" i="5"/>
  <c r="Q852" i="5"/>
  <c r="M852" i="5"/>
  <c r="L852" i="5"/>
  <c r="S851" i="5"/>
  <c r="R851" i="5"/>
  <c r="Q851" i="5"/>
  <c r="M851" i="5"/>
  <c r="L851" i="5"/>
  <c r="S850" i="5"/>
  <c r="R850" i="5"/>
  <c r="Q850" i="5"/>
  <c r="M850" i="5"/>
  <c r="L850" i="5"/>
  <c r="S849" i="5"/>
  <c r="R849" i="5"/>
  <c r="Q849" i="5"/>
  <c r="P849" i="5" s="1"/>
  <c r="M849" i="5"/>
  <c r="L849" i="5"/>
  <c r="S848" i="5"/>
  <c r="R848" i="5"/>
  <c r="Q848" i="5"/>
  <c r="O848" i="5" s="1"/>
  <c r="M848" i="5"/>
  <c r="L848" i="5"/>
  <c r="X848" i="5" s="1"/>
  <c r="S847" i="5"/>
  <c r="R847" i="5"/>
  <c r="Q847" i="5"/>
  <c r="O847" i="5" s="1"/>
  <c r="M847" i="5"/>
  <c r="L847" i="5"/>
  <c r="S846" i="5"/>
  <c r="R846" i="5"/>
  <c r="Q846" i="5"/>
  <c r="P846" i="5" s="1"/>
  <c r="M846" i="5"/>
  <c r="L846" i="5"/>
  <c r="S845" i="5"/>
  <c r="R845" i="5"/>
  <c r="Q845" i="5"/>
  <c r="M845" i="5"/>
  <c r="L845" i="5"/>
  <c r="S844" i="5"/>
  <c r="R844" i="5"/>
  <c r="Q844" i="5"/>
  <c r="M844" i="5"/>
  <c r="L844" i="5"/>
  <c r="S843" i="5"/>
  <c r="R843" i="5"/>
  <c r="Q843" i="5"/>
  <c r="M843" i="5"/>
  <c r="L843" i="5"/>
  <c r="S842" i="5"/>
  <c r="R842" i="5"/>
  <c r="Q842" i="5"/>
  <c r="O842" i="5" s="1"/>
  <c r="M842" i="5"/>
  <c r="L842" i="5"/>
  <c r="S841" i="5"/>
  <c r="R841" i="5"/>
  <c r="Q841" i="5"/>
  <c r="N841" i="5" s="1"/>
  <c r="M841" i="5"/>
  <c r="L841" i="5"/>
  <c r="S840" i="5"/>
  <c r="R840" i="5"/>
  <c r="Q840" i="5"/>
  <c r="M840" i="5"/>
  <c r="L840" i="5"/>
  <c r="X840" i="5" s="1"/>
  <c r="S839" i="5"/>
  <c r="R839" i="5"/>
  <c r="Q839" i="5"/>
  <c r="N839" i="5" s="1"/>
  <c r="M839" i="5"/>
  <c r="L839" i="5"/>
  <c r="S838" i="5"/>
  <c r="R838" i="5"/>
  <c r="Q838" i="5"/>
  <c r="P838" i="5" s="1"/>
  <c r="M838" i="5"/>
  <c r="L838" i="5"/>
  <c r="S837" i="5"/>
  <c r="R837" i="5"/>
  <c r="Q837" i="5"/>
  <c r="P837" i="5" s="1"/>
  <c r="M837" i="5"/>
  <c r="L837" i="5"/>
  <c r="S836" i="5"/>
  <c r="R836" i="5"/>
  <c r="Q836" i="5"/>
  <c r="N836" i="5" s="1"/>
  <c r="M836" i="5"/>
  <c r="L836" i="5"/>
  <c r="S835" i="5"/>
  <c r="R835" i="5"/>
  <c r="Q835" i="5"/>
  <c r="N835" i="5" s="1"/>
  <c r="M835" i="5"/>
  <c r="L835" i="5"/>
  <c r="S834" i="5"/>
  <c r="R834" i="5"/>
  <c r="Q834" i="5"/>
  <c r="P834" i="5" s="1"/>
  <c r="M834" i="5"/>
  <c r="L834" i="5"/>
  <c r="S833" i="5"/>
  <c r="R833" i="5"/>
  <c r="Q833" i="5"/>
  <c r="M833" i="5"/>
  <c r="L833" i="5"/>
  <c r="X833" i="5" s="1"/>
  <c r="S832" i="5"/>
  <c r="R832" i="5"/>
  <c r="Q832" i="5"/>
  <c r="N832" i="5" s="1"/>
  <c r="M832" i="5"/>
  <c r="L832" i="5"/>
  <c r="S831" i="5"/>
  <c r="R831" i="5"/>
  <c r="Q831" i="5"/>
  <c r="N831" i="5" s="1"/>
  <c r="M831" i="5"/>
  <c r="L831" i="5"/>
  <c r="S830" i="5"/>
  <c r="R830" i="5"/>
  <c r="Q830" i="5"/>
  <c r="N830" i="5" s="1"/>
  <c r="M830" i="5"/>
  <c r="L830" i="5"/>
  <c r="S829" i="5"/>
  <c r="R829" i="5"/>
  <c r="Q829" i="5"/>
  <c r="M829" i="5"/>
  <c r="L829" i="5"/>
  <c r="S828" i="5"/>
  <c r="R828" i="5"/>
  <c r="Q828" i="5"/>
  <c r="P828" i="5" s="1"/>
  <c r="M828" i="5"/>
  <c r="L828" i="5"/>
  <c r="S827" i="5"/>
  <c r="R827" i="5"/>
  <c r="Q827" i="5"/>
  <c r="O827" i="5" s="1"/>
  <c r="M827" i="5"/>
  <c r="L827" i="5"/>
  <c r="S826" i="5"/>
  <c r="R826" i="5"/>
  <c r="Q826" i="5"/>
  <c r="M826" i="5"/>
  <c r="L826" i="5"/>
  <c r="S825" i="5"/>
  <c r="R825" i="5"/>
  <c r="Q825" i="5"/>
  <c r="N825" i="5" s="1"/>
  <c r="M825" i="5"/>
  <c r="L825" i="5"/>
  <c r="S824" i="5"/>
  <c r="R824" i="5"/>
  <c r="Q824" i="5"/>
  <c r="P824" i="5" s="1"/>
  <c r="M824" i="5"/>
  <c r="L824" i="5"/>
  <c r="X824" i="5" s="1"/>
  <c r="S823" i="5"/>
  <c r="R823" i="5"/>
  <c r="Q823" i="5"/>
  <c r="P823" i="5" s="1"/>
  <c r="M823" i="5"/>
  <c r="L823" i="5"/>
  <c r="X823" i="5" s="1"/>
  <c r="S822" i="5"/>
  <c r="R822" i="5"/>
  <c r="Q822" i="5"/>
  <c r="N822" i="5" s="1"/>
  <c r="M822" i="5"/>
  <c r="L822" i="5"/>
  <c r="S821" i="5"/>
  <c r="R821" i="5"/>
  <c r="Q821" i="5"/>
  <c r="P821" i="5" s="1"/>
  <c r="M821" i="5"/>
  <c r="L821" i="5"/>
  <c r="S820" i="5"/>
  <c r="R820" i="5"/>
  <c r="Q820" i="5"/>
  <c r="M820" i="5"/>
  <c r="L820" i="5"/>
  <c r="X820" i="5" s="1"/>
  <c r="S819" i="5"/>
  <c r="R819" i="5"/>
  <c r="Q819" i="5"/>
  <c r="N819" i="5" s="1"/>
  <c r="M819" i="5"/>
  <c r="L819" i="5"/>
  <c r="S818" i="5"/>
  <c r="R818" i="5"/>
  <c r="Q818" i="5"/>
  <c r="N818" i="5" s="1"/>
  <c r="M818" i="5"/>
  <c r="L818" i="5"/>
  <c r="S817" i="5"/>
  <c r="R817" i="5"/>
  <c r="Q817" i="5"/>
  <c r="M817" i="5"/>
  <c r="L817" i="5"/>
  <c r="X817" i="5" s="1"/>
  <c r="S816" i="5"/>
  <c r="R816" i="5"/>
  <c r="Q816" i="5"/>
  <c r="P816" i="5" s="1"/>
  <c r="M816" i="5"/>
  <c r="L816" i="5"/>
  <c r="X816" i="5" s="1"/>
  <c r="S815" i="5"/>
  <c r="R815" i="5"/>
  <c r="Q815" i="5"/>
  <c r="P815" i="5" s="1"/>
  <c r="M815" i="5"/>
  <c r="L815" i="5"/>
  <c r="S814" i="5"/>
  <c r="R814" i="5"/>
  <c r="Q814" i="5"/>
  <c r="N814" i="5" s="1"/>
  <c r="M814" i="5"/>
  <c r="L814" i="5"/>
  <c r="S813" i="5"/>
  <c r="R813" i="5"/>
  <c r="Q813" i="5"/>
  <c r="P813" i="5" s="1"/>
  <c r="M813" i="5"/>
  <c r="L813" i="5"/>
  <c r="S812" i="5"/>
  <c r="R812" i="5"/>
  <c r="Q812" i="5"/>
  <c r="P812" i="5" s="1"/>
  <c r="M812" i="5"/>
  <c r="L812" i="5"/>
  <c r="S811" i="5"/>
  <c r="R811" i="5"/>
  <c r="Q811" i="5"/>
  <c r="N811" i="5" s="1"/>
  <c r="M811" i="5"/>
  <c r="L811" i="5"/>
  <c r="S810" i="5"/>
  <c r="R810" i="5"/>
  <c r="Q810" i="5"/>
  <c r="N810" i="5" s="1"/>
  <c r="M810" i="5"/>
  <c r="L810" i="5"/>
  <c r="X810" i="5" s="1"/>
  <c r="S809" i="5"/>
  <c r="R809" i="5"/>
  <c r="Q809" i="5"/>
  <c r="P809" i="5" s="1"/>
  <c r="M809" i="5"/>
  <c r="L809" i="5"/>
  <c r="X809" i="5" s="1"/>
  <c r="S808" i="5"/>
  <c r="R808" i="5"/>
  <c r="Q808" i="5"/>
  <c r="P808" i="5" s="1"/>
  <c r="M808" i="5"/>
  <c r="L808" i="5"/>
  <c r="S807" i="5"/>
  <c r="R807" i="5"/>
  <c r="Q807" i="5"/>
  <c r="M807" i="5"/>
  <c r="L807" i="5"/>
  <c r="S806" i="5"/>
  <c r="R806" i="5"/>
  <c r="Q806" i="5"/>
  <c r="N806" i="5" s="1"/>
  <c r="M806" i="5"/>
  <c r="L806" i="5"/>
  <c r="S805" i="5"/>
  <c r="R805" i="5"/>
  <c r="Q805" i="5"/>
  <c r="P805" i="5" s="1"/>
  <c r="M805" i="5"/>
  <c r="L805" i="5"/>
  <c r="S804" i="5"/>
  <c r="R804" i="5"/>
  <c r="Q804" i="5"/>
  <c r="P804" i="5" s="1"/>
  <c r="M804" i="5"/>
  <c r="L804" i="5"/>
  <c r="X804" i="5" s="1"/>
  <c r="S803" i="5"/>
  <c r="R803" i="5"/>
  <c r="Q803" i="5"/>
  <c r="N803" i="5" s="1"/>
  <c r="M803" i="5"/>
  <c r="L803" i="5"/>
  <c r="S802" i="5"/>
  <c r="R802" i="5"/>
  <c r="Q802" i="5"/>
  <c r="N802" i="5" s="1"/>
  <c r="M802" i="5"/>
  <c r="L802" i="5"/>
  <c r="S801" i="5"/>
  <c r="R801" i="5"/>
  <c r="Q801" i="5"/>
  <c r="P801" i="5" s="1"/>
  <c r="M801" i="5"/>
  <c r="L801" i="5"/>
  <c r="S800" i="5"/>
  <c r="R800" i="5"/>
  <c r="Q800" i="5"/>
  <c r="P800" i="5" s="1"/>
  <c r="M800" i="5"/>
  <c r="L800" i="5"/>
  <c r="S799" i="5"/>
  <c r="R799" i="5"/>
  <c r="Q799" i="5"/>
  <c r="P799" i="5" s="1"/>
  <c r="M799" i="5"/>
  <c r="L799" i="5"/>
  <c r="S798" i="5"/>
  <c r="R798" i="5"/>
  <c r="Q798" i="5"/>
  <c r="M798" i="5"/>
  <c r="L798" i="5"/>
  <c r="S797" i="5"/>
  <c r="R797" i="5"/>
  <c r="Q797" i="5"/>
  <c r="P797" i="5" s="1"/>
  <c r="M797" i="5"/>
  <c r="L797" i="5"/>
  <c r="S796" i="5"/>
  <c r="R796" i="5"/>
  <c r="Q796" i="5"/>
  <c r="P796" i="5" s="1"/>
  <c r="M796" i="5"/>
  <c r="L796" i="5"/>
  <c r="S795" i="5"/>
  <c r="R795" i="5"/>
  <c r="Q795" i="5"/>
  <c r="M795" i="5"/>
  <c r="L795" i="5"/>
  <c r="X795" i="5" s="1"/>
  <c r="S794" i="5"/>
  <c r="R794" i="5"/>
  <c r="Q794" i="5"/>
  <c r="M794" i="5"/>
  <c r="L794" i="5"/>
  <c r="S793" i="5"/>
  <c r="R793" i="5"/>
  <c r="Q793" i="5"/>
  <c r="P793" i="5" s="1"/>
  <c r="M793" i="5"/>
  <c r="L793" i="5"/>
  <c r="S792" i="5"/>
  <c r="R792" i="5"/>
  <c r="Q792" i="5"/>
  <c r="P792" i="5" s="1"/>
  <c r="M792" i="5"/>
  <c r="L792" i="5"/>
  <c r="S791" i="5"/>
  <c r="R791" i="5"/>
  <c r="Q791" i="5"/>
  <c r="N791" i="5" s="1"/>
  <c r="M791" i="5"/>
  <c r="L791" i="5"/>
  <c r="X791" i="5" s="1"/>
  <c r="S790" i="5"/>
  <c r="R790" i="5"/>
  <c r="Q790" i="5"/>
  <c r="N790" i="5" s="1"/>
  <c r="M790" i="5"/>
  <c r="L790" i="5"/>
  <c r="S789" i="5"/>
  <c r="R789" i="5"/>
  <c r="Q789" i="5"/>
  <c r="M789" i="5"/>
  <c r="L789" i="5"/>
  <c r="S788" i="5"/>
  <c r="R788" i="5"/>
  <c r="Q788" i="5"/>
  <c r="M788" i="5"/>
  <c r="L788" i="5"/>
  <c r="S787" i="5"/>
  <c r="R787" i="5"/>
  <c r="Q787" i="5"/>
  <c r="O787" i="5" s="1"/>
  <c r="M787" i="5"/>
  <c r="L787" i="5"/>
  <c r="S786" i="5"/>
  <c r="R786" i="5"/>
  <c r="Q786" i="5"/>
  <c r="M786" i="5"/>
  <c r="L786" i="5"/>
  <c r="S785" i="5"/>
  <c r="R785" i="5"/>
  <c r="Q785" i="5"/>
  <c r="P785" i="5" s="1"/>
  <c r="M785" i="5"/>
  <c r="L785" i="5"/>
  <c r="X785" i="5" s="1"/>
  <c r="S784" i="5"/>
  <c r="R784" i="5"/>
  <c r="Q784" i="5"/>
  <c r="M784" i="5"/>
  <c r="L784" i="5"/>
  <c r="X784" i="5" s="1"/>
  <c r="S783" i="5"/>
  <c r="R783" i="5"/>
  <c r="Q783" i="5"/>
  <c r="M783" i="5"/>
  <c r="L783" i="5"/>
  <c r="X783" i="5" s="1"/>
  <c r="S782" i="5"/>
  <c r="R782" i="5"/>
  <c r="Q782" i="5"/>
  <c r="N782" i="5" s="1"/>
  <c r="M782" i="5"/>
  <c r="L782" i="5"/>
  <c r="S781" i="5"/>
  <c r="R781" i="5"/>
  <c r="Q781" i="5"/>
  <c r="O781" i="5" s="1"/>
  <c r="M781" i="5"/>
  <c r="L781" i="5"/>
  <c r="S780" i="5"/>
  <c r="R780" i="5"/>
  <c r="Q780" i="5"/>
  <c r="M780" i="5"/>
  <c r="L780" i="5"/>
  <c r="S779" i="5"/>
  <c r="R779" i="5"/>
  <c r="Q779" i="5"/>
  <c r="N779" i="5" s="1"/>
  <c r="M779" i="5"/>
  <c r="L779" i="5"/>
  <c r="X779" i="5" s="1"/>
  <c r="S778" i="5"/>
  <c r="R778" i="5"/>
  <c r="Q778" i="5"/>
  <c r="N778" i="5" s="1"/>
  <c r="M778" i="5"/>
  <c r="L778" i="5"/>
  <c r="S777" i="5"/>
  <c r="R777" i="5"/>
  <c r="Q777" i="5"/>
  <c r="P777" i="5" s="1"/>
  <c r="M777" i="5"/>
  <c r="L777" i="5"/>
  <c r="S776" i="5"/>
  <c r="R776" i="5"/>
  <c r="Q776" i="5"/>
  <c r="N776" i="5" s="1"/>
  <c r="M776" i="5"/>
  <c r="L776" i="5"/>
  <c r="S775" i="5"/>
  <c r="R775" i="5"/>
  <c r="Q775" i="5"/>
  <c r="N775" i="5" s="1"/>
  <c r="M775" i="5"/>
  <c r="L775" i="5"/>
  <c r="S774" i="5"/>
  <c r="R774" i="5"/>
  <c r="Q774" i="5"/>
  <c r="N774" i="5" s="1"/>
  <c r="M774" i="5"/>
  <c r="L774" i="5"/>
  <c r="S773" i="5"/>
  <c r="R773" i="5"/>
  <c r="Q773" i="5"/>
  <c r="O773" i="5" s="1"/>
  <c r="M773" i="5"/>
  <c r="L773" i="5"/>
  <c r="S772" i="5"/>
  <c r="R772" i="5"/>
  <c r="Q772" i="5"/>
  <c r="M772" i="5"/>
  <c r="L772" i="5"/>
  <c r="X772" i="5" s="1"/>
  <c r="S771" i="5"/>
  <c r="R771" i="5"/>
  <c r="Q771" i="5"/>
  <c r="O771" i="5" s="1"/>
  <c r="M771" i="5"/>
  <c r="L771" i="5"/>
  <c r="S770" i="5"/>
  <c r="R770" i="5"/>
  <c r="Q770" i="5"/>
  <c r="N770" i="5" s="1"/>
  <c r="M770" i="5"/>
  <c r="L770" i="5"/>
  <c r="S769" i="5"/>
  <c r="R769" i="5"/>
  <c r="Q769" i="5"/>
  <c r="O769" i="5" s="1"/>
  <c r="M769" i="5"/>
  <c r="L769" i="5"/>
  <c r="S768" i="5"/>
  <c r="R768" i="5"/>
  <c r="Q768" i="5"/>
  <c r="N768" i="5" s="1"/>
  <c r="M768" i="5"/>
  <c r="L768" i="5"/>
  <c r="S767" i="5"/>
  <c r="R767" i="5"/>
  <c r="Q767" i="5"/>
  <c r="O767" i="5" s="1"/>
  <c r="M767" i="5"/>
  <c r="L767" i="5"/>
  <c r="S766" i="5"/>
  <c r="R766" i="5"/>
  <c r="Q766" i="5"/>
  <c r="O766" i="5" s="1"/>
  <c r="M766" i="5"/>
  <c r="L766" i="5"/>
  <c r="S765" i="5"/>
  <c r="R765" i="5"/>
  <c r="Q765" i="5"/>
  <c r="O765" i="5" s="1"/>
  <c r="M765" i="5"/>
  <c r="L765" i="5"/>
  <c r="S764" i="5"/>
  <c r="R764" i="5"/>
  <c r="Q764" i="5"/>
  <c r="N764" i="5" s="1"/>
  <c r="M764" i="5"/>
  <c r="L764" i="5"/>
  <c r="S763" i="5"/>
  <c r="R763" i="5"/>
  <c r="Q763" i="5"/>
  <c r="O763" i="5" s="1"/>
  <c r="M763" i="5"/>
  <c r="L763" i="5"/>
  <c r="S762" i="5"/>
  <c r="R762" i="5"/>
  <c r="Q762" i="5"/>
  <c r="N762" i="5" s="1"/>
  <c r="M762" i="5"/>
  <c r="L762" i="5"/>
  <c r="S761" i="5"/>
  <c r="R761" i="5"/>
  <c r="Q761" i="5"/>
  <c r="O761" i="5" s="1"/>
  <c r="M761" i="5"/>
  <c r="L761" i="5"/>
  <c r="S760" i="5"/>
  <c r="R760" i="5"/>
  <c r="Q760" i="5"/>
  <c r="N760" i="5" s="1"/>
  <c r="M760" i="5"/>
  <c r="L760" i="5"/>
  <c r="X760" i="5" s="1"/>
  <c r="S759" i="5"/>
  <c r="R759" i="5"/>
  <c r="Q759" i="5"/>
  <c r="O759" i="5" s="1"/>
  <c r="M759" i="5"/>
  <c r="L759" i="5"/>
  <c r="S758" i="5"/>
  <c r="R758" i="5"/>
  <c r="Q758" i="5"/>
  <c r="P758" i="5" s="1"/>
  <c r="M758" i="5"/>
  <c r="L758" i="5"/>
  <c r="S757" i="5"/>
  <c r="R757" i="5"/>
  <c r="Q757" i="5"/>
  <c r="O757" i="5" s="1"/>
  <c r="M757" i="5"/>
  <c r="L757" i="5"/>
  <c r="S756" i="5"/>
  <c r="R756" i="5"/>
  <c r="Q756" i="5"/>
  <c r="O756" i="5" s="1"/>
  <c r="M756" i="5"/>
  <c r="L756" i="5"/>
  <c r="S755" i="5"/>
  <c r="R755" i="5"/>
  <c r="Q755" i="5"/>
  <c r="O755" i="5" s="1"/>
  <c r="M755" i="5"/>
  <c r="L755" i="5"/>
  <c r="S754" i="5"/>
  <c r="R754" i="5"/>
  <c r="Q754" i="5"/>
  <c r="N754" i="5" s="1"/>
  <c r="M754" i="5"/>
  <c r="L754" i="5"/>
  <c r="S753" i="5"/>
  <c r="R753" i="5"/>
  <c r="Q753" i="5"/>
  <c r="O753" i="5" s="1"/>
  <c r="M753" i="5"/>
  <c r="L753" i="5"/>
  <c r="S752" i="5"/>
  <c r="R752" i="5"/>
  <c r="Q752" i="5"/>
  <c r="M752" i="5"/>
  <c r="L752" i="5"/>
  <c r="S751" i="5"/>
  <c r="R751" i="5"/>
  <c r="Q751" i="5"/>
  <c r="O751" i="5" s="1"/>
  <c r="M751" i="5"/>
  <c r="L751" i="5"/>
  <c r="S750" i="5"/>
  <c r="R750" i="5"/>
  <c r="Q750" i="5"/>
  <c r="N750" i="5" s="1"/>
  <c r="M750" i="5"/>
  <c r="L750" i="5"/>
  <c r="S749" i="5"/>
  <c r="R749" i="5"/>
  <c r="Q749" i="5"/>
  <c r="O749" i="5" s="1"/>
  <c r="M749" i="5"/>
  <c r="L749" i="5"/>
  <c r="S748" i="5"/>
  <c r="R748" i="5"/>
  <c r="Q748" i="5"/>
  <c r="N748" i="5" s="1"/>
  <c r="M748" i="5"/>
  <c r="L748" i="5"/>
  <c r="X748" i="5" s="1"/>
  <c r="S747" i="5"/>
  <c r="R747" i="5"/>
  <c r="Q747" i="5"/>
  <c r="O747" i="5" s="1"/>
  <c r="M747" i="5"/>
  <c r="L747" i="5"/>
  <c r="S746" i="5"/>
  <c r="R746" i="5"/>
  <c r="Q746" i="5"/>
  <c r="M746" i="5"/>
  <c r="L746" i="5"/>
  <c r="S745" i="5"/>
  <c r="R745" i="5"/>
  <c r="Q745" i="5"/>
  <c r="O745" i="5" s="1"/>
  <c r="M745" i="5"/>
  <c r="L745" i="5"/>
  <c r="S744" i="5"/>
  <c r="R744" i="5"/>
  <c r="Q744" i="5"/>
  <c r="P744" i="5" s="1"/>
  <c r="M744" i="5"/>
  <c r="L744" i="5"/>
  <c r="S743" i="5"/>
  <c r="R743" i="5"/>
  <c r="Q743" i="5"/>
  <c r="O743" i="5" s="1"/>
  <c r="M743" i="5"/>
  <c r="L743" i="5"/>
  <c r="S742" i="5"/>
  <c r="R742" i="5"/>
  <c r="Q742" i="5"/>
  <c r="O742" i="5" s="1"/>
  <c r="M742" i="5"/>
  <c r="L742" i="5"/>
  <c r="S741" i="5"/>
  <c r="R741" i="5"/>
  <c r="Q741" i="5"/>
  <c r="P741" i="5" s="1"/>
  <c r="M741" i="5"/>
  <c r="L741" i="5"/>
  <c r="S740" i="5"/>
  <c r="R740" i="5"/>
  <c r="Q740" i="5"/>
  <c r="O740" i="5" s="1"/>
  <c r="M740" i="5"/>
  <c r="L740" i="5"/>
  <c r="S739" i="5"/>
  <c r="R739" i="5"/>
  <c r="Q739" i="5"/>
  <c r="M739" i="5"/>
  <c r="L739" i="5"/>
  <c r="X739" i="5" s="1"/>
  <c r="S738" i="5"/>
  <c r="R738" i="5"/>
  <c r="Q738" i="5"/>
  <c r="O738" i="5" s="1"/>
  <c r="M738" i="5"/>
  <c r="L738" i="5"/>
  <c r="S737" i="5"/>
  <c r="R737" i="5"/>
  <c r="Q737" i="5"/>
  <c r="P737" i="5" s="1"/>
  <c r="M737" i="5"/>
  <c r="L737" i="5"/>
  <c r="S736" i="5"/>
  <c r="R736" i="5"/>
  <c r="Q736" i="5"/>
  <c r="O736" i="5" s="1"/>
  <c r="M736" i="5"/>
  <c r="L736" i="5"/>
  <c r="S735" i="5"/>
  <c r="R735" i="5"/>
  <c r="Q735" i="5"/>
  <c r="M735" i="5"/>
  <c r="L735" i="5"/>
  <c r="X735" i="5" s="1"/>
  <c r="S734" i="5"/>
  <c r="R734" i="5"/>
  <c r="Q734" i="5"/>
  <c r="M734" i="5"/>
  <c r="L734" i="5"/>
  <c r="S733" i="5"/>
  <c r="R733" i="5"/>
  <c r="Q733" i="5"/>
  <c r="N733" i="5" s="1"/>
  <c r="M733" i="5"/>
  <c r="L733" i="5"/>
  <c r="S732" i="5"/>
  <c r="R732" i="5"/>
  <c r="Q732" i="5"/>
  <c r="N732" i="5" s="1"/>
  <c r="M732" i="5"/>
  <c r="L732" i="5"/>
  <c r="S731" i="5"/>
  <c r="R731" i="5"/>
  <c r="Q731" i="5"/>
  <c r="P731" i="5" s="1"/>
  <c r="M731" i="5"/>
  <c r="L731" i="5"/>
  <c r="S730" i="5"/>
  <c r="R730" i="5"/>
  <c r="Q730" i="5"/>
  <c r="P730" i="5" s="1"/>
  <c r="M730" i="5"/>
  <c r="L730" i="5"/>
  <c r="S729" i="5"/>
  <c r="R729" i="5"/>
  <c r="Q729" i="5"/>
  <c r="M729" i="5"/>
  <c r="L729" i="5"/>
  <c r="S728" i="5"/>
  <c r="R728" i="5"/>
  <c r="Q728" i="5"/>
  <c r="M728" i="5"/>
  <c r="L728" i="5"/>
  <c r="S727" i="5"/>
  <c r="R727" i="5"/>
  <c r="Q727" i="5"/>
  <c r="M727" i="5"/>
  <c r="L727" i="5"/>
  <c r="S726" i="5"/>
  <c r="R726" i="5"/>
  <c r="Q726" i="5"/>
  <c r="M726" i="5"/>
  <c r="L726" i="5"/>
  <c r="S725" i="5"/>
  <c r="R725" i="5"/>
  <c r="Q725" i="5"/>
  <c r="P725" i="5" s="1"/>
  <c r="M725" i="5"/>
  <c r="L725" i="5"/>
  <c r="X725" i="5" s="1"/>
  <c r="S724" i="5"/>
  <c r="R724" i="5"/>
  <c r="Q724" i="5"/>
  <c r="P724" i="5" s="1"/>
  <c r="M724" i="5"/>
  <c r="L724" i="5"/>
  <c r="X724" i="5" s="1"/>
  <c r="S723" i="5"/>
  <c r="R723" i="5"/>
  <c r="Q723" i="5"/>
  <c r="P723" i="5" s="1"/>
  <c r="M723" i="5"/>
  <c r="L723" i="5"/>
  <c r="X723" i="5" s="1"/>
  <c r="S722" i="5"/>
  <c r="R722" i="5"/>
  <c r="Q722" i="5"/>
  <c r="P722" i="5" s="1"/>
  <c r="M722" i="5"/>
  <c r="L722" i="5"/>
  <c r="S721" i="5"/>
  <c r="R721" i="5"/>
  <c r="Q721" i="5"/>
  <c r="P721" i="5" s="1"/>
  <c r="M721" i="5"/>
  <c r="L721" i="5"/>
  <c r="X721" i="5" s="1"/>
  <c r="S720" i="5"/>
  <c r="R720" i="5"/>
  <c r="Q720" i="5"/>
  <c r="P720" i="5" s="1"/>
  <c r="M720" i="5"/>
  <c r="L720" i="5"/>
  <c r="X720" i="5" s="1"/>
  <c r="S719" i="5"/>
  <c r="R719" i="5"/>
  <c r="Q719" i="5"/>
  <c r="P719" i="5" s="1"/>
  <c r="M719" i="5"/>
  <c r="L719" i="5"/>
  <c r="X719" i="5" s="1"/>
  <c r="S718" i="5"/>
  <c r="R718" i="5"/>
  <c r="Q718" i="5"/>
  <c r="P718" i="5" s="1"/>
  <c r="M718" i="5"/>
  <c r="L718" i="5"/>
  <c r="S717" i="5"/>
  <c r="R717" i="5"/>
  <c r="Q717" i="5"/>
  <c r="M717" i="5"/>
  <c r="L717" i="5"/>
  <c r="S716" i="5"/>
  <c r="R716" i="5"/>
  <c r="Q716" i="5"/>
  <c r="M716" i="5"/>
  <c r="L716" i="5"/>
  <c r="S715" i="5"/>
  <c r="R715" i="5"/>
  <c r="Q715" i="5"/>
  <c r="P715" i="5" s="1"/>
  <c r="M715" i="5"/>
  <c r="L715" i="5"/>
  <c r="S714" i="5"/>
  <c r="R714" i="5"/>
  <c r="Q714" i="5"/>
  <c r="N714" i="5" s="1"/>
  <c r="M714" i="5"/>
  <c r="L714" i="5"/>
  <c r="S713" i="5"/>
  <c r="R713" i="5"/>
  <c r="Q713" i="5"/>
  <c r="P713" i="5" s="1"/>
  <c r="M713" i="5"/>
  <c r="L713" i="5"/>
  <c r="S712" i="5"/>
  <c r="R712" i="5"/>
  <c r="Q712" i="5"/>
  <c r="M712" i="5"/>
  <c r="L712" i="5"/>
  <c r="S711" i="5"/>
  <c r="R711" i="5"/>
  <c r="Q711" i="5"/>
  <c r="P711" i="5" s="1"/>
  <c r="M711" i="5"/>
  <c r="L711" i="5"/>
  <c r="X711" i="5" s="1"/>
  <c r="S710" i="5"/>
  <c r="R710" i="5"/>
  <c r="Q710" i="5"/>
  <c r="N710" i="5" s="1"/>
  <c r="M710" i="5"/>
  <c r="L710" i="5"/>
  <c r="S709" i="5"/>
  <c r="R709" i="5"/>
  <c r="Q709" i="5"/>
  <c r="P709" i="5" s="1"/>
  <c r="M709" i="5"/>
  <c r="L709" i="5"/>
  <c r="X709" i="5" s="1"/>
  <c r="S708" i="5"/>
  <c r="R708" i="5"/>
  <c r="Q708" i="5"/>
  <c r="N708" i="5" s="1"/>
  <c r="M708" i="5"/>
  <c r="L708" i="5"/>
  <c r="S707" i="5"/>
  <c r="R707" i="5"/>
  <c r="Q707" i="5"/>
  <c r="M707" i="5"/>
  <c r="L707" i="5"/>
  <c r="X707" i="5" s="1"/>
  <c r="S706" i="5"/>
  <c r="R706" i="5"/>
  <c r="Q706" i="5"/>
  <c r="N706" i="5" s="1"/>
  <c r="M706" i="5"/>
  <c r="L706" i="5"/>
  <c r="S705" i="5"/>
  <c r="R705" i="5"/>
  <c r="Q705" i="5"/>
  <c r="P705" i="5" s="1"/>
  <c r="M705" i="5"/>
  <c r="L705" i="5"/>
  <c r="X705" i="5" s="1"/>
  <c r="S704" i="5"/>
  <c r="R704" i="5"/>
  <c r="Q704" i="5"/>
  <c r="M704" i="5"/>
  <c r="L704" i="5"/>
  <c r="S703" i="5"/>
  <c r="R703" i="5"/>
  <c r="Q703" i="5"/>
  <c r="P703" i="5" s="1"/>
  <c r="M703" i="5"/>
  <c r="L703" i="5"/>
  <c r="X703" i="5" s="1"/>
  <c r="S702" i="5"/>
  <c r="R702" i="5"/>
  <c r="Q702" i="5"/>
  <c r="N702" i="5" s="1"/>
  <c r="M702" i="5"/>
  <c r="L702" i="5"/>
  <c r="S701" i="5"/>
  <c r="R701" i="5"/>
  <c r="Q701" i="5"/>
  <c r="P701" i="5" s="1"/>
  <c r="M701" i="5"/>
  <c r="L701" i="5"/>
  <c r="S700" i="5"/>
  <c r="R700" i="5"/>
  <c r="Q700" i="5"/>
  <c r="N700" i="5" s="1"/>
  <c r="M700" i="5"/>
  <c r="L700" i="5"/>
  <c r="S699" i="5"/>
  <c r="R699" i="5"/>
  <c r="Q699" i="5"/>
  <c r="P699" i="5" s="1"/>
  <c r="M699" i="5"/>
  <c r="L699" i="5"/>
  <c r="S698" i="5"/>
  <c r="R698" i="5"/>
  <c r="Q698" i="5"/>
  <c r="M698" i="5"/>
  <c r="L698" i="5"/>
  <c r="X698" i="5" s="1"/>
  <c r="S697" i="5"/>
  <c r="R697" i="5"/>
  <c r="Q697" i="5"/>
  <c r="P697" i="5" s="1"/>
  <c r="M697" i="5"/>
  <c r="U697" i="5"/>
  <c r="S696" i="5"/>
  <c r="R696" i="5"/>
  <c r="Q696" i="5"/>
  <c r="N696" i="5" s="1"/>
  <c r="M696" i="5"/>
  <c r="L696" i="5"/>
  <c r="S695" i="5"/>
  <c r="R695" i="5"/>
  <c r="Q695" i="5"/>
  <c r="P695" i="5" s="1"/>
  <c r="M695" i="5"/>
  <c r="L695" i="5"/>
  <c r="S694" i="5"/>
  <c r="R694" i="5"/>
  <c r="Q694" i="5"/>
  <c r="N694" i="5" s="1"/>
  <c r="M694" i="5"/>
  <c r="L694" i="5"/>
  <c r="S693" i="5"/>
  <c r="R693" i="5"/>
  <c r="Q693" i="5"/>
  <c r="P693" i="5" s="1"/>
  <c r="M693" i="5"/>
  <c r="L693" i="5"/>
  <c r="X693" i="5" s="1"/>
  <c r="S692" i="5"/>
  <c r="R692" i="5"/>
  <c r="Q692" i="5"/>
  <c r="M692" i="5"/>
  <c r="L692" i="5"/>
  <c r="S691" i="5"/>
  <c r="R691" i="5"/>
  <c r="Q691" i="5"/>
  <c r="P691" i="5" s="1"/>
  <c r="M691" i="5"/>
  <c r="L691" i="5"/>
  <c r="S690" i="5"/>
  <c r="R690" i="5"/>
  <c r="Q690" i="5"/>
  <c r="N690" i="5" s="1"/>
  <c r="M690" i="5"/>
  <c r="L690" i="5"/>
  <c r="S689" i="5"/>
  <c r="R689" i="5"/>
  <c r="Q689" i="5"/>
  <c r="P689" i="5" s="1"/>
  <c r="M689" i="5"/>
  <c r="L689" i="5"/>
  <c r="S688" i="5"/>
  <c r="R688" i="5"/>
  <c r="Q688" i="5"/>
  <c r="N688" i="5" s="1"/>
  <c r="M688" i="5"/>
  <c r="L688" i="5"/>
  <c r="S687" i="5"/>
  <c r="R687" i="5"/>
  <c r="Q687" i="5"/>
  <c r="P687" i="5" s="1"/>
  <c r="M687" i="5"/>
  <c r="L687" i="5"/>
  <c r="S686" i="5"/>
  <c r="R686" i="5"/>
  <c r="Q686" i="5"/>
  <c r="N686" i="5" s="1"/>
  <c r="M686" i="5"/>
  <c r="L686" i="5"/>
  <c r="S685" i="5"/>
  <c r="R685" i="5"/>
  <c r="Q685" i="5"/>
  <c r="P685" i="5" s="1"/>
  <c r="M685" i="5"/>
  <c r="L685" i="5"/>
  <c r="S684" i="5"/>
  <c r="R684" i="5"/>
  <c r="Q684" i="5"/>
  <c r="N684" i="5" s="1"/>
  <c r="M684" i="5"/>
  <c r="L684" i="5"/>
  <c r="S683" i="5"/>
  <c r="R683" i="5"/>
  <c r="Q683" i="5"/>
  <c r="O683" i="5" s="1"/>
  <c r="M683" i="5"/>
  <c r="L683" i="5"/>
  <c r="S682" i="5"/>
  <c r="R682" i="5"/>
  <c r="Q682" i="5"/>
  <c r="N682" i="5" s="1"/>
  <c r="M682" i="5"/>
  <c r="L682" i="5"/>
  <c r="S681" i="5"/>
  <c r="R681" i="5"/>
  <c r="Q681" i="5"/>
  <c r="M681" i="5"/>
  <c r="L681" i="5"/>
  <c r="S680" i="5"/>
  <c r="R680" i="5"/>
  <c r="Q680" i="5"/>
  <c r="M680" i="5"/>
  <c r="L680" i="5"/>
  <c r="S679" i="5"/>
  <c r="R679" i="5"/>
  <c r="Q679" i="5"/>
  <c r="M679" i="5"/>
  <c r="L679" i="5"/>
  <c r="S678" i="5"/>
  <c r="R678" i="5"/>
  <c r="Q678" i="5"/>
  <c r="M678" i="5"/>
  <c r="L678" i="5"/>
  <c r="S677" i="5"/>
  <c r="R677" i="5"/>
  <c r="Q677" i="5"/>
  <c r="O677" i="5" s="1"/>
  <c r="M677" i="5"/>
  <c r="L677" i="5"/>
  <c r="S676" i="5"/>
  <c r="R676" i="5"/>
  <c r="Q676" i="5"/>
  <c r="N676" i="5" s="1"/>
  <c r="M676" i="5"/>
  <c r="L676" i="5"/>
  <c r="S675" i="5"/>
  <c r="R675" i="5"/>
  <c r="Q675" i="5"/>
  <c r="P675" i="5" s="1"/>
  <c r="M675" i="5"/>
  <c r="L675" i="5"/>
  <c r="X675" i="5" s="1"/>
  <c r="S674" i="5"/>
  <c r="R674" i="5"/>
  <c r="Q674" i="5"/>
  <c r="N674" i="5" s="1"/>
  <c r="M674" i="5"/>
  <c r="L674" i="5"/>
  <c r="S673" i="5"/>
  <c r="R673" i="5"/>
  <c r="P673" i="5"/>
  <c r="M673" i="5"/>
  <c r="L673" i="5"/>
  <c r="X673" i="5" s="1"/>
  <c r="S672" i="5"/>
  <c r="R672" i="5"/>
  <c r="Q672" i="5"/>
  <c r="O672" i="5" s="1"/>
  <c r="M672" i="5"/>
  <c r="L672" i="5"/>
  <c r="S671" i="5"/>
  <c r="R671" i="5"/>
  <c r="Q671" i="5"/>
  <c r="N671" i="5" s="1"/>
  <c r="M671" i="5"/>
  <c r="L671" i="5"/>
  <c r="X671" i="5" s="1"/>
  <c r="S670" i="5"/>
  <c r="R670" i="5"/>
  <c r="Q670" i="5"/>
  <c r="N670" i="5" s="1"/>
  <c r="M670" i="5"/>
  <c r="L670" i="5"/>
  <c r="S669" i="5"/>
  <c r="R669" i="5"/>
  <c r="Q669" i="5"/>
  <c r="P669" i="5" s="1"/>
  <c r="M669" i="5"/>
  <c r="L669" i="5"/>
  <c r="X669" i="5" s="1"/>
  <c r="S668" i="5"/>
  <c r="R668" i="5"/>
  <c r="Q668" i="5"/>
  <c r="N668" i="5" s="1"/>
  <c r="M668" i="5"/>
  <c r="L668" i="5"/>
  <c r="S667" i="5"/>
  <c r="R667" i="5"/>
  <c r="Q667" i="5"/>
  <c r="M667" i="5"/>
  <c r="L667" i="5"/>
  <c r="S666" i="5"/>
  <c r="R666" i="5"/>
  <c r="Q666" i="5"/>
  <c r="N666" i="5" s="1"/>
  <c r="M666" i="5"/>
  <c r="L666" i="5"/>
  <c r="S665" i="5"/>
  <c r="R665" i="5"/>
  <c r="Q665" i="5"/>
  <c r="N665" i="5" s="1"/>
  <c r="M665" i="5"/>
  <c r="L665" i="5"/>
  <c r="X665" i="5" s="1"/>
  <c r="S664" i="5"/>
  <c r="R664" i="5"/>
  <c r="Q664" i="5"/>
  <c r="N664" i="5" s="1"/>
  <c r="M664" i="5"/>
  <c r="L664" i="5"/>
  <c r="S663" i="5"/>
  <c r="R663" i="5"/>
  <c r="Q663" i="5"/>
  <c r="P663" i="5" s="1"/>
  <c r="M663" i="5"/>
  <c r="L663" i="5"/>
  <c r="S662" i="5"/>
  <c r="R662" i="5"/>
  <c r="Q662" i="5"/>
  <c r="P662" i="5" s="1"/>
  <c r="M662" i="5"/>
  <c r="L662" i="5"/>
  <c r="S661" i="5"/>
  <c r="R661" i="5"/>
  <c r="Q661" i="5"/>
  <c r="P661" i="5" s="1"/>
  <c r="M661" i="5"/>
  <c r="L661" i="5"/>
  <c r="S660" i="5"/>
  <c r="R660" i="5"/>
  <c r="Q660" i="5"/>
  <c r="N660" i="5" s="1"/>
  <c r="M660" i="5"/>
  <c r="L660" i="5"/>
  <c r="S659" i="5"/>
  <c r="R659" i="5"/>
  <c r="Q659" i="5"/>
  <c r="P659" i="5" s="1"/>
  <c r="M659" i="5"/>
  <c r="L659" i="5"/>
  <c r="S658" i="5"/>
  <c r="R658" i="5"/>
  <c r="Q658" i="5"/>
  <c r="P658" i="5" s="1"/>
  <c r="M658" i="5"/>
  <c r="L658" i="5"/>
  <c r="S657" i="5"/>
  <c r="R657" i="5"/>
  <c r="Q657" i="5"/>
  <c r="P657" i="5" s="1"/>
  <c r="M657" i="5"/>
  <c r="L657" i="5"/>
  <c r="S656" i="5"/>
  <c r="R656" i="5"/>
  <c r="Q656" i="5"/>
  <c r="N656" i="5" s="1"/>
  <c r="M656" i="5"/>
  <c r="L656" i="5"/>
  <c r="S655" i="5"/>
  <c r="R655" i="5"/>
  <c r="Q655" i="5"/>
  <c r="P655" i="5" s="1"/>
  <c r="M655" i="5"/>
  <c r="L655" i="5"/>
  <c r="S654" i="5"/>
  <c r="R654" i="5"/>
  <c r="Q654" i="5"/>
  <c r="P654" i="5" s="1"/>
  <c r="M654" i="5"/>
  <c r="L654" i="5"/>
  <c r="S653" i="5"/>
  <c r="R653" i="5"/>
  <c r="Q653" i="5"/>
  <c r="M653" i="5"/>
  <c r="L653" i="5"/>
  <c r="X653" i="5" s="1"/>
  <c r="S652" i="5"/>
  <c r="R652" i="5"/>
  <c r="Q652" i="5"/>
  <c r="N652" i="5" s="1"/>
  <c r="M652" i="5"/>
  <c r="L652" i="5"/>
  <c r="S651" i="5"/>
  <c r="R651" i="5"/>
  <c r="Q651" i="5"/>
  <c r="O651" i="5" s="1"/>
  <c r="M651" i="5"/>
  <c r="L651" i="5"/>
  <c r="S650" i="5"/>
  <c r="R650" i="5"/>
  <c r="Q650" i="5"/>
  <c r="P650" i="5" s="1"/>
  <c r="M650" i="5"/>
  <c r="L650" i="5"/>
  <c r="S649" i="5"/>
  <c r="R649" i="5"/>
  <c r="Q649" i="5"/>
  <c r="P649" i="5" s="1"/>
  <c r="M649" i="5"/>
  <c r="L649" i="5"/>
  <c r="S648" i="5"/>
  <c r="R648" i="5"/>
  <c r="Q648" i="5"/>
  <c r="N648" i="5" s="1"/>
  <c r="M648" i="5"/>
  <c r="L648" i="5"/>
  <c r="S647" i="5"/>
  <c r="R647" i="5"/>
  <c r="Q647" i="5"/>
  <c r="P647" i="5" s="1"/>
  <c r="M647" i="5"/>
  <c r="L647" i="5"/>
  <c r="S646" i="5"/>
  <c r="R646" i="5"/>
  <c r="Q646" i="5"/>
  <c r="P646" i="5" s="1"/>
  <c r="M646" i="5"/>
  <c r="L646" i="5"/>
  <c r="S645" i="5"/>
  <c r="R645" i="5"/>
  <c r="Q645" i="5"/>
  <c r="P645" i="5" s="1"/>
  <c r="M645" i="5"/>
  <c r="L645" i="5"/>
  <c r="S644" i="5"/>
  <c r="R644" i="5"/>
  <c r="Q644" i="5"/>
  <c r="N644" i="5" s="1"/>
  <c r="M644" i="5"/>
  <c r="L644" i="5"/>
  <c r="X644" i="5" s="1"/>
  <c r="S643" i="5"/>
  <c r="R643" i="5"/>
  <c r="Q643" i="5"/>
  <c r="P643" i="5" s="1"/>
  <c r="M643" i="5"/>
  <c r="L643" i="5"/>
  <c r="S642" i="5"/>
  <c r="R642" i="5"/>
  <c r="Q642" i="5"/>
  <c r="M642" i="5"/>
  <c r="L642" i="5"/>
  <c r="S641" i="5"/>
  <c r="R641" i="5"/>
  <c r="Q641" i="5"/>
  <c r="N641" i="5" s="1"/>
  <c r="M641" i="5"/>
  <c r="L641" i="5"/>
  <c r="S640" i="5"/>
  <c r="R640" i="5"/>
  <c r="Q640" i="5"/>
  <c r="N640" i="5" s="1"/>
  <c r="M640" i="5"/>
  <c r="L640" i="5"/>
  <c r="S639" i="5"/>
  <c r="R639" i="5"/>
  <c r="Q639" i="5"/>
  <c r="N639" i="5" s="1"/>
  <c r="M639" i="5"/>
  <c r="L639" i="5"/>
  <c r="S638" i="5"/>
  <c r="R638" i="5"/>
  <c r="Q638" i="5"/>
  <c r="P638" i="5" s="1"/>
  <c r="M638" i="5"/>
  <c r="L638" i="5"/>
  <c r="S637" i="5"/>
  <c r="R637" i="5"/>
  <c r="Q637" i="5"/>
  <c r="M637" i="5"/>
  <c r="L637" i="5"/>
  <c r="X637" i="5" s="1"/>
  <c r="S636" i="5"/>
  <c r="R636" i="5"/>
  <c r="Q636" i="5"/>
  <c r="O636" i="5" s="1"/>
  <c r="M636" i="5"/>
  <c r="L636" i="5"/>
  <c r="X636" i="5" s="1"/>
  <c r="S635" i="5"/>
  <c r="R635" i="5"/>
  <c r="Q635" i="5"/>
  <c r="M635" i="5"/>
  <c r="L635" i="5"/>
  <c r="X635" i="5" s="1"/>
  <c r="S634" i="5"/>
  <c r="R634" i="5"/>
  <c r="Q634" i="5"/>
  <c r="N634" i="5" s="1"/>
  <c r="M634" i="5"/>
  <c r="L634" i="5"/>
  <c r="S633" i="5"/>
  <c r="R633" i="5"/>
  <c r="Q633" i="5"/>
  <c r="N633" i="5" s="1"/>
  <c r="M633" i="5"/>
  <c r="L633" i="5"/>
  <c r="S632" i="5"/>
  <c r="R632" i="5"/>
  <c r="Q632" i="5"/>
  <c r="O632" i="5" s="1"/>
  <c r="M632" i="5"/>
  <c r="L632" i="5"/>
  <c r="S631" i="5"/>
  <c r="R631" i="5"/>
  <c r="Q631" i="5"/>
  <c r="P631" i="5" s="1"/>
  <c r="M631" i="5"/>
  <c r="L631" i="5"/>
  <c r="S630" i="5"/>
  <c r="R630" i="5"/>
  <c r="Q630" i="5"/>
  <c r="P630" i="5" s="1"/>
  <c r="M630" i="5"/>
  <c r="L630" i="5"/>
  <c r="S629" i="5"/>
  <c r="R629" i="5"/>
  <c r="Q629" i="5"/>
  <c r="O629" i="5" s="1"/>
  <c r="M629" i="5"/>
  <c r="L629" i="5"/>
  <c r="S628" i="5"/>
  <c r="R628" i="5"/>
  <c r="Q628" i="5"/>
  <c r="N628" i="5" s="1"/>
  <c r="M628" i="5"/>
  <c r="L628" i="5"/>
  <c r="S627" i="5"/>
  <c r="R627" i="5"/>
  <c r="Q627" i="5"/>
  <c r="P627" i="5" s="1"/>
  <c r="M627" i="5"/>
  <c r="L627" i="5"/>
  <c r="S626" i="5"/>
  <c r="R626" i="5"/>
  <c r="Q626" i="5"/>
  <c r="N626" i="5" s="1"/>
  <c r="M626" i="5"/>
  <c r="L626" i="5"/>
  <c r="S625" i="5"/>
  <c r="R625" i="5"/>
  <c r="Q625" i="5"/>
  <c r="N625" i="5" s="1"/>
  <c r="M625" i="5"/>
  <c r="L625" i="5"/>
  <c r="S624" i="5"/>
  <c r="R624" i="5"/>
  <c r="Q624" i="5"/>
  <c r="O624" i="5" s="1"/>
  <c r="M624" i="5"/>
  <c r="L624" i="5"/>
  <c r="S623" i="5"/>
  <c r="R623" i="5"/>
  <c r="Q623" i="5"/>
  <c r="P623" i="5" s="1"/>
  <c r="M623" i="5"/>
  <c r="L623" i="5"/>
  <c r="S622" i="5"/>
  <c r="R622" i="5"/>
  <c r="Q622" i="5"/>
  <c r="P622" i="5" s="1"/>
  <c r="M622" i="5"/>
  <c r="L622" i="5"/>
  <c r="S621" i="5"/>
  <c r="R621" i="5"/>
  <c r="Q621" i="5"/>
  <c r="M621" i="5"/>
  <c r="L621" i="5"/>
  <c r="S620" i="5"/>
  <c r="R620" i="5"/>
  <c r="Q620" i="5"/>
  <c r="M620" i="5"/>
  <c r="L620" i="5"/>
  <c r="X620" i="5" s="1"/>
  <c r="S619" i="5"/>
  <c r="R619" i="5"/>
  <c r="Q619" i="5"/>
  <c r="P619" i="5" s="1"/>
  <c r="M619" i="5"/>
  <c r="L619" i="5"/>
  <c r="X619" i="5" s="1"/>
  <c r="S618" i="5"/>
  <c r="R618" i="5"/>
  <c r="Q618" i="5"/>
  <c r="N618" i="5" s="1"/>
  <c r="M618" i="5"/>
  <c r="L618" i="5"/>
  <c r="S617" i="5"/>
  <c r="R617" i="5"/>
  <c r="Q617" i="5"/>
  <c r="P617" i="5" s="1"/>
  <c r="M617" i="5"/>
  <c r="L617" i="5"/>
  <c r="X617" i="5" s="1"/>
  <c r="S616" i="5"/>
  <c r="R616" i="5"/>
  <c r="Q616" i="5"/>
  <c r="P616" i="5" s="1"/>
  <c r="M616" i="5"/>
  <c r="L616" i="5"/>
  <c r="X616" i="5" s="1"/>
  <c r="S615" i="5"/>
  <c r="R615" i="5"/>
  <c r="Q615" i="5"/>
  <c r="P615" i="5" s="1"/>
  <c r="M615" i="5"/>
  <c r="L615" i="5"/>
  <c r="X615" i="5" s="1"/>
  <c r="S614" i="5"/>
  <c r="R614" i="5"/>
  <c r="Q614" i="5"/>
  <c r="P614" i="5" s="1"/>
  <c r="M614" i="5"/>
  <c r="L614" i="5"/>
  <c r="S613" i="5"/>
  <c r="R613" i="5"/>
  <c r="Q613" i="5"/>
  <c r="P613" i="5" s="1"/>
  <c r="M613" i="5"/>
  <c r="L613" i="5"/>
  <c r="S612" i="5"/>
  <c r="R612" i="5"/>
  <c r="Q612" i="5"/>
  <c r="P612" i="5" s="1"/>
  <c r="M612" i="5"/>
  <c r="L612" i="5"/>
  <c r="S611" i="5"/>
  <c r="R611" i="5"/>
  <c r="Q611" i="5"/>
  <c r="P611" i="5" s="1"/>
  <c r="M611" i="5"/>
  <c r="L611" i="5"/>
  <c r="S610" i="5"/>
  <c r="R610" i="5"/>
  <c r="Q610" i="5"/>
  <c r="N610" i="5" s="1"/>
  <c r="M610" i="5"/>
  <c r="L610" i="5"/>
  <c r="S609" i="5"/>
  <c r="R609" i="5"/>
  <c r="Q609" i="5"/>
  <c r="P609" i="5" s="1"/>
  <c r="M609" i="5"/>
  <c r="L609" i="5"/>
  <c r="S608" i="5"/>
  <c r="R608" i="5"/>
  <c r="Q608" i="5"/>
  <c r="M608" i="5"/>
  <c r="L608" i="5"/>
  <c r="X608" i="5" s="1"/>
  <c r="S607" i="5"/>
  <c r="R607" i="5"/>
  <c r="Q607" i="5"/>
  <c r="N607" i="5" s="1"/>
  <c r="M607" i="5"/>
  <c r="L607" i="5"/>
  <c r="X607" i="5" s="1"/>
  <c r="S606" i="5"/>
  <c r="R606" i="5"/>
  <c r="Q606" i="5"/>
  <c r="P606" i="5" s="1"/>
  <c r="M606" i="5"/>
  <c r="L606" i="5"/>
  <c r="S605" i="5"/>
  <c r="R605" i="5"/>
  <c r="Q605" i="5"/>
  <c r="P605" i="5" s="1"/>
  <c r="M605" i="5"/>
  <c r="L605" i="5"/>
  <c r="S604" i="5"/>
  <c r="R604" i="5"/>
  <c r="Q604" i="5"/>
  <c r="O604" i="5" s="1"/>
  <c r="M604" i="5"/>
  <c r="L604" i="5"/>
  <c r="S603" i="5"/>
  <c r="R603" i="5"/>
  <c r="Q603" i="5"/>
  <c r="P603" i="5" s="1"/>
  <c r="M603" i="5"/>
  <c r="L603" i="5"/>
  <c r="X603" i="5" s="1"/>
  <c r="S602" i="5"/>
  <c r="R602" i="5"/>
  <c r="Q602" i="5"/>
  <c r="N602" i="5" s="1"/>
  <c r="M602" i="5"/>
  <c r="L602" i="5"/>
  <c r="S601" i="5"/>
  <c r="R601" i="5"/>
  <c r="Q601" i="5"/>
  <c r="P601" i="5" s="1"/>
  <c r="M601" i="5"/>
  <c r="L601" i="5"/>
  <c r="S600" i="5"/>
  <c r="R600" i="5"/>
  <c r="Q600" i="5"/>
  <c r="M600" i="5"/>
  <c r="L600" i="5"/>
  <c r="V600" i="5" s="1"/>
  <c r="S599" i="5"/>
  <c r="R599" i="5"/>
  <c r="Q599" i="5"/>
  <c r="M599" i="5"/>
  <c r="L599" i="5"/>
  <c r="S598" i="5"/>
  <c r="R598" i="5"/>
  <c r="Q598" i="5"/>
  <c r="P598" i="5" s="1"/>
  <c r="M598" i="5"/>
  <c r="L598" i="5"/>
  <c r="X598" i="5" s="1"/>
  <c r="S597" i="5"/>
  <c r="R597" i="5"/>
  <c r="Q597" i="5"/>
  <c r="P597" i="5" s="1"/>
  <c r="M597" i="5"/>
  <c r="L597" i="5"/>
  <c r="X597" i="5" s="1"/>
  <c r="S596" i="5"/>
  <c r="R596" i="5"/>
  <c r="Q596" i="5"/>
  <c r="O596" i="5" s="1"/>
  <c r="M596" i="5"/>
  <c r="L596" i="5"/>
  <c r="S595" i="5"/>
  <c r="R595" i="5"/>
  <c r="Q595" i="5"/>
  <c r="M595" i="5"/>
  <c r="L595" i="5"/>
  <c r="X595" i="5" s="1"/>
  <c r="S594" i="5"/>
  <c r="R594" i="5"/>
  <c r="Q594" i="5"/>
  <c r="M594" i="5"/>
  <c r="L594" i="5"/>
  <c r="S593" i="5"/>
  <c r="R593" i="5"/>
  <c r="Q593" i="5"/>
  <c r="O593" i="5" s="1"/>
  <c r="M593" i="5"/>
  <c r="L593" i="5"/>
  <c r="S592" i="5"/>
  <c r="R592" i="5"/>
  <c r="Q592" i="5"/>
  <c r="P592" i="5" s="1"/>
  <c r="M592" i="5"/>
  <c r="L592" i="5"/>
  <c r="S591" i="5"/>
  <c r="R591" i="5"/>
  <c r="Q591" i="5"/>
  <c r="M591" i="5"/>
  <c r="L591" i="5"/>
  <c r="S590" i="5"/>
  <c r="R590" i="5"/>
  <c r="Q590" i="5"/>
  <c r="P590" i="5" s="1"/>
  <c r="M590" i="5"/>
  <c r="L590" i="5"/>
  <c r="S589" i="5"/>
  <c r="R589" i="5"/>
  <c r="Q589" i="5"/>
  <c r="M589" i="5"/>
  <c r="L589" i="5"/>
  <c r="S588" i="5"/>
  <c r="R588" i="5"/>
  <c r="Q588" i="5"/>
  <c r="P588" i="5" s="1"/>
  <c r="M588" i="5"/>
  <c r="L588" i="5"/>
  <c r="S587" i="5"/>
  <c r="R587" i="5"/>
  <c r="Q587" i="5"/>
  <c r="P587" i="5" s="1"/>
  <c r="M587" i="5"/>
  <c r="L587" i="5"/>
  <c r="S586" i="5"/>
  <c r="R586" i="5"/>
  <c r="Q586" i="5"/>
  <c r="P586" i="5" s="1"/>
  <c r="M586" i="5"/>
  <c r="L586" i="5"/>
  <c r="S585" i="5"/>
  <c r="R585" i="5"/>
  <c r="Q585" i="5"/>
  <c r="O585" i="5" s="1"/>
  <c r="M585" i="5"/>
  <c r="L585" i="5"/>
  <c r="S584" i="5"/>
  <c r="R584" i="5"/>
  <c r="Q584" i="5"/>
  <c r="M584" i="5"/>
  <c r="L584" i="5"/>
  <c r="S583" i="5"/>
  <c r="R583" i="5"/>
  <c r="Q583" i="5"/>
  <c r="P583" i="5" s="1"/>
  <c r="M583" i="5"/>
  <c r="L583" i="5"/>
  <c r="S582" i="5"/>
  <c r="R582" i="5"/>
  <c r="Q582" i="5"/>
  <c r="P582" i="5" s="1"/>
  <c r="M582" i="5"/>
  <c r="L582" i="5"/>
  <c r="X582" i="5" s="1"/>
  <c r="S581" i="5"/>
  <c r="R581" i="5"/>
  <c r="Q581" i="5"/>
  <c r="O581" i="5" s="1"/>
  <c r="M581" i="5"/>
  <c r="L581" i="5"/>
  <c r="X581" i="5" s="1"/>
  <c r="S580" i="5"/>
  <c r="R580" i="5"/>
  <c r="Q580" i="5"/>
  <c r="P580" i="5" s="1"/>
  <c r="M580" i="5"/>
  <c r="L580" i="5"/>
  <c r="S579" i="5"/>
  <c r="R579" i="5"/>
  <c r="Q579" i="5"/>
  <c r="M579" i="5"/>
  <c r="L579" i="5"/>
  <c r="X579" i="5" s="1"/>
  <c r="S578" i="5"/>
  <c r="R578" i="5"/>
  <c r="Q578" i="5"/>
  <c r="O578" i="5" s="1"/>
  <c r="M578" i="5"/>
  <c r="L578" i="5"/>
  <c r="S577" i="5"/>
  <c r="R577" i="5"/>
  <c r="Q577" i="5"/>
  <c r="O577" i="5" s="1"/>
  <c r="M577" i="5"/>
  <c r="L577" i="5"/>
  <c r="S576" i="5"/>
  <c r="R576" i="5"/>
  <c r="Q576" i="5"/>
  <c r="M576" i="5"/>
  <c r="L576" i="5"/>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59" i="5"/>
  <c r="L5" i="5"/>
  <c r="L266" i="5"/>
  <c r="L256" i="5"/>
  <c r="L262" i="5"/>
  <c r="L276" i="5"/>
  <c r="L75" i="5"/>
  <c r="L253" i="5"/>
  <c r="L250" i="5"/>
  <c r="L247" i="5"/>
  <c r="L260" i="5"/>
  <c r="L258" i="5"/>
  <c r="L13" i="5"/>
  <c r="L293" i="5"/>
  <c r="L267" i="5"/>
  <c r="L277" i="5"/>
  <c r="L274" i="5"/>
  <c r="L23" i="5"/>
  <c r="L26" i="5"/>
  <c r="L18" i="5"/>
  <c r="L305" i="5"/>
  <c r="L84" i="5"/>
  <c r="L304" i="5"/>
  <c r="L295" i="5"/>
  <c r="L81" i="5"/>
  <c r="L296" i="5"/>
  <c r="L392" i="5"/>
  <c r="L310" i="5"/>
  <c r="L291" i="5"/>
  <c r="L34" i="5"/>
  <c r="L391" i="5"/>
  <c r="L315" i="5"/>
  <c r="L52" i="5"/>
  <c r="L319" i="5"/>
  <c r="L311" i="5"/>
  <c r="L284" i="5"/>
  <c r="L403" i="5"/>
  <c r="S465" i="5"/>
  <c r="R465" i="5"/>
  <c r="Q465" i="5"/>
  <c r="P465" i="5" s="1"/>
  <c r="M465" i="5"/>
  <c r="L465" i="5"/>
  <c r="X465" i="5" s="1"/>
  <c r="L290" i="5"/>
  <c r="L80" i="5"/>
  <c r="L303" i="5"/>
  <c r="L393" i="5"/>
  <c r="L279" i="5"/>
  <c r="L287" i="5"/>
  <c r="L301" i="5"/>
  <c r="L314" i="5"/>
  <c r="L45" i="5"/>
  <c r="L15" i="5"/>
  <c r="L324" i="5"/>
  <c r="S510" i="5"/>
  <c r="R510" i="5"/>
  <c r="Q510" i="5"/>
  <c r="O510" i="5" s="1"/>
  <c r="M510" i="5"/>
  <c r="L510" i="5"/>
  <c r="L347" i="5"/>
  <c r="L395" i="5"/>
  <c r="L330" i="5"/>
  <c r="L280" i="5"/>
  <c r="L360" i="5"/>
  <c r="L322" i="5"/>
  <c r="S481" i="5"/>
  <c r="R481" i="5"/>
  <c r="Q481" i="5"/>
  <c r="O481" i="5" s="1"/>
  <c r="M481" i="5"/>
  <c r="L481" i="5"/>
  <c r="L338" i="5"/>
  <c r="L354" i="5"/>
  <c r="L86" i="5"/>
  <c r="L389" i="5"/>
  <c r="L342" i="5"/>
  <c r="L321" i="5"/>
  <c r="L348" i="5"/>
  <c r="L292" i="5"/>
  <c r="L390" i="5"/>
  <c r="L333" i="5"/>
  <c r="L313" i="5"/>
  <c r="S463" i="5"/>
  <c r="R463" i="5"/>
  <c r="Q463" i="5"/>
  <c r="O463" i="5" s="1"/>
  <c r="M463" i="5"/>
  <c r="L463" i="5"/>
  <c r="L29" i="5"/>
  <c r="L22" i="5"/>
  <c r="S486" i="5"/>
  <c r="R486" i="5"/>
  <c r="Q486" i="5"/>
  <c r="P486" i="5" s="1"/>
  <c r="M486" i="5"/>
  <c r="L486" i="5"/>
  <c r="X486" i="5" s="1"/>
  <c r="L350" i="5"/>
  <c r="L325" i="5"/>
  <c r="L415" i="5"/>
  <c r="L300" i="5"/>
  <c r="L73" i="5"/>
  <c r="L349" i="5"/>
  <c r="L98" i="5"/>
  <c r="L358" i="5"/>
  <c r="L87" i="5"/>
  <c r="L405" i="5"/>
  <c r="S470" i="5"/>
  <c r="R470" i="5"/>
  <c r="Q470" i="5"/>
  <c r="M470" i="5"/>
  <c r="L470" i="5"/>
  <c r="L385" i="5"/>
  <c r="L320" i="5"/>
  <c r="L397" i="5"/>
  <c r="L27" i="5"/>
  <c r="S476" i="5"/>
  <c r="R476" i="5"/>
  <c r="Q476" i="5"/>
  <c r="N476" i="5" s="1"/>
  <c r="M476" i="5"/>
  <c r="L476" i="5"/>
  <c r="L12" i="5"/>
  <c r="L410" i="5"/>
  <c r="L427" i="5"/>
  <c r="S468" i="5"/>
  <c r="R468" i="5"/>
  <c r="Q468" i="5"/>
  <c r="O468" i="5" s="1"/>
  <c r="M468" i="5"/>
  <c r="L468" i="5"/>
  <c r="L394" i="5"/>
  <c r="L316" i="5"/>
  <c r="S464" i="5"/>
  <c r="R464" i="5"/>
  <c r="Q464" i="5"/>
  <c r="N464" i="5" s="1"/>
  <c r="M464" i="5"/>
  <c r="L464" i="5"/>
  <c r="L306" i="5"/>
  <c r="L298" i="5"/>
  <c r="L282" i="5"/>
  <c r="L380" i="5"/>
  <c r="L339" i="5"/>
  <c r="L371" i="5"/>
  <c r="L318" i="5"/>
  <c r="L323" i="5"/>
  <c r="S466" i="5"/>
  <c r="R466" i="5"/>
  <c r="Q466" i="5"/>
  <c r="O466" i="5" s="1"/>
  <c r="M466" i="5"/>
  <c r="L466" i="5"/>
  <c r="L428" i="5"/>
  <c r="L364" i="5"/>
  <c r="S482" i="5"/>
  <c r="R482" i="5"/>
  <c r="Q482" i="5"/>
  <c r="P482" i="5" s="1"/>
  <c r="M482" i="5"/>
  <c r="L482" i="5"/>
  <c r="X482" i="5" s="1"/>
  <c r="L363" i="5"/>
  <c r="L411" i="5"/>
  <c r="L336" i="5"/>
  <c r="L346" i="5"/>
  <c r="S462" i="5"/>
  <c r="R462" i="5"/>
  <c r="Q462" i="5"/>
  <c r="P462" i="5" s="1"/>
  <c r="M462" i="5"/>
  <c r="L462" i="5"/>
  <c r="L337" i="5"/>
  <c r="L387" i="5"/>
  <c r="L285" i="5"/>
  <c r="L361" i="5"/>
  <c r="L388" i="5"/>
  <c r="L95" i="5"/>
  <c r="S450" i="5"/>
  <c r="R450" i="5"/>
  <c r="Q450" i="5"/>
  <c r="O450" i="5" s="1"/>
  <c r="M450" i="5"/>
  <c r="L450" i="5"/>
  <c r="L359" i="5"/>
  <c r="L312" i="5"/>
  <c r="L329" i="5"/>
  <c r="L294" i="5"/>
  <c r="S479" i="5"/>
  <c r="R479" i="5"/>
  <c r="Q479" i="5"/>
  <c r="P479" i="5" s="1"/>
  <c r="M479" i="5"/>
  <c r="L479" i="5"/>
  <c r="S490" i="5"/>
  <c r="R490" i="5"/>
  <c r="Q490" i="5"/>
  <c r="M490" i="5"/>
  <c r="L490" i="5"/>
  <c r="S440" i="5"/>
  <c r="R440" i="5"/>
  <c r="Q440" i="5"/>
  <c r="M440" i="5"/>
  <c r="L440" i="5"/>
  <c r="X440" i="5" s="1"/>
  <c r="L408" i="5"/>
  <c r="L419" i="5"/>
  <c r="L344" i="5"/>
  <c r="L376" i="5"/>
  <c r="L362" i="5"/>
  <c r="L352" i="5"/>
  <c r="L432" i="5"/>
  <c r="L31" i="5"/>
  <c r="L118" i="5"/>
  <c r="L286" i="5"/>
  <c r="L341" i="5"/>
  <c r="S488" i="5"/>
  <c r="R488" i="5"/>
  <c r="Q488" i="5"/>
  <c r="O488" i="5" s="1"/>
  <c r="M488" i="5"/>
  <c r="L488" i="5"/>
  <c r="X488" i="5" s="1"/>
  <c r="L431" i="5"/>
  <c r="L44" i="5"/>
  <c r="L417" i="5"/>
  <c r="L377" i="5"/>
  <c r="L426" i="5"/>
  <c r="L345" i="5"/>
  <c r="L386" i="5"/>
  <c r="L375" i="5"/>
  <c r="S461" i="5"/>
  <c r="R461" i="5"/>
  <c r="Q461" i="5"/>
  <c r="O461" i="5" s="1"/>
  <c r="M461" i="5"/>
  <c r="L461" i="5"/>
  <c r="L357" i="5"/>
  <c r="L275" i="5"/>
  <c r="S485" i="5"/>
  <c r="R485" i="5"/>
  <c r="Q485" i="5"/>
  <c r="O485" i="5" s="1"/>
  <c r="M485" i="5"/>
  <c r="L485" i="5"/>
  <c r="L343" i="5"/>
  <c r="L414" i="5"/>
  <c r="L302" i="5"/>
  <c r="S467" i="5"/>
  <c r="R467" i="5"/>
  <c r="Q467" i="5"/>
  <c r="O467" i="5" s="1"/>
  <c r="M467" i="5"/>
  <c r="L467" i="5"/>
  <c r="X467" i="5" s="1"/>
  <c r="L374" i="5"/>
  <c r="S489" i="5"/>
  <c r="R489" i="5"/>
  <c r="Q489" i="5"/>
  <c r="O489" i="5" s="1"/>
  <c r="M489" i="5"/>
  <c r="L489" i="5"/>
  <c r="L384" i="5"/>
  <c r="L418" i="5"/>
  <c r="S445" i="5"/>
  <c r="R445" i="5"/>
  <c r="Q445" i="5"/>
  <c r="P445" i="5" s="1"/>
  <c r="M445" i="5"/>
  <c r="L445" i="5"/>
  <c r="S487" i="5"/>
  <c r="R487" i="5"/>
  <c r="Q487" i="5"/>
  <c r="O487" i="5" s="1"/>
  <c r="M487" i="5"/>
  <c r="L487" i="5"/>
  <c r="L297" i="5"/>
  <c r="L334" i="5"/>
  <c r="L416" i="5"/>
  <c r="L409" i="5"/>
  <c r="L400" i="5"/>
  <c r="L437" i="5"/>
  <c r="S446" i="5"/>
  <c r="R446" i="5"/>
  <c r="Q446" i="5"/>
  <c r="M446" i="5"/>
  <c r="L446" i="5"/>
  <c r="L328" i="5"/>
  <c r="L335" i="5"/>
  <c r="L382" i="5"/>
  <c r="S507" i="5"/>
  <c r="R507" i="5"/>
  <c r="Q507" i="5"/>
  <c r="O507" i="5" s="1"/>
  <c r="M507" i="5"/>
  <c r="L507" i="5"/>
  <c r="X507" i="5" s="1"/>
  <c r="L369" i="5"/>
  <c r="L424" i="5"/>
  <c r="S477" i="5"/>
  <c r="R477" i="5"/>
  <c r="Q477" i="5"/>
  <c r="M477" i="5"/>
  <c r="L477" i="5"/>
  <c r="L407" i="5"/>
  <c r="L406" i="5"/>
  <c r="L36" i="5"/>
  <c r="L429" i="5"/>
  <c r="L413" i="5"/>
  <c r="S443" i="5"/>
  <c r="R443" i="5"/>
  <c r="Q443" i="5"/>
  <c r="M443" i="5"/>
  <c r="L443" i="5"/>
  <c r="S454" i="5"/>
  <c r="R454" i="5"/>
  <c r="Q454" i="5"/>
  <c r="O454" i="5" s="1"/>
  <c r="M454" i="5"/>
  <c r="L454" i="5"/>
  <c r="L379" i="5"/>
  <c r="S474" i="5"/>
  <c r="R474" i="5"/>
  <c r="Q474" i="5"/>
  <c r="P474" i="5" s="1"/>
  <c r="M474" i="5"/>
  <c r="L474" i="5"/>
  <c r="S478" i="5"/>
  <c r="R478" i="5"/>
  <c r="Q478" i="5"/>
  <c r="M478" i="5"/>
  <c r="L478" i="5"/>
  <c r="X478" i="5" s="1"/>
  <c r="L204" i="5"/>
  <c r="L420" i="5"/>
  <c r="L425" i="5"/>
  <c r="L17" i="5"/>
  <c r="L383" i="5"/>
  <c r="L269" i="5"/>
  <c r="L83" i="5"/>
  <c r="L381" i="5"/>
  <c r="S452" i="5"/>
  <c r="R452" i="5"/>
  <c r="Q452" i="5"/>
  <c r="O452" i="5" s="1"/>
  <c r="M452" i="5"/>
  <c r="L452" i="5"/>
  <c r="L351" i="5"/>
  <c r="S475" i="5"/>
  <c r="R475" i="5"/>
  <c r="Q475" i="5"/>
  <c r="M475" i="5"/>
  <c r="L475" i="5"/>
  <c r="L404" i="5"/>
  <c r="L331" i="5"/>
  <c r="L396" i="5"/>
  <c r="L412" i="5"/>
  <c r="L40" i="5"/>
  <c r="S449" i="5"/>
  <c r="R449" i="5"/>
  <c r="Q449" i="5"/>
  <c r="N449" i="5" s="1"/>
  <c r="M449" i="5"/>
  <c r="L449" i="5"/>
  <c r="L372" i="5"/>
  <c r="L108" i="5"/>
  <c r="S509" i="5"/>
  <c r="R509" i="5"/>
  <c r="Q509" i="5"/>
  <c r="P509" i="5" s="1"/>
  <c r="M509" i="5"/>
  <c r="L509" i="5"/>
  <c r="X509" i="5" s="1"/>
  <c r="S471" i="5"/>
  <c r="R471" i="5"/>
  <c r="Q471" i="5"/>
  <c r="N471" i="5" s="1"/>
  <c r="M471" i="5"/>
  <c r="L471" i="5"/>
  <c r="X471" i="5" s="1"/>
  <c r="S453" i="5"/>
  <c r="R453" i="5"/>
  <c r="Q453" i="5"/>
  <c r="O453" i="5" s="1"/>
  <c r="M453" i="5"/>
  <c r="L453" i="5"/>
  <c r="L373" i="5"/>
  <c r="S451" i="5"/>
  <c r="R451" i="5"/>
  <c r="Q451" i="5"/>
  <c r="M451" i="5"/>
  <c r="L451" i="5"/>
  <c r="S442" i="5"/>
  <c r="R442" i="5"/>
  <c r="Q442" i="5"/>
  <c r="N442" i="5" s="1"/>
  <c r="M442" i="5"/>
  <c r="L442" i="5"/>
  <c r="L28" i="5"/>
  <c r="S441" i="5"/>
  <c r="R441" i="5"/>
  <c r="Q441" i="5"/>
  <c r="N441" i="5" s="1"/>
  <c r="M441" i="5"/>
  <c r="L441" i="5"/>
  <c r="L430" i="5"/>
  <c r="L370" i="5"/>
  <c r="L99" i="5"/>
  <c r="L438" i="5"/>
  <c r="S469" i="5"/>
  <c r="R469" i="5"/>
  <c r="Q469" i="5"/>
  <c r="N469" i="5" s="1"/>
  <c r="M469" i="5"/>
  <c r="L469" i="5"/>
  <c r="X469" i="5" s="1"/>
  <c r="L54" i="5"/>
  <c r="L327" i="5"/>
  <c r="L55" i="5"/>
  <c r="S473" i="5"/>
  <c r="R473" i="5"/>
  <c r="Q473" i="5"/>
  <c r="N473" i="5" s="1"/>
  <c r="M473" i="5"/>
  <c r="L473" i="5"/>
  <c r="L402" i="5"/>
  <c r="L63" i="5"/>
  <c r="L68" i="5"/>
  <c r="L278" i="5"/>
  <c r="L366" i="5"/>
  <c r="L368" i="5"/>
  <c r="L434" i="5"/>
  <c r="L436" i="5"/>
  <c r="L422" i="5"/>
  <c r="L243" i="5"/>
  <c r="L241" i="5"/>
  <c r="L239" i="5"/>
  <c r="L237" i="5"/>
  <c r="L235" i="5"/>
  <c r="L233" i="5"/>
  <c r="L231" i="5"/>
  <c r="L229" i="5"/>
  <c r="L226" i="5"/>
  <c r="L224" i="5"/>
  <c r="L221" i="5"/>
  <c r="L219" i="5"/>
  <c r="L217" i="5"/>
  <c r="L215" i="5"/>
  <c r="L213" i="5"/>
  <c r="L211" i="5"/>
  <c r="L209" i="5"/>
  <c r="L207" i="5"/>
  <c r="L205" i="5"/>
  <c r="L203" i="5"/>
  <c r="L201" i="5"/>
  <c r="L199" i="5"/>
  <c r="L197" i="5"/>
  <c r="L193" i="5"/>
  <c r="L190" i="5"/>
  <c r="L181" i="5"/>
  <c r="L178" i="5"/>
  <c r="L176" i="5"/>
  <c r="L174" i="5"/>
  <c r="L172" i="5"/>
  <c r="L170" i="5"/>
  <c r="L168" i="5"/>
  <c r="L166" i="5"/>
  <c r="L164" i="5"/>
  <c r="L162" i="5"/>
  <c r="L160" i="5"/>
  <c r="L157" i="5"/>
  <c r="L155" i="5"/>
  <c r="L153" i="5"/>
  <c r="L151" i="5"/>
  <c r="L149" i="5"/>
  <c r="L24" i="5"/>
  <c r="L20" i="5"/>
  <c r="S483" i="5"/>
  <c r="R483" i="5"/>
  <c r="Q483" i="5"/>
  <c r="O483" i="5" s="1"/>
  <c r="M483" i="5"/>
  <c r="L483" i="5"/>
  <c r="S480" i="5"/>
  <c r="R480" i="5"/>
  <c r="Q480" i="5"/>
  <c r="N480" i="5" s="1"/>
  <c r="M480" i="5"/>
  <c r="L480" i="5"/>
  <c r="S472" i="5"/>
  <c r="R472" i="5"/>
  <c r="Q472" i="5"/>
  <c r="P472" i="5" s="1"/>
  <c r="M472" i="5"/>
  <c r="L472" i="5"/>
  <c r="S460" i="5"/>
  <c r="R460" i="5"/>
  <c r="Q460" i="5"/>
  <c r="O460" i="5" s="1"/>
  <c r="M460" i="5"/>
  <c r="L460" i="5"/>
  <c r="S459" i="5"/>
  <c r="R459" i="5"/>
  <c r="Q459" i="5"/>
  <c r="P459" i="5" s="1"/>
  <c r="M459" i="5"/>
  <c r="L459" i="5"/>
  <c r="S447" i="5"/>
  <c r="R447" i="5"/>
  <c r="Q447" i="5"/>
  <c r="P447" i="5" s="1"/>
  <c r="M447" i="5"/>
  <c r="L447" i="5"/>
  <c r="S444" i="5"/>
  <c r="R444" i="5"/>
  <c r="Q444" i="5"/>
  <c r="P444" i="5" s="1"/>
  <c r="M444" i="5"/>
  <c r="L444" i="5"/>
  <c r="L435" i="5"/>
  <c r="L399" i="5"/>
  <c r="L378" i="5"/>
  <c r="L367" i="5"/>
  <c r="L340" i="5"/>
  <c r="L307" i="5"/>
  <c r="L299" i="5"/>
  <c r="L270" i="5"/>
  <c r="L261" i="5"/>
  <c r="L255" i="5"/>
  <c r="L254" i="5"/>
  <c r="L251" i="5"/>
  <c r="L249" i="5"/>
  <c r="L248" i="5"/>
  <c r="L230" i="5"/>
  <c r="L180" i="5"/>
  <c r="L173" i="5"/>
  <c r="L163" i="5"/>
  <c r="L161" i="5"/>
  <c r="L156" i="5"/>
  <c r="L152" i="5"/>
  <c r="L150" i="5"/>
  <c r="L132" i="5"/>
  <c r="L124" i="5"/>
  <c r="L123" i="5"/>
  <c r="L122" i="5"/>
  <c r="L111" i="5"/>
  <c r="L92" i="5"/>
  <c r="L77" i="5"/>
  <c r="L72" i="5"/>
  <c r="L70"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456" i="5"/>
  <c r="R456" i="5"/>
  <c r="Q456" i="5"/>
  <c r="O456" i="5" s="1"/>
  <c r="M456" i="5"/>
  <c r="L456" i="5"/>
  <c r="S455" i="5"/>
  <c r="R455" i="5"/>
  <c r="Q455" i="5"/>
  <c r="N455" i="5" s="1"/>
  <c r="M455" i="5"/>
  <c r="L455" i="5"/>
  <c r="S448" i="5"/>
  <c r="R448" i="5"/>
  <c r="Q448" i="5"/>
  <c r="P448" i="5" s="1"/>
  <c r="M448" i="5"/>
  <c r="L448" i="5"/>
  <c r="L433" i="5"/>
  <c r="L423" i="5"/>
  <c r="L421" i="5"/>
  <c r="L398" i="5"/>
  <c r="L365" i="5"/>
  <c r="L356" i="5"/>
  <c r="L353" i="5"/>
  <c r="L332" i="5"/>
  <c r="L326" i="5"/>
  <c r="L289" i="5"/>
  <c r="L288" i="5"/>
  <c r="L283" i="5"/>
  <c r="L281" i="5"/>
  <c r="L273" i="5"/>
  <c r="L272" i="5"/>
  <c r="L271" i="5"/>
  <c r="L268" i="5"/>
  <c r="L265" i="5"/>
  <c r="L264" i="5"/>
  <c r="L263" i="5"/>
  <c r="L257" i="5"/>
  <c r="L252" i="5"/>
  <c r="L246" i="5"/>
  <c r="L195" i="5"/>
  <c r="L194" i="5"/>
  <c r="L191" i="5"/>
  <c r="L188" i="5"/>
  <c r="L187" i="5"/>
  <c r="L186" i="5"/>
  <c r="L185" i="5"/>
  <c r="L184" i="5"/>
  <c r="L183" i="5"/>
  <c r="L182" i="5"/>
  <c r="L179" i="5"/>
  <c r="L158" i="5"/>
  <c r="L147" i="5"/>
  <c r="L146" i="5"/>
  <c r="L145" i="5"/>
  <c r="L144" i="5"/>
  <c r="L143" i="5"/>
  <c r="L142" i="5"/>
  <c r="L141" i="5"/>
  <c r="L140" i="5"/>
  <c r="L139" i="5"/>
  <c r="L138" i="5"/>
  <c r="L136" i="5"/>
  <c r="L135" i="5"/>
  <c r="L134" i="5"/>
  <c r="L133" i="5"/>
  <c r="L131" i="5"/>
  <c r="L130" i="5"/>
  <c r="L129" i="5"/>
  <c r="L128" i="5"/>
  <c r="L127" i="5"/>
  <c r="L126" i="5"/>
  <c r="L125" i="5"/>
  <c r="L121" i="5"/>
  <c r="L117" i="5"/>
  <c r="L116" i="5"/>
  <c r="L115" i="5"/>
  <c r="L114" i="5"/>
  <c r="L107" i="5"/>
  <c r="L106" i="5"/>
  <c r="L105" i="5"/>
  <c r="L104" i="5"/>
  <c r="L102" i="5"/>
  <c r="L101" i="5"/>
  <c r="L97" i="5"/>
  <c r="L94" i="5"/>
  <c r="L88" i="5"/>
  <c r="L4" i="5"/>
  <c r="L3" i="5"/>
  <c r="S493" i="5"/>
  <c r="R493" i="5"/>
  <c r="Q493" i="5"/>
  <c r="N493" i="5" s="1"/>
  <c r="M493" i="5"/>
  <c r="L493" i="5"/>
  <c r="S492" i="5"/>
  <c r="R492" i="5"/>
  <c r="Q492" i="5"/>
  <c r="N492" i="5" s="1"/>
  <c r="M492" i="5"/>
  <c r="L492" i="5"/>
  <c r="X492" i="5" s="1"/>
  <c r="S491" i="5"/>
  <c r="R491" i="5"/>
  <c r="Q491" i="5"/>
  <c r="P491" i="5" s="1"/>
  <c r="M491" i="5"/>
  <c r="L491" i="5"/>
  <c r="L309" i="5"/>
  <c r="L245" i="5"/>
  <c r="L137" i="5"/>
  <c r="L120" i="5"/>
  <c r="L74" i="5"/>
  <c r="L2" i="5"/>
  <c r="L78" i="5"/>
  <c r="L46" i="5"/>
  <c r="L42" i="5"/>
  <c r="L61" i="5"/>
  <c r="L71" i="5"/>
  <c r="L103" i="5"/>
  <c r="L198" i="5"/>
  <c r="L119" i="5"/>
  <c r="L113" i="5"/>
  <c r="L47" i="5"/>
  <c r="L100" i="5"/>
  <c r="L8" i="5"/>
  <c r="L41" i="5"/>
  <c r="S500" i="5"/>
  <c r="R500" i="5"/>
  <c r="Q500" i="5"/>
  <c r="N500" i="5" s="1"/>
  <c r="M500" i="5"/>
  <c r="L500" i="5"/>
  <c r="L51" i="5"/>
  <c r="S508" i="5"/>
  <c r="R508" i="5"/>
  <c r="Q508" i="5"/>
  <c r="P508" i="5" s="1"/>
  <c r="M508" i="5"/>
  <c r="L508" i="5"/>
  <c r="L85" i="5"/>
  <c r="S499" i="5"/>
  <c r="R499" i="5"/>
  <c r="Q499" i="5"/>
  <c r="N499" i="5" s="1"/>
  <c r="M499" i="5"/>
  <c r="L499" i="5"/>
  <c r="S497" i="5"/>
  <c r="R497" i="5"/>
  <c r="Q497" i="5"/>
  <c r="P497" i="5" s="1"/>
  <c r="M497" i="5"/>
  <c r="L497" i="5"/>
  <c r="L227" i="5"/>
  <c r="L210" i="5"/>
  <c r="L236" i="5"/>
  <c r="L65" i="5"/>
  <c r="L96" i="5"/>
  <c r="L401" i="5"/>
  <c r="L57" i="5"/>
  <c r="L69" i="5"/>
  <c r="L37" i="5"/>
  <c r="L222" i="5"/>
  <c r="L355" i="5"/>
  <c r="L93" i="5"/>
  <c r="L208" i="5"/>
  <c r="L50" i="5"/>
  <c r="L30" i="5"/>
  <c r="S495" i="5"/>
  <c r="R495" i="5"/>
  <c r="Q495" i="5"/>
  <c r="P495" i="5" s="1"/>
  <c r="M495" i="5"/>
  <c r="L495" i="5"/>
  <c r="L308" i="5"/>
  <c r="L91" i="5"/>
  <c r="L33" i="5"/>
  <c r="L53" i="5"/>
  <c r="L59" i="5"/>
  <c r="L39" i="5"/>
  <c r="L48" i="5"/>
  <c r="L244" i="5"/>
  <c r="L21" i="5"/>
  <c r="L49" i="5"/>
  <c r="L228" i="5"/>
  <c r="L317" i="5"/>
  <c r="L19" i="5"/>
  <c r="L232" i="5"/>
  <c r="L32" i="5"/>
  <c r="L11" i="5"/>
  <c r="L218" i="5"/>
  <c r="L110" i="5"/>
  <c r="S504" i="5"/>
  <c r="R504" i="5"/>
  <c r="Q504" i="5"/>
  <c r="N504" i="5" s="1"/>
  <c r="M504" i="5"/>
  <c r="L504" i="5"/>
  <c r="X504" i="5" s="1"/>
  <c r="L112" i="5"/>
  <c r="S501" i="5"/>
  <c r="R501" i="5"/>
  <c r="Q501" i="5"/>
  <c r="P501" i="5" s="1"/>
  <c r="M501" i="5"/>
  <c r="L501" i="5"/>
  <c r="X501" i="5" s="1"/>
  <c r="L234" i="5"/>
  <c r="S503" i="5"/>
  <c r="R503" i="5"/>
  <c r="Q503" i="5"/>
  <c r="N503" i="5" s="1"/>
  <c r="M503" i="5"/>
  <c r="L503" i="5"/>
  <c r="X503" i="5" s="1"/>
  <c r="L212" i="5"/>
  <c r="S498" i="5"/>
  <c r="R498" i="5"/>
  <c r="Q498" i="5"/>
  <c r="O498" i="5" s="1"/>
  <c r="M498" i="5"/>
  <c r="L498" i="5"/>
  <c r="L238" i="5"/>
  <c r="S505" i="5"/>
  <c r="R505" i="5"/>
  <c r="Q505" i="5"/>
  <c r="N505" i="5" s="1"/>
  <c r="M505" i="5"/>
  <c r="L505" i="5"/>
  <c r="S496" i="5"/>
  <c r="R496" i="5"/>
  <c r="Q496" i="5"/>
  <c r="P496" i="5" s="1"/>
  <c r="M496" i="5"/>
  <c r="L496" i="5"/>
  <c r="X496" i="5" s="1"/>
  <c r="S502" i="5"/>
  <c r="R502" i="5"/>
  <c r="Q502" i="5"/>
  <c r="N502" i="5" s="1"/>
  <c r="M502" i="5"/>
  <c r="L502" i="5"/>
  <c r="L206" i="5"/>
  <c r="L214" i="5"/>
  <c r="L216" i="5"/>
  <c r="L82" i="5"/>
  <c r="S506" i="5"/>
  <c r="R506" i="5"/>
  <c r="Q506" i="5"/>
  <c r="N506" i="5" s="1"/>
  <c r="M506" i="5"/>
  <c r="L506" i="5"/>
  <c r="X506" i="5" s="1"/>
  <c r="L14" i="5"/>
  <c r="L109" i="5"/>
  <c r="L79" i="5"/>
  <c r="S494" i="5"/>
  <c r="R494" i="5"/>
  <c r="Q494" i="5"/>
  <c r="N494" i="5" s="1"/>
  <c r="M494" i="5"/>
  <c r="L494" i="5"/>
  <c r="X494" i="5" s="1"/>
  <c r="L202" i="5"/>
  <c r="L90" i="5"/>
  <c r="L225" i="5"/>
  <c r="L240" i="5"/>
  <c r="L223" i="5"/>
  <c r="L200" i="5"/>
  <c r="L189" i="5"/>
  <c r="L76" i="5"/>
  <c r="L242" i="5"/>
  <c r="L25" i="5"/>
  <c r="L167" i="5"/>
  <c r="L171" i="5"/>
  <c r="L9" i="5"/>
  <c r="L148" i="5"/>
  <c r="L220" i="5"/>
  <c r="L16" i="5"/>
  <c r="L154" i="5"/>
  <c r="L10" i="5"/>
  <c r="L159" i="5"/>
  <c r="L196" i="5"/>
  <c r="L89" i="5"/>
  <c r="L192" i="5"/>
  <c r="L175" i="5"/>
  <c r="L165" i="5"/>
  <c r="L177" i="5"/>
  <c r="L169"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B5" i="3"/>
  <c r="S1" i="3"/>
  <c r="C1" i="3"/>
  <c r="A3" i="2"/>
  <c r="A2" i="2"/>
  <c r="O440" i="5" l="1"/>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75" i="5"/>
  <c r="T175" i="5"/>
  <c r="W175" i="5"/>
  <c r="V175" i="5"/>
  <c r="U159" i="5"/>
  <c r="V159" i="5"/>
  <c r="T159" i="5"/>
  <c r="W159" i="5"/>
  <c r="U220" i="5"/>
  <c r="V220" i="5"/>
  <c r="T220" i="5"/>
  <c r="W220" i="5"/>
  <c r="X167" i="5"/>
  <c r="U167" i="5"/>
  <c r="V167" i="5"/>
  <c r="W167" i="5"/>
  <c r="T167" i="5"/>
  <c r="T189" i="5"/>
  <c r="W189" i="5"/>
  <c r="U189" i="5"/>
  <c r="V189" i="5"/>
  <c r="U225" i="5"/>
  <c r="V225" i="5"/>
  <c r="T225" i="5"/>
  <c r="W225" i="5"/>
  <c r="V79" i="5"/>
  <c r="W79" i="5"/>
  <c r="T79" i="5"/>
  <c r="U79" i="5"/>
  <c r="X82" i="5"/>
  <c r="T82" i="5"/>
  <c r="U82" i="5"/>
  <c r="W82" i="5"/>
  <c r="V82" i="5"/>
  <c r="X218" i="5"/>
  <c r="T218" i="5"/>
  <c r="U218" i="5"/>
  <c r="V218" i="5"/>
  <c r="W218" i="5"/>
  <c r="V19" i="5"/>
  <c r="W19" i="5"/>
  <c r="T19" i="5"/>
  <c r="U19" i="5"/>
  <c r="W21" i="5"/>
  <c r="T21" i="5"/>
  <c r="V21" i="5"/>
  <c r="U21" i="5"/>
  <c r="V59" i="5"/>
  <c r="W59" i="5"/>
  <c r="T59" i="5"/>
  <c r="U59" i="5"/>
  <c r="X308" i="5"/>
  <c r="W308" i="5"/>
  <c r="T308" i="5"/>
  <c r="V308" i="5"/>
  <c r="U308" i="5"/>
  <c r="U208" i="5"/>
  <c r="V208" i="5"/>
  <c r="W208" i="5"/>
  <c r="T208" i="5"/>
  <c r="T37" i="5"/>
  <c r="W37" i="5"/>
  <c r="V37" i="5"/>
  <c r="U37" i="5"/>
  <c r="V96" i="5"/>
  <c r="W96" i="5"/>
  <c r="U96" i="5"/>
  <c r="T96" i="5"/>
  <c r="X227" i="5"/>
  <c r="U227" i="5"/>
  <c r="V227" i="5"/>
  <c r="T227" i="5"/>
  <c r="W227" i="5"/>
  <c r="W8" i="5"/>
  <c r="T8" i="5"/>
  <c r="U8" i="5"/>
  <c r="V8" i="5"/>
  <c r="T119" i="5"/>
  <c r="U119" i="5"/>
  <c r="W119" i="5"/>
  <c r="V119" i="5"/>
  <c r="X61" i="5"/>
  <c r="W61" i="5"/>
  <c r="V61" i="5"/>
  <c r="T61" i="5"/>
  <c r="U61" i="5"/>
  <c r="V2" i="5"/>
  <c r="W2" i="5"/>
  <c r="T2" i="5"/>
  <c r="U2" i="5"/>
  <c r="X245" i="5"/>
  <c r="U245" i="5"/>
  <c r="V245" i="5"/>
  <c r="W245" i="5"/>
  <c r="T245" i="5"/>
  <c r="X94" i="5"/>
  <c r="V94" i="5"/>
  <c r="W94" i="5"/>
  <c r="T94" i="5"/>
  <c r="U94" i="5"/>
  <c r="T104" i="5"/>
  <c r="U104" i="5"/>
  <c r="W104" i="5"/>
  <c r="V104" i="5"/>
  <c r="V114" i="5"/>
  <c r="W114" i="5"/>
  <c r="T114" i="5"/>
  <c r="U114" i="5"/>
  <c r="T121" i="5"/>
  <c r="U121" i="5"/>
  <c r="V121" i="5"/>
  <c r="W121" i="5"/>
  <c r="V128" i="5"/>
  <c r="W128" i="5"/>
  <c r="T128" i="5"/>
  <c r="U128" i="5"/>
  <c r="V133" i="5"/>
  <c r="W133" i="5"/>
  <c r="U133" i="5"/>
  <c r="T133" i="5"/>
  <c r="W138" i="5"/>
  <c r="T138" i="5"/>
  <c r="V138" i="5"/>
  <c r="U138" i="5"/>
  <c r="U142" i="5"/>
  <c r="V142" i="5"/>
  <c r="W142" i="5"/>
  <c r="T142" i="5"/>
  <c r="W146" i="5"/>
  <c r="T146" i="5"/>
  <c r="U146" i="5"/>
  <c r="V146" i="5"/>
  <c r="V182" i="5"/>
  <c r="W182" i="5"/>
  <c r="T182" i="5"/>
  <c r="U182" i="5"/>
  <c r="U186" i="5"/>
  <c r="W186" i="5"/>
  <c r="V186" i="5"/>
  <c r="T186" i="5"/>
  <c r="X194" i="5"/>
  <c r="T194" i="5"/>
  <c r="U194" i="5"/>
  <c r="V194" i="5"/>
  <c r="W194" i="5"/>
  <c r="W257" i="5"/>
  <c r="T257" i="5"/>
  <c r="U257" i="5"/>
  <c r="V257" i="5"/>
  <c r="V268" i="5"/>
  <c r="W268" i="5"/>
  <c r="T268" i="5"/>
  <c r="U268" i="5"/>
  <c r="W281" i="5"/>
  <c r="T281" i="5"/>
  <c r="U281" i="5"/>
  <c r="V281" i="5"/>
  <c r="T326" i="5"/>
  <c r="U326" i="5"/>
  <c r="V326" i="5"/>
  <c r="W326" i="5"/>
  <c r="W365" i="5"/>
  <c r="T365" i="5"/>
  <c r="V365" i="5"/>
  <c r="U365" i="5"/>
  <c r="T433" i="5"/>
  <c r="U433" i="5"/>
  <c r="V433" i="5"/>
  <c r="W433" i="5"/>
  <c r="X7" i="5"/>
  <c r="T7" i="5"/>
  <c r="U7" i="5"/>
  <c r="W7" i="5"/>
  <c r="V7" i="5"/>
  <c r="X56" i="5"/>
  <c r="T56" i="5"/>
  <c r="U56" i="5"/>
  <c r="V56" i="5"/>
  <c r="W56" i="5"/>
  <c r="U64" i="5"/>
  <c r="V64" i="5"/>
  <c r="T64" i="5"/>
  <c r="W64" i="5"/>
  <c r="X72" i="5"/>
  <c r="V72" i="5"/>
  <c r="W72" i="5"/>
  <c r="T72" i="5"/>
  <c r="U72" i="5"/>
  <c r="X122" i="5"/>
  <c r="W122" i="5"/>
  <c r="T122" i="5"/>
  <c r="V122" i="5"/>
  <c r="U122" i="5"/>
  <c r="X150" i="5"/>
  <c r="U150" i="5"/>
  <c r="V150" i="5"/>
  <c r="T150" i="5"/>
  <c r="W150" i="5"/>
  <c r="W163" i="5"/>
  <c r="T163" i="5"/>
  <c r="V163" i="5"/>
  <c r="U163" i="5"/>
  <c r="T248" i="5"/>
  <c r="U248" i="5"/>
  <c r="V248" i="5"/>
  <c r="W248" i="5"/>
  <c r="V255" i="5"/>
  <c r="W255" i="5"/>
  <c r="T255" i="5"/>
  <c r="U255" i="5"/>
  <c r="X307" i="5"/>
  <c r="U307" i="5"/>
  <c r="V307" i="5"/>
  <c r="W307" i="5"/>
  <c r="T307" i="5"/>
  <c r="W399" i="5"/>
  <c r="T399" i="5"/>
  <c r="V399" i="5"/>
  <c r="U399" i="5"/>
  <c r="U151" i="5"/>
  <c r="V151" i="5"/>
  <c r="W151" i="5"/>
  <c r="T151" i="5"/>
  <c r="V160" i="5"/>
  <c r="W160" i="5"/>
  <c r="T160" i="5"/>
  <c r="U160" i="5"/>
  <c r="V168" i="5"/>
  <c r="W168" i="5"/>
  <c r="U168" i="5"/>
  <c r="T168" i="5"/>
  <c r="V176" i="5"/>
  <c r="W176" i="5"/>
  <c r="T176" i="5"/>
  <c r="U176" i="5"/>
  <c r="T193" i="5"/>
  <c r="U193" i="5"/>
  <c r="V193" i="5"/>
  <c r="W193" i="5"/>
  <c r="T203" i="5"/>
  <c r="U203" i="5"/>
  <c r="V203" i="5"/>
  <c r="W203" i="5"/>
  <c r="W211" i="5"/>
  <c r="T211" i="5"/>
  <c r="U211" i="5"/>
  <c r="V211" i="5"/>
  <c r="X219" i="5"/>
  <c r="U219" i="5"/>
  <c r="V219" i="5"/>
  <c r="W219" i="5"/>
  <c r="T219" i="5"/>
  <c r="X229" i="5"/>
  <c r="W229" i="5"/>
  <c r="T229" i="5"/>
  <c r="U229" i="5"/>
  <c r="V229" i="5"/>
  <c r="X237" i="5"/>
  <c r="U237" i="5"/>
  <c r="V237" i="5"/>
  <c r="T237" i="5"/>
  <c r="W237" i="5"/>
  <c r="W422" i="5"/>
  <c r="T422" i="5"/>
  <c r="U422" i="5"/>
  <c r="V422" i="5"/>
  <c r="X366" i="5"/>
  <c r="T366" i="5"/>
  <c r="U366" i="5"/>
  <c r="W366" i="5"/>
  <c r="V366" i="5"/>
  <c r="U402" i="5"/>
  <c r="V402" i="5"/>
  <c r="T402" i="5"/>
  <c r="W402" i="5"/>
  <c r="X54" i="5"/>
  <c r="U54" i="5"/>
  <c r="W54" i="5"/>
  <c r="V54" i="5"/>
  <c r="T54" i="5"/>
  <c r="X370" i="5"/>
  <c r="V370" i="5"/>
  <c r="W370" i="5"/>
  <c r="U370" i="5"/>
  <c r="T370" i="5"/>
  <c r="V331" i="5"/>
  <c r="W331" i="5"/>
  <c r="T331" i="5"/>
  <c r="U331" i="5"/>
  <c r="X383" i="5"/>
  <c r="U383" i="5"/>
  <c r="V383" i="5"/>
  <c r="T383" i="5"/>
  <c r="W383" i="5"/>
  <c r="U204" i="5"/>
  <c r="V204" i="5"/>
  <c r="T204" i="5"/>
  <c r="W204" i="5"/>
  <c r="V36" i="5"/>
  <c r="W36" i="5"/>
  <c r="T36" i="5"/>
  <c r="U36" i="5"/>
  <c r="X424" i="5"/>
  <c r="T424" i="5"/>
  <c r="U424" i="5"/>
  <c r="V424" i="5"/>
  <c r="W424" i="5"/>
  <c r="W335" i="5"/>
  <c r="T335" i="5"/>
  <c r="U335" i="5"/>
  <c r="V335" i="5"/>
  <c r="U400" i="5"/>
  <c r="V400" i="5"/>
  <c r="W400" i="5"/>
  <c r="T400" i="5"/>
  <c r="T297" i="5"/>
  <c r="U297" i="5"/>
  <c r="W297" i="5"/>
  <c r="V297" i="5"/>
  <c r="X384" i="5"/>
  <c r="W384" i="5"/>
  <c r="T384" i="5"/>
  <c r="V384" i="5"/>
  <c r="U384" i="5"/>
  <c r="W302" i="5"/>
  <c r="T302" i="5"/>
  <c r="U302" i="5"/>
  <c r="V302" i="5"/>
  <c r="T275" i="5"/>
  <c r="V275" i="5"/>
  <c r="W275" i="5"/>
  <c r="U275" i="5"/>
  <c r="T386" i="5"/>
  <c r="U386" i="5"/>
  <c r="V386" i="5"/>
  <c r="W386" i="5"/>
  <c r="X417" i="5"/>
  <c r="V417" i="5"/>
  <c r="W417" i="5"/>
  <c r="U417" i="5"/>
  <c r="T417" i="5"/>
  <c r="X341" i="5"/>
  <c r="W341" i="5"/>
  <c r="T341" i="5"/>
  <c r="U341" i="5"/>
  <c r="V341" i="5"/>
  <c r="W432" i="5"/>
  <c r="T432" i="5"/>
  <c r="U432" i="5"/>
  <c r="V432" i="5"/>
  <c r="X344" i="5"/>
  <c r="U344" i="5"/>
  <c r="V344" i="5"/>
  <c r="T344" i="5"/>
  <c r="W344" i="5"/>
  <c r="U312" i="5"/>
  <c r="V312" i="5"/>
  <c r="W312" i="5"/>
  <c r="T312" i="5"/>
  <c r="V388" i="5"/>
  <c r="W388" i="5"/>
  <c r="U388" i="5"/>
  <c r="T388" i="5"/>
  <c r="U337" i="5"/>
  <c r="V337" i="5"/>
  <c r="T337" i="5"/>
  <c r="W337" i="5"/>
  <c r="X411" i="5"/>
  <c r="V411" i="5"/>
  <c r="W411" i="5"/>
  <c r="U411" i="5"/>
  <c r="T411" i="5"/>
  <c r="V428" i="5"/>
  <c r="W428" i="5"/>
  <c r="U428" i="5"/>
  <c r="T428" i="5"/>
  <c r="V371" i="5"/>
  <c r="W371" i="5"/>
  <c r="U371" i="5"/>
  <c r="T371" i="5"/>
  <c r="X298" i="5"/>
  <c r="U298" i="5"/>
  <c r="V298" i="5"/>
  <c r="W298" i="5"/>
  <c r="T298" i="5"/>
  <c r="U394" i="5"/>
  <c r="V394" i="5"/>
  <c r="W394" i="5"/>
  <c r="T394" i="5"/>
  <c r="U12" i="5"/>
  <c r="V12" i="5"/>
  <c r="T12" i="5"/>
  <c r="W12" i="5"/>
  <c r="X320" i="5"/>
  <c r="U320" i="5"/>
  <c r="V320" i="5"/>
  <c r="T320" i="5"/>
  <c r="W320" i="5"/>
  <c r="X87" i="5"/>
  <c r="V87" i="5"/>
  <c r="W87" i="5"/>
  <c r="U87" i="5"/>
  <c r="T87" i="5"/>
  <c r="X73" i="5"/>
  <c r="T73" i="5"/>
  <c r="U73" i="5"/>
  <c r="V73" i="5"/>
  <c r="W73" i="5"/>
  <c r="T350" i="5"/>
  <c r="U350" i="5"/>
  <c r="V350" i="5"/>
  <c r="W350" i="5"/>
  <c r="X292" i="5"/>
  <c r="W292" i="5"/>
  <c r="T292" i="5"/>
  <c r="V292" i="5"/>
  <c r="U292" i="5"/>
  <c r="U389" i="5"/>
  <c r="V389" i="5"/>
  <c r="T389" i="5"/>
  <c r="W389" i="5"/>
  <c r="V330" i="5"/>
  <c r="W330" i="5"/>
  <c r="U330" i="5"/>
  <c r="T330" i="5"/>
  <c r="T324" i="5"/>
  <c r="U324" i="5"/>
  <c r="V324" i="5"/>
  <c r="W324" i="5"/>
  <c r="V301" i="5"/>
  <c r="W301" i="5"/>
  <c r="U301" i="5"/>
  <c r="T301" i="5"/>
  <c r="W303" i="5"/>
  <c r="T303" i="5"/>
  <c r="U303" i="5"/>
  <c r="V303" i="5"/>
  <c r="X403" i="5"/>
  <c r="T403" i="5"/>
  <c r="U403" i="5"/>
  <c r="V403" i="5"/>
  <c r="W403" i="5"/>
  <c r="V52" i="5"/>
  <c r="T52" i="5"/>
  <c r="U52" i="5"/>
  <c r="W52" i="5"/>
  <c r="U291" i="5"/>
  <c r="V291" i="5"/>
  <c r="W291" i="5"/>
  <c r="T291" i="5"/>
  <c r="W81" i="5"/>
  <c r="T81" i="5"/>
  <c r="U81" i="5"/>
  <c r="V81" i="5"/>
  <c r="T305" i="5"/>
  <c r="U305" i="5"/>
  <c r="V305" i="5"/>
  <c r="W305" i="5"/>
  <c r="T274" i="5"/>
  <c r="U274" i="5"/>
  <c r="V274" i="5"/>
  <c r="W274" i="5"/>
  <c r="W13" i="5"/>
  <c r="T13" i="5"/>
  <c r="V13" i="5"/>
  <c r="U13" i="5"/>
  <c r="T250" i="5"/>
  <c r="U250" i="5"/>
  <c r="V250" i="5"/>
  <c r="W250" i="5"/>
  <c r="V262" i="5"/>
  <c r="W262" i="5"/>
  <c r="T262" i="5"/>
  <c r="U262" i="5"/>
  <c r="T259" i="5"/>
  <c r="U259" i="5"/>
  <c r="V259" i="5"/>
  <c r="W259" i="5"/>
  <c r="T169" i="5"/>
  <c r="U169" i="5"/>
  <c r="V169" i="5"/>
  <c r="W169" i="5"/>
  <c r="X192" i="5"/>
  <c r="U192" i="5"/>
  <c r="V192" i="5"/>
  <c r="T192" i="5"/>
  <c r="W192" i="5"/>
  <c r="X10" i="5"/>
  <c r="V10" i="5"/>
  <c r="W10" i="5"/>
  <c r="T10" i="5"/>
  <c r="U10" i="5"/>
  <c r="T148" i="5"/>
  <c r="U148" i="5"/>
  <c r="W148" i="5"/>
  <c r="V148" i="5"/>
  <c r="X25" i="5"/>
  <c r="U25" i="5"/>
  <c r="V25" i="5"/>
  <c r="W25" i="5"/>
  <c r="T25" i="5"/>
  <c r="X200" i="5"/>
  <c r="U200" i="5"/>
  <c r="V200" i="5"/>
  <c r="W200" i="5"/>
  <c r="T200" i="5"/>
  <c r="U90" i="5"/>
  <c r="V90" i="5"/>
  <c r="T90" i="5"/>
  <c r="W90" i="5"/>
  <c r="T109" i="5"/>
  <c r="U109" i="5"/>
  <c r="V109" i="5"/>
  <c r="W109" i="5"/>
  <c r="W216" i="5"/>
  <c r="T216" i="5"/>
  <c r="V216" i="5"/>
  <c r="U216" i="5"/>
  <c r="X212" i="5"/>
  <c r="T212" i="5"/>
  <c r="U212" i="5"/>
  <c r="V212" i="5"/>
  <c r="W212" i="5"/>
  <c r="X112" i="5"/>
  <c r="W112" i="5"/>
  <c r="T112" i="5"/>
  <c r="V112" i="5"/>
  <c r="U112" i="5"/>
  <c r="X11" i="5"/>
  <c r="V11" i="5"/>
  <c r="W11" i="5"/>
  <c r="U11" i="5"/>
  <c r="T11" i="5"/>
  <c r="X317" i="5"/>
  <c r="V317" i="5"/>
  <c r="W317" i="5"/>
  <c r="U317" i="5"/>
  <c r="T317" i="5"/>
  <c r="V244" i="5"/>
  <c r="W244" i="5"/>
  <c r="U244" i="5"/>
  <c r="T244" i="5"/>
  <c r="T53" i="5"/>
  <c r="U53" i="5"/>
  <c r="V53" i="5"/>
  <c r="W53" i="5"/>
  <c r="X93" i="5"/>
  <c r="U93" i="5"/>
  <c r="V93" i="5"/>
  <c r="T93" i="5"/>
  <c r="W93" i="5"/>
  <c r="V69" i="5"/>
  <c r="W69" i="5"/>
  <c r="U69" i="5"/>
  <c r="T69" i="5"/>
  <c r="X65" i="5"/>
  <c r="W65" i="5"/>
  <c r="T65" i="5"/>
  <c r="U65" i="5"/>
  <c r="V65" i="5"/>
  <c r="X51" i="5"/>
  <c r="W51" i="5"/>
  <c r="T51" i="5"/>
  <c r="U51" i="5"/>
  <c r="V51" i="5"/>
  <c r="W100" i="5"/>
  <c r="U100" i="5"/>
  <c r="V100" i="5"/>
  <c r="T100" i="5"/>
  <c r="U198" i="5"/>
  <c r="V198" i="5"/>
  <c r="T198" i="5"/>
  <c r="W198" i="5"/>
  <c r="W42" i="5"/>
  <c r="T42" i="5"/>
  <c r="U42" i="5"/>
  <c r="V42" i="5"/>
  <c r="U74" i="5"/>
  <c r="V74" i="5"/>
  <c r="T74" i="5"/>
  <c r="W74" i="5"/>
  <c r="V309" i="5"/>
  <c r="W309" i="5"/>
  <c r="T309" i="5"/>
  <c r="U309" i="5"/>
  <c r="V3" i="5"/>
  <c r="W3" i="5"/>
  <c r="U3" i="5"/>
  <c r="T3" i="5"/>
  <c r="T97" i="5"/>
  <c r="W97" i="5"/>
  <c r="V97" i="5"/>
  <c r="U97" i="5"/>
  <c r="X105" i="5"/>
  <c r="W105" i="5"/>
  <c r="T105" i="5"/>
  <c r="U105" i="5"/>
  <c r="V105" i="5"/>
  <c r="V115" i="5"/>
  <c r="W115" i="5"/>
  <c r="U115" i="5"/>
  <c r="T115" i="5"/>
  <c r="V125" i="5"/>
  <c r="W125" i="5"/>
  <c r="T125" i="5"/>
  <c r="U125" i="5"/>
  <c r="T129" i="5"/>
  <c r="U129" i="5"/>
  <c r="W129" i="5"/>
  <c r="V129" i="5"/>
  <c r="U134" i="5"/>
  <c r="V134" i="5"/>
  <c r="T134" i="5"/>
  <c r="W134" i="5"/>
  <c r="W139" i="5"/>
  <c r="T139" i="5"/>
  <c r="U139" i="5"/>
  <c r="V139" i="5"/>
  <c r="U143" i="5"/>
  <c r="V143" i="5"/>
  <c r="T143" i="5"/>
  <c r="W143" i="5"/>
  <c r="X147" i="5"/>
  <c r="W147" i="5"/>
  <c r="T147" i="5"/>
  <c r="V147" i="5"/>
  <c r="U147" i="5"/>
  <c r="U183" i="5"/>
  <c r="W183" i="5"/>
  <c r="V183" i="5"/>
  <c r="T183" i="5"/>
  <c r="U187" i="5"/>
  <c r="T187" i="5"/>
  <c r="W187" i="5"/>
  <c r="V187" i="5"/>
  <c r="W195" i="5"/>
  <c r="T195" i="5"/>
  <c r="U195" i="5"/>
  <c r="V195" i="5"/>
  <c r="V263" i="5"/>
  <c r="W263" i="5"/>
  <c r="U263" i="5"/>
  <c r="T263" i="5"/>
  <c r="V271" i="5"/>
  <c r="U271" i="5"/>
  <c r="W271" i="5"/>
  <c r="T271" i="5"/>
  <c r="X283" i="5"/>
  <c r="T283" i="5"/>
  <c r="U283" i="5"/>
  <c r="V283" i="5"/>
  <c r="W283" i="5"/>
  <c r="X332" i="5"/>
  <c r="T332" i="5"/>
  <c r="U332" i="5"/>
  <c r="V332" i="5"/>
  <c r="W332" i="5"/>
  <c r="W398" i="5"/>
  <c r="T398" i="5"/>
  <c r="V398" i="5"/>
  <c r="U398" i="5"/>
  <c r="X35" i="5"/>
  <c r="W35" i="5"/>
  <c r="V35" i="5"/>
  <c r="T35" i="5"/>
  <c r="U35" i="5"/>
  <c r="X58" i="5"/>
  <c r="W58" i="5"/>
  <c r="V58" i="5"/>
  <c r="U58" i="5"/>
  <c r="T58" i="5"/>
  <c r="T66" i="5"/>
  <c r="U66" i="5"/>
  <c r="W66" i="5"/>
  <c r="V66" i="5"/>
  <c r="U77" i="5"/>
  <c r="V77" i="5"/>
  <c r="W77" i="5"/>
  <c r="T77" i="5"/>
  <c r="W123" i="5"/>
  <c r="T123" i="5"/>
  <c r="U123" i="5"/>
  <c r="V123" i="5"/>
  <c r="X152" i="5"/>
  <c r="V152" i="5"/>
  <c r="W152" i="5"/>
  <c r="U152" i="5"/>
  <c r="T152" i="5"/>
  <c r="V173" i="5"/>
  <c r="W173" i="5"/>
  <c r="T173" i="5"/>
  <c r="U173" i="5"/>
  <c r="W249" i="5"/>
  <c r="T249" i="5"/>
  <c r="U249" i="5"/>
  <c r="V249" i="5"/>
  <c r="U261" i="5"/>
  <c r="V261" i="5"/>
  <c r="W261" i="5"/>
  <c r="T261" i="5"/>
  <c r="T340" i="5"/>
  <c r="U340" i="5"/>
  <c r="V340" i="5"/>
  <c r="W340" i="5"/>
  <c r="W435" i="5"/>
  <c r="T435" i="5"/>
  <c r="U435" i="5"/>
  <c r="V435" i="5"/>
  <c r="U20" i="5"/>
  <c r="V20" i="5"/>
  <c r="T20" i="5"/>
  <c r="W20" i="5"/>
  <c r="T153" i="5"/>
  <c r="U153" i="5"/>
  <c r="V153" i="5"/>
  <c r="W153" i="5"/>
  <c r="W162" i="5"/>
  <c r="T162" i="5"/>
  <c r="U162" i="5"/>
  <c r="V162" i="5"/>
  <c r="W170" i="5"/>
  <c r="T170" i="5"/>
  <c r="V170" i="5"/>
  <c r="U170" i="5"/>
  <c r="W178" i="5"/>
  <c r="V178" i="5"/>
  <c r="T178" i="5"/>
  <c r="U178" i="5"/>
  <c r="W197" i="5"/>
  <c r="T197" i="5"/>
  <c r="U197" i="5"/>
  <c r="V197" i="5"/>
  <c r="W205" i="5"/>
  <c r="T205" i="5"/>
  <c r="U205" i="5"/>
  <c r="V205" i="5"/>
  <c r="W213" i="5"/>
  <c r="T213" i="5"/>
  <c r="V213" i="5"/>
  <c r="U213" i="5"/>
  <c r="X221" i="5"/>
  <c r="W221" i="5"/>
  <c r="T221" i="5"/>
  <c r="V221" i="5"/>
  <c r="U221" i="5"/>
  <c r="X231" i="5"/>
  <c r="W231" i="5"/>
  <c r="T231" i="5"/>
  <c r="V231" i="5"/>
  <c r="U231" i="5"/>
  <c r="X239" i="5"/>
  <c r="V239" i="5"/>
  <c r="W239" i="5"/>
  <c r="T239" i="5"/>
  <c r="U239" i="5"/>
  <c r="U436" i="5"/>
  <c r="V436" i="5"/>
  <c r="T436" i="5"/>
  <c r="W436" i="5"/>
  <c r="V278" i="5"/>
  <c r="T278" i="5"/>
  <c r="U278" i="5"/>
  <c r="W278" i="5"/>
  <c r="W430" i="5"/>
  <c r="T430" i="5"/>
  <c r="V430" i="5"/>
  <c r="U430" i="5"/>
  <c r="T40" i="5"/>
  <c r="W40" i="5"/>
  <c r="U40" i="5"/>
  <c r="V40" i="5"/>
  <c r="V404" i="5"/>
  <c r="W404" i="5"/>
  <c r="U404" i="5"/>
  <c r="T404" i="5"/>
  <c r="W381" i="5"/>
  <c r="T381" i="5"/>
  <c r="V381" i="5"/>
  <c r="U381" i="5"/>
  <c r="X17" i="5"/>
  <c r="U17" i="5"/>
  <c r="V17" i="5"/>
  <c r="T17" i="5"/>
  <c r="W17" i="5"/>
  <c r="X406" i="5"/>
  <c r="W406" i="5"/>
  <c r="T406" i="5"/>
  <c r="U406" i="5"/>
  <c r="V406" i="5"/>
  <c r="U369" i="5"/>
  <c r="V369" i="5"/>
  <c r="T369" i="5"/>
  <c r="W369" i="5"/>
  <c r="U328" i="5"/>
  <c r="V328" i="5"/>
  <c r="T328" i="5"/>
  <c r="W328" i="5"/>
  <c r="V409" i="5"/>
  <c r="W409" i="5"/>
  <c r="T409" i="5"/>
  <c r="U409" i="5"/>
  <c r="V414" i="5"/>
  <c r="W414" i="5"/>
  <c r="U414" i="5"/>
  <c r="T414" i="5"/>
  <c r="W357" i="5"/>
  <c r="T357" i="5"/>
  <c r="U357" i="5"/>
  <c r="V357" i="5"/>
  <c r="U345" i="5"/>
  <c r="V345" i="5"/>
  <c r="T345" i="5"/>
  <c r="W345" i="5"/>
  <c r="V44" i="5"/>
  <c r="U44" i="5"/>
  <c r="W44" i="5"/>
  <c r="T44" i="5"/>
  <c r="W286" i="5"/>
  <c r="T286" i="5"/>
  <c r="V286" i="5"/>
  <c r="U286" i="5"/>
  <c r="U352" i="5"/>
  <c r="V352" i="5"/>
  <c r="T352" i="5"/>
  <c r="W352" i="5"/>
  <c r="W419" i="5"/>
  <c r="T419" i="5"/>
  <c r="U419" i="5"/>
  <c r="V419" i="5"/>
  <c r="W359" i="5"/>
  <c r="T359" i="5"/>
  <c r="U359" i="5"/>
  <c r="V359" i="5"/>
  <c r="U361" i="5"/>
  <c r="V361" i="5"/>
  <c r="T361" i="5"/>
  <c r="W361" i="5"/>
  <c r="V363" i="5"/>
  <c r="W363" i="5"/>
  <c r="T363" i="5"/>
  <c r="U363" i="5"/>
  <c r="V339" i="5"/>
  <c r="W339" i="5"/>
  <c r="U339" i="5"/>
  <c r="T339" i="5"/>
  <c r="U306" i="5"/>
  <c r="V306" i="5"/>
  <c r="W306" i="5"/>
  <c r="T306" i="5"/>
  <c r="X385" i="5"/>
  <c r="V385" i="5"/>
  <c r="W385" i="5"/>
  <c r="U385" i="5"/>
  <c r="T385" i="5"/>
  <c r="X358" i="5"/>
  <c r="T358" i="5"/>
  <c r="U358" i="5"/>
  <c r="V358" i="5"/>
  <c r="W358" i="5"/>
  <c r="X300" i="5"/>
  <c r="W300" i="5"/>
  <c r="T300" i="5"/>
  <c r="U300" i="5"/>
  <c r="V300" i="5"/>
  <c r="T313" i="5"/>
  <c r="U313" i="5"/>
  <c r="W313" i="5"/>
  <c r="V313" i="5"/>
  <c r="T348" i="5"/>
  <c r="U348" i="5"/>
  <c r="V348" i="5"/>
  <c r="W348" i="5"/>
  <c r="W86" i="5"/>
  <c r="T86" i="5"/>
  <c r="U86" i="5"/>
  <c r="V86" i="5"/>
  <c r="V322" i="5"/>
  <c r="W322" i="5"/>
  <c r="U322" i="5"/>
  <c r="T322" i="5"/>
  <c r="T395" i="5"/>
  <c r="U395" i="5"/>
  <c r="W395" i="5"/>
  <c r="V395" i="5"/>
  <c r="T15" i="5"/>
  <c r="U15" i="5"/>
  <c r="W15" i="5"/>
  <c r="V15" i="5"/>
  <c r="W287" i="5"/>
  <c r="T287" i="5"/>
  <c r="U287" i="5"/>
  <c r="V287" i="5"/>
  <c r="U80" i="5"/>
  <c r="V80" i="5"/>
  <c r="W80" i="5"/>
  <c r="T80" i="5"/>
  <c r="W284" i="5"/>
  <c r="T284" i="5"/>
  <c r="U284" i="5"/>
  <c r="V284" i="5"/>
  <c r="U315" i="5"/>
  <c r="V315" i="5"/>
  <c r="T315" i="5"/>
  <c r="W315" i="5"/>
  <c r="W310" i="5"/>
  <c r="T310" i="5"/>
  <c r="V310" i="5"/>
  <c r="U310" i="5"/>
  <c r="W295" i="5"/>
  <c r="T295" i="5"/>
  <c r="V295" i="5"/>
  <c r="U295" i="5"/>
  <c r="V18" i="5"/>
  <c r="W18" i="5"/>
  <c r="U18" i="5"/>
  <c r="T18" i="5"/>
  <c r="U277" i="5"/>
  <c r="T277" i="5"/>
  <c r="V277" i="5"/>
  <c r="W277" i="5"/>
  <c r="T258" i="5"/>
  <c r="U258" i="5"/>
  <c r="V258" i="5"/>
  <c r="W258" i="5"/>
  <c r="U253" i="5"/>
  <c r="V253" i="5"/>
  <c r="T253" i="5"/>
  <c r="W253" i="5"/>
  <c r="T256" i="5"/>
  <c r="U256" i="5"/>
  <c r="V256" i="5"/>
  <c r="W256" i="5"/>
  <c r="T177" i="5"/>
  <c r="W177" i="5"/>
  <c r="U177" i="5"/>
  <c r="V177" i="5"/>
  <c r="T89" i="5"/>
  <c r="U89" i="5"/>
  <c r="V89" i="5"/>
  <c r="W89" i="5"/>
  <c r="W154" i="5"/>
  <c r="T154" i="5"/>
  <c r="V154" i="5"/>
  <c r="U154" i="5"/>
  <c r="X9" i="5"/>
  <c r="U9" i="5"/>
  <c r="V9" i="5"/>
  <c r="T9" i="5"/>
  <c r="W9" i="5"/>
  <c r="T242" i="5"/>
  <c r="U242" i="5"/>
  <c r="V242" i="5"/>
  <c r="W242" i="5"/>
  <c r="W223" i="5"/>
  <c r="T223" i="5"/>
  <c r="U223" i="5"/>
  <c r="V223" i="5"/>
  <c r="T202" i="5"/>
  <c r="U202" i="5"/>
  <c r="W202" i="5"/>
  <c r="V202" i="5"/>
  <c r="T14" i="5"/>
  <c r="U14" i="5"/>
  <c r="V14" i="5"/>
  <c r="W14" i="5"/>
  <c r="V214" i="5"/>
  <c r="W214" i="5"/>
  <c r="T214" i="5"/>
  <c r="U214" i="5"/>
  <c r="X32" i="5"/>
  <c r="W32" i="5"/>
  <c r="T32" i="5"/>
  <c r="U32" i="5"/>
  <c r="V32" i="5"/>
  <c r="U228" i="5"/>
  <c r="V228" i="5"/>
  <c r="W228" i="5"/>
  <c r="T228" i="5"/>
  <c r="T48" i="5"/>
  <c r="V48" i="5"/>
  <c r="W48" i="5"/>
  <c r="U48" i="5"/>
  <c r="V33" i="5"/>
  <c r="W33" i="5"/>
  <c r="T33" i="5"/>
  <c r="U33" i="5"/>
  <c r="T30" i="5"/>
  <c r="U30" i="5"/>
  <c r="W30" i="5"/>
  <c r="V30" i="5"/>
  <c r="V355" i="5"/>
  <c r="W355" i="5"/>
  <c r="U355" i="5"/>
  <c r="T355" i="5"/>
  <c r="V57" i="5"/>
  <c r="T57" i="5"/>
  <c r="U57" i="5"/>
  <c r="W57" i="5"/>
  <c r="V236" i="5"/>
  <c r="W236" i="5"/>
  <c r="U236" i="5"/>
  <c r="X47" i="5"/>
  <c r="U47" i="5"/>
  <c r="T47" i="5"/>
  <c r="V47" i="5"/>
  <c r="W47" i="5"/>
  <c r="U103" i="5"/>
  <c r="V103" i="5"/>
  <c r="T103" i="5"/>
  <c r="W103" i="5"/>
  <c r="U46" i="5"/>
  <c r="T46" i="5"/>
  <c r="V46" i="5"/>
  <c r="W46" i="5"/>
  <c r="V120" i="5"/>
  <c r="W120" i="5"/>
  <c r="U120" i="5"/>
  <c r="T120" i="5"/>
  <c r="U4" i="5"/>
  <c r="V4" i="5"/>
  <c r="W4" i="5"/>
  <c r="T4" i="5"/>
  <c r="W101" i="5"/>
  <c r="V101" i="5"/>
  <c r="U101" i="5"/>
  <c r="T101" i="5"/>
  <c r="T106" i="5"/>
  <c r="U106" i="5"/>
  <c r="V106" i="5"/>
  <c r="W106" i="5"/>
  <c r="T116" i="5"/>
  <c r="U116" i="5"/>
  <c r="V116" i="5"/>
  <c r="W116" i="5"/>
  <c r="X126" i="5"/>
  <c r="U126" i="5"/>
  <c r="V126" i="5"/>
  <c r="W126" i="5"/>
  <c r="T126" i="5"/>
  <c r="X130" i="5"/>
  <c r="W130" i="5"/>
  <c r="T130" i="5"/>
  <c r="U130" i="5"/>
  <c r="V130" i="5"/>
  <c r="U135" i="5"/>
  <c r="V135" i="5"/>
  <c r="W135" i="5"/>
  <c r="T135" i="5"/>
  <c r="T140" i="5"/>
  <c r="U140" i="5"/>
  <c r="V140" i="5"/>
  <c r="W140" i="5"/>
  <c r="V144" i="5"/>
  <c r="W144" i="5"/>
  <c r="T144" i="5"/>
  <c r="U144" i="5"/>
  <c r="U158" i="5"/>
  <c r="V158" i="5"/>
  <c r="W158" i="5"/>
  <c r="T158" i="5"/>
  <c r="V184" i="5"/>
  <c r="U184" i="5"/>
  <c r="W184" i="5"/>
  <c r="T184" i="5"/>
  <c r="V188" i="5"/>
  <c r="W188" i="5"/>
  <c r="T188" i="5"/>
  <c r="U188" i="5"/>
  <c r="V246" i="5"/>
  <c r="W246" i="5"/>
  <c r="T246" i="5"/>
  <c r="U246" i="5"/>
  <c r="X264" i="5"/>
  <c r="T264" i="5"/>
  <c r="U264" i="5"/>
  <c r="V264" i="5"/>
  <c r="W264" i="5"/>
  <c r="T272" i="5"/>
  <c r="V272" i="5"/>
  <c r="W272" i="5"/>
  <c r="U272" i="5"/>
  <c r="X288" i="5"/>
  <c r="U288" i="5"/>
  <c r="V288" i="5"/>
  <c r="T288" i="5"/>
  <c r="W288" i="5"/>
  <c r="U353" i="5"/>
  <c r="V353" i="5"/>
  <c r="T353" i="5"/>
  <c r="W353" i="5"/>
  <c r="W421" i="5"/>
  <c r="T421" i="5"/>
  <c r="V421" i="5"/>
  <c r="U421" i="5"/>
  <c r="U38" i="5"/>
  <c r="T38" i="5"/>
  <c r="V38" i="5"/>
  <c r="W38" i="5"/>
  <c r="U60" i="5"/>
  <c r="W60" i="5"/>
  <c r="T60" i="5"/>
  <c r="V60" i="5"/>
  <c r="T67" i="5"/>
  <c r="U67" i="5"/>
  <c r="V67" i="5"/>
  <c r="W67" i="5"/>
  <c r="X92" i="5"/>
  <c r="W92" i="5"/>
  <c r="T92" i="5"/>
  <c r="U92" i="5"/>
  <c r="V92" i="5"/>
  <c r="T124" i="5"/>
  <c r="U124" i="5"/>
  <c r="V124" i="5"/>
  <c r="W124" i="5"/>
  <c r="T156" i="5"/>
  <c r="U156" i="5"/>
  <c r="V156" i="5"/>
  <c r="W156" i="5"/>
  <c r="T180" i="5"/>
  <c r="W180" i="5"/>
  <c r="U180" i="5"/>
  <c r="V180" i="5"/>
  <c r="T251" i="5"/>
  <c r="U251" i="5"/>
  <c r="V251" i="5"/>
  <c r="W251" i="5"/>
  <c r="V270" i="5"/>
  <c r="T270" i="5"/>
  <c r="U270" i="5"/>
  <c r="W270" i="5"/>
  <c r="W367" i="5"/>
  <c r="T367" i="5"/>
  <c r="U367" i="5"/>
  <c r="V367" i="5"/>
  <c r="W24" i="5"/>
  <c r="T24" i="5"/>
  <c r="V24" i="5"/>
  <c r="U24" i="5"/>
  <c r="W155" i="5"/>
  <c r="T155" i="5"/>
  <c r="U155" i="5"/>
  <c r="V155" i="5"/>
  <c r="T164" i="5"/>
  <c r="U164" i="5"/>
  <c r="W164" i="5"/>
  <c r="V164" i="5"/>
  <c r="X172" i="5"/>
  <c r="T172" i="5"/>
  <c r="U172" i="5"/>
  <c r="V172" i="5"/>
  <c r="W172" i="5"/>
  <c r="X181" i="5"/>
  <c r="V181" i="5"/>
  <c r="U181" i="5"/>
  <c r="W181" i="5"/>
  <c r="T181" i="5"/>
  <c r="T199" i="5"/>
  <c r="U199" i="5"/>
  <c r="V199" i="5"/>
  <c r="W199" i="5"/>
  <c r="T207" i="5"/>
  <c r="U207" i="5"/>
  <c r="V207" i="5"/>
  <c r="W207" i="5"/>
  <c r="W215" i="5"/>
  <c r="T215" i="5"/>
  <c r="U215" i="5"/>
  <c r="V215" i="5"/>
  <c r="X224" i="5"/>
  <c r="W224" i="5"/>
  <c r="T224" i="5"/>
  <c r="U224" i="5"/>
  <c r="V224" i="5"/>
  <c r="X233" i="5"/>
  <c r="U233" i="5"/>
  <c r="V233" i="5"/>
  <c r="T233" i="5"/>
  <c r="W233" i="5"/>
  <c r="X241" i="5"/>
  <c r="W241" i="5"/>
  <c r="T241" i="5"/>
  <c r="V241" i="5"/>
  <c r="U241" i="5"/>
  <c r="T434" i="5"/>
  <c r="U434" i="5"/>
  <c r="W434" i="5"/>
  <c r="V434" i="5"/>
  <c r="T68" i="5"/>
  <c r="U68" i="5"/>
  <c r="W68" i="5"/>
  <c r="V68" i="5"/>
  <c r="U55" i="5"/>
  <c r="T55" i="5"/>
  <c r="V55" i="5"/>
  <c r="W55" i="5"/>
  <c r="X438" i="5"/>
  <c r="V438" i="5"/>
  <c r="W438" i="5"/>
  <c r="T438" i="5"/>
  <c r="U438" i="5"/>
  <c r="X373" i="5"/>
  <c r="W373" i="5"/>
  <c r="T373" i="5"/>
  <c r="U373" i="5"/>
  <c r="V373" i="5"/>
  <c r="X108" i="5"/>
  <c r="V108" i="5"/>
  <c r="W108" i="5"/>
  <c r="T108" i="5"/>
  <c r="U108" i="5"/>
  <c r="V412" i="5"/>
  <c r="W412" i="5"/>
  <c r="U412" i="5"/>
  <c r="T412" i="5"/>
  <c r="T83" i="5"/>
  <c r="U83" i="5"/>
  <c r="V83" i="5"/>
  <c r="W83" i="5"/>
  <c r="U425" i="5"/>
  <c r="V425" i="5"/>
  <c r="W425" i="5"/>
  <c r="T425" i="5"/>
  <c r="X413" i="5"/>
  <c r="U413" i="5"/>
  <c r="V413" i="5"/>
  <c r="T413" i="5"/>
  <c r="W413" i="5"/>
  <c r="X407" i="5"/>
  <c r="U407" i="5"/>
  <c r="V407" i="5"/>
  <c r="T407" i="5"/>
  <c r="W407" i="5"/>
  <c r="W416" i="5"/>
  <c r="T416" i="5"/>
  <c r="U416" i="5"/>
  <c r="V416" i="5"/>
  <c r="T374" i="5"/>
  <c r="U374" i="5"/>
  <c r="V374" i="5"/>
  <c r="W374" i="5"/>
  <c r="X343" i="5"/>
  <c r="W343" i="5"/>
  <c r="T343" i="5"/>
  <c r="U343" i="5"/>
  <c r="V343" i="5"/>
  <c r="U426" i="5"/>
  <c r="V426" i="5"/>
  <c r="W426" i="5"/>
  <c r="T426" i="5"/>
  <c r="U431" i="5"/>
  <c r="V431" i="5"/>
  <c r="W431" i="5"/>
  <c r="T431" i="5"/>
  <c r="T118" i="5"/>
  <c r="U118" i="5"/>
  <c r="V118" i="5"/>
  <c r="W118" i="5"/>
  <c r="V362" i="5"/>
  <c r="W362" i="5"/>
  <c r="U362" i="5"/>
  <c r="T362" i="5"/>
  <c r="X408" i="5"/>
  <c r="T408" i="5"/>
  <c r="U408" i="5"/>
  <c r="V408" i="5"/>
  <c r="W408" i="5"/>
  <c r="W294" i="5"/>
  <c r="T294" i="5"/>
  <c r="U294" i="5"/>
  <c r="V294" i="5"/>
  <c r="V285" i="5"/>
  <c r="W285" i="5"/>
  <c r="U285" i="5"/>
  <c r="T285" i="5"/>
  <c r="X346" i="5"/>
  <c r="V346" i="5"/>
  <c r="W346" i="5"/>
  <c r="U346" i="5"/>
  <c r="T346" i="5"/>
  <c r="V323" i="5"/>
  <c r="W323" i="5"/>
  <c r="U323" i="5"/>
  <c r="T323" i="5"/>
  <c r="T380" i="5"/>
  <c r="U380" i="5"/>
  <c r="V380" i="5"/>
  <c r="W380" i="5"/>
  <c r="X427" i="5"/>
  <c r="W427" i="5"/>
  <c r="T427" i="5"/>
  <c r="V427" i="5"/>
  <c r="U427" i="5"/>
  <c r="V27" i="5"/>
  <c r="W27" i="5"/>
  <c r="T27" i="5"/>
  <c r="U27" i="5"/>
  <c r="X98" i="5"/>
  <c r="U98" i="5"/>
  <c r="T98" i="5"/>
  <c r="V98" i="5"/>
  <c r="W98" i="5"/>
  <c r="U415" i="5"/>
  <c r="V415" i="5"/>
  <c r="W415" i="5"/>
  <c r="T415" i="5"/>
  <c r="T22" i="5"/>
  <c r="U22" i="5"/>
  <c r="W22" i="5"/>
  <c r="V22" i="5"/>
  <c r="W333" i="5"/>
  <c r="T333" i="5"/>
  <c r="V333" i="5"/>
  <c r="U333" i="5"/>
  <c r="X321" i="5"/>
  <c r="U321" i="5"/>
  <c r="V321" i="5"/>
  <c r="W321" i="5"/>
  <c r="T321" i="5"/>
  <c r="X354" i="5"/>
  <c r="V354" i="5"/>
  <c r="W354" i="5"/>
  <c r="T354" i="5"/>
  <c r="U354" i="5"/>
  <c r="U360" i="5"/>
  <c r="V360" i="5"/>
  <c r="T360" i="5"/>
  <c r="W360" i="5"/>
  <c r="V347" i="5"/>
  <c r="W347" i="5"/>
  <c r="U347" i="5"/>
  <c r="T347" i="5"/>
  <c r="T45" i="5"/>
  <c r="V45" i="5"/>
  <c r="W45" i="5"/>
  <c r="U45" i="5"/>
  <c r="V279" i="5"/>
  <c r="T279" i="5"/>
  <c r="U279" i="5"/>
  <c r="W279" i="5"/>
  <c r="U290" i="5"/>
  <c r="V290" i="5"/>
  <c r="W290" i="5"/>
  <c r="T290" i="5"/>
  <c r="W311" i="5"/>
  <c r="T311" i="5"/>
  <c r="V311" i="5"/>
  <c r="U311" i="5"/>
  <c r="W391" i="5"/>
  <c r="T391" i="5"/>
  <c r="U391" i="5"/>
  <c r="V391" i="5"/>
  <c r="U392" i="5"/>
  <c r="V392" i="5"/>
  <c r="T392" i="5"/>
  <c r="W392" i="5"/>
  <c r="U304" i="5"/>
  <c r="V304" i="5"/>
  <c r="T304" i="5"/>
  <c r="W304" i="5"/>
  <c r="X26" i="5"/>
  <c r="V26" i="5"/>
  <c r="W26" i="5"/>
  <c r="U26" i="5"/>
  <c r="T26" i="5"/>
  <c r="T267" i="5"/>
  <c r="U267" i="5"/>
  <c r="V267" i="5"/>
  <c r="W267" i="5"/>
  <c r="V260" i="5"/>
  <c r="W260" i="5"/>
  <c r="U260" i="5"/>
  <c r="T260" i="5"/>
  <c r="T75" i="5"/>
  <c r="U75" i="5"/>
  <c r="V75" i="5"/>
  <c r="W75" i="5"/>
  <c r="X266" i="5"/>
  <c r="T266" i="5"/>
  <c r="U266" i="5"/>
  <c r="V266" i="5"/>
  <c r="W266" i="5"/>
  <c r="V165" i="5"/>
  <c r="W165" i="5"/>
  <c r="U165" i="5"/>
  <c r="T165" i="5"/>
  <c r="T196" i="5"/>
  <c r="U196" i="5"/>
  <c r="V196" i="5"/>
  <c r="W196" i="5"/>
  <c r="W16" i="5"/>
  <c r="T16" i="5"/>
  <c r="U16" i="5"/>
  <c r="V16" i="5"/>
  <c r="W171" i="5"/>
  <c r="T171" i="5"/>
  <c r="U171" i="5"/>
  <c r="V171" i="5"/>
  <c r="W76" i="5"/>
  <c r="T76" i="5"/>
  <c r="V76" i="5"/>
  <c r="U76" i="5"/>
  <c r="X240" i="5"/>
  <c r="T240" i="5"/>
  <c r="U240" i="5"/>
  <c r="V240" i="5"/>
  <c r="W240" i="5"/>
  <c r="V206" i="5"/>
  <c r="W206" i="5"/>
  <c r="U206" i="5"/>
  <c r="T206" i="5"/>
  <c r="X238" i="5"/>
  <c r="V238" i="5"/>
  <c r="W238" i="5"/>
  <c r="U238" i="5"/>
  <c r="T238" i="5"/>
  <c r="X234" i="5"/>
  <c r="T234" i="5"/>
  <c r="U234" i="5"/>
  <c r="W234" i="5"/>
  <c r="V234" i="5"/>
  <c r="U110" i="5"/>
  <c r="V110" i="5"/>
  <c r="T110" i="5"/>
  <c r="W110" i="5"/>
  <c r="W232" i="5"/>
  <c r="T232" i="5"/>
  <c r="U232" i="5"/>
  <c r="V232" i="5"/>
  <c r="V49" i="5"/>
  <c r="T49" i="5"/>
  <c r="U49" i="5"/>
  <c r="W49" i="5"/>
  <c r="U39" i="5"/>
  <c r="V39" i="5"/>
  <c r="W39" i="5"/>
  <c r="T39" i="5"/>
  <c r="T91" i="5"/>
  <c r="U91" i="5"/>
  <c r="V91" i="5"/>
  <c r="W91" i="5"/>
  <c r="W50" i="5"/>
  <c r="T50" i="5"/>
  <c r="U50" i="5"/>
  <c r="V50" i="5"/>
  <c r="V222" i="5"/>
  <c r="W222" i="5"/>
  <c r="T222" i="5"/>
  <c r="U222" i="5"/>
  <c r="T401" i="5"/>
  <c r="U401" i="5"/>
  <c r="W401" i="5"/>
  <c r="V401" i="5"/>
  <c r="T210" i="5"/>
  <c r="U210" i="5"/>
  <c r="W210" i="5"/>
  <c r="V210" i="5"/>
  <c r="V85" i="5"/>
  <c r="W85" i="5"/>
  <c r="T85" i="5"/>
  <c r="U85" i="5"/>
  <c r="V41" i="5"/>
  <c r="U41" i="5"/>
  <c r="W41" i="5"/>
  <c r="T41" i="5"/>
  <c r="U113" i="5"/>
  <c r="V113" i="5"/>
  <c r="W113" i="5"/>
  <c r="T113" i="5"/>
  <c r="V71" i="5"/>
  <c r="W71" i="5"/>
  <c r="T71" i="5"/>
  <c r="U71" i="5"/>
  <c r="V78" i="5"/>
  <c r="W78" i="5"/>
  <c r="U78" i="5"/>
  <c r="T78" i="5"/>
  <c r="T137" i="5"/>
  <c r="U137" i="5"/>
  <c r="V137" i="5"/>
  <c r="W137" i="5"/>
  <c r="V88" i="5"/>
  <c r="W88" i="5"/>
  <c r="T88" i="5"/>
  <c r="U88" i="5"/>
  <c r="T102" i="5"/>
  <c r="V102" i="5"/>
  <c r="W102" i="5"/>
  <c r="U102" i="5"/>
  <c r="V107" i="5"/>
  <c r="W107" i="5"/>
  <c r="T107" i="5"/>
  <c r="U107" i="5"/>
  <c r="U117" i="5"/>
  <c r="V117" i="5"/>
  <c r="W117" i="5"/>
  <c r="T117" i="5"/>
  <c r="X127" i="5"/>
  <c r="U127" i="5"/>
  <c r="V127" i="5"/>
  <c r="T127" i="5"/>
  <c r="W127" i="5"/>
  <c r="X131" i="5"/>
  <c r="W131" i="5"/>
  <c r="T131" i="5"/>
  <c r="V131" i="5"/>
  <c r="U131" i="5"/>
  <c r="V136" i="5"/>
  <c r="W136" i="5"/>
  <c r="U136" i="5"/>
  <c r="T136" i="5"/>
  <c r="V141" i="5"/>
  <c r="W141" i="5"/>
  <c r="T141" i="5"/>
  <c r="U141" i="5"/>
  <c r="T145" i="5"/>
  <c r="U145" i="5"/>
  <c r="W145" i="5"/>
  <c r="V145" i="5"/>
  <c r="W179" i="5"/>
  <c r="T179" i="5"/>
  <c r="U179" i="5"/>
  <c r="V179" i="5"/>
  <c r="V185" i="5"/>
  <c r="W185" i="5"/>
  <c r="T185" i="5"/>
  <c r="U185" i="5"/>
  <c r="T191" i="5"/>
  <c r="U191" i="5"/>
  <c r="W191" i="5"/>
  <c r="V191" i="5"/>
  <c r="V252" i="5"/>
  <c r="W252" i="5"/>
  <c r="T252" i="5"/>
  <c r="U252" i="5"/>
  <c r="X265" i="5"/>
  <c r="W265" i="5"/>
  <c r="T265" i="5"/>
  <c r="U265" i="5"/>
  <c r="V265" i="5"/>
  <c r="W273" i="5"/>
  <c r="U273" i="5"/>
  <c r="V273" i="5"/>
  <c r="T273" i="5"/>
  <c r="X289" i="5"/>
  <c r="T289" i="5"/>
  <c r="U289" i="5"/>
  <c r="V289" i="5"/>
  <c r="W289" i="5"/>
  <c r="T356" i="5"/>
  <c r="U356" i="5"/>
  <c r="V356" i="5"/>
  <c r="W356" i="5"/>
  <c r="U423" i="5"/>
  <c r="V423" i="5"/>
  <c r="T423" i="5"/>
  <c r="W423" i="5"/>
  <c r="T6" i="5"/>
  <c r="U6" i="5"/>
  <c r="V6" i="5"/>
  <c r="W6" i="5"/>
  <c r="W43" i="5"/>
  <c r="U43" i="5"/>
  <c r="V43" i="5"/>
  <c r="T43" i="5"/>
  <c r="T62" i="5"/>
  <c r="V62" i="5"/>
  <c r="W62" i="5"/>
  <c r="U62" i="5"/>
  <c r="W70" i="5"/>
  <c r="T70" i="5"/>
  <c r="U70" i="5"/>
  <c r="V70" i="5"/>
  <c r="T111" i="5"/>
  <c r="U111" i="5"/>
  <c r="V111" i="5"/>
  <c r="W111" i="5"/>
  <c r="T132" i="5"/>
  <c r="U132" i="5"/>
  <c r="W132" i="5"/>
  <c r="V132" i="5"/>
  <c r="T161" i="5"/>
  <c r="U161" i="5"/>
  <c r="W161" i="5"/>
  <c r="V161" i="5"/>
  <c r="V230" i="5"/>
  <c r="W230" i="5"/>
  <c r="T230" i="5"/>
  <c r="U230" i="5"/>
  <c r="V254" i="5"/>
  <c r="W254" i="5"/>
  <c r="U254" i="5"/>
  <c r="T254" i="5"/>
  <c r="X299" i="5"/>
  <c r="U299" i="5"/>
  <c r="V299" i="5"/>
  <c r="T299" i="5"/>
  <c r="W299" i="5"/>
  <c r="X378" i="5"/>
  <c r="V378" i="5"/>
  <c r="W378" i="5"/>
  <c r="U378" i="5"/>
  <c r="T378" i="5"/>
  <c r="V149" i="5"/>
  <c r="W149" i="5"/>
  <c r="U149" i="5"/>
  <c r="T149" i="5"/>
  <c r="V157" i="5"/>
  <c r="W157" i="5"/>
  <c r="T157" i="5"/>
  <c r="U157" i="5"/>
  <c r="U166" i="5"/>
  <c r="V166" i="5"/>
  <c r="T166" i="5"/>
  <c r="W166" i="5"/>
  <c r="V174" i="5"/>
  <c r="W174" i="5"/>
  <c r="T174" i="5"/>
  <c r="U174" i="5"/>
  <c r="V190" i="5"/>
  <c r="W190" i="5"/>
  <c r="T190" i="5"/>
  <c r="U190" i="5"/>
  <c r="X201" i="5"/>
  <c r="U201" i="5"/>
  <c r="V201" i="5"/>
  <c r="T201" i="5"/>
  <c r="W201" i="5"/>
  <c r="T209" i="5"/>
  <c r="U209" i="5"/>
  <c r="V209" i="5"/>
  <c r="W209" i="5"/>
  <c r="U217" i="5"/>
  <c r="V217" i="5"/>
  <c r="W217" i="5"/>
  <c r="T217" i="5"/>
  <c r="X226" i="5"/>
  <c r="T226" i="5"/>
  <c r="U226" i="5"/>
  <c r="V226" i="5"/>
  <c r="W226" i="5"/>
  <c r="X235" i="5"/>
  <c r="U235" i="5"/>
  <c r="V235" i="5"/>
  <c r="T235" i="5"/>
  <c r="W235" i="5"/>
  <c r="T243" i="5"/>
  <c r="U243" i="5"/>
  <c r="V243" i="5"/>
  <c r="W243" i="5"/>
  <c r="U368" i="5"/>
  <c r="V368" i="5"/>
  <c r="T368" i="5"/>
  <c r="W368" i="5"/>
  <c r="V63" i="5"/>
  <c r="W63" i="5"/>
  <c r="T63" i="5"/>
  <c r="U63" i="5"/>
  <c r="X327" i="5"/>
  <c r="W327" i="5"/>
  <c r="T327" i="5"/>
  <c r="U327" i="5"/>
  <c r="V327" i="5"/>
  <c r="X99" i="5"/>
  <c r="U99" i="5"/>
  <c r="V99" i="5"/>
  <c r="W99" i="5"/>
  <c r="T99" i="5"/>
  <c r="U28" i="5"/>
  <c r="V28" i="5"/>
  <c r="W28" i="5"/>
  <c r="T28" i="5"/>
  <c r="X372" i="5"/>
  <c r="T372" i="5"/>
  <c r="U372" i="5"/>
  <c r="V372" i="5"/>
  <c r="W372" i="5"/>
  <c r="X396" i="5"/>
  <c r="V396" i="5"/>
  <c r="W396" i="5"/>
  <c r="T396" i="5"/>
  <c r="U396" i="5"/>
  <c r="W351" i="5"/>
  <c r="T351" i="5"/>
  <c r="U351" i="5"/>
  <c r="V351" i="5"/>
  <c r="U269" i="5"/>
  <c r="V269" i="5"/>
  <c r="T269" i="5"/>
  <c r="W269" i="5"/>
  <c r="V420" i="5"/>
  <c r="W420" i="5"/>
  <c r="U420" i="5"/>
  <c r="T420" i="5"/>
  <c r="V379" i="5"/>
  <c r="W379" i="5"/>
  <c r="U379" i="5"/>
  <c r="T379" i="5"/>
  <c r="W429" i="5"/>
  <c r="T429" i="5"/>
  <c r="U429" i="5"/>
  <c r="V429" i="5"/>
  <c r="X382" i="5"/>
  <c r="U382" i="5"/>
  <c r="V382" i="5"/>
  <c r="W382" i="5"/>
  <c r="T382" i="5"/>
  <c r="V437" i="5"/>
  <c r="W437" i="5"/>
  <c r="T437" i="5"/>
  <c r="U437" i="5"/>
  <c r="X334" i="5"/>
  <c r="T334" i="5"/>
  <c r="U334" i="5"/>
  <c r="V334" i="5"/>
  <c r="W334" i="5"/>
  <c r="W418" i="5"/>
  <c r="T418" i="5"/>
  <c r="U418" i="5"/>
  <c r="V418" i="5"/>
  <c r="X375" i="5"/>
  <c r="W375" i="5"/>
  <c r="T375" i="5"/>
  <c r="U375" i="5"/>
  <c r="V375" i="5"/>
  <c r="U377" i="5"/>
  <c r="V377" i="5"/>
  <c r="T377" i="5"/>
  <c r="W377" i="5"/>
  <c r="X31" i="5"/>
  <c r="T31" i="5"/>
  <c r="U31" i="5"/>
  <c r="V31" i="5"/>
  <c r="W31" i="5"/>
  <c r="U376" i="5"/>
  <c r="V376" i="5"/>
  <c r="T376" i="5"/>
  <c r="W376" i="5"/>
  <c r="U329" i="5"/>
  <c r="V329" i="5"/>
  <c r="T329" i="5"/>
  <c r="W329" i="5"/>
  <c r="X95" i="5"/>
  <c r="V95" i="5"/>
  <c r="W95" i="5"/>
  <c r="U95" i="5"/>
  <c r="T95" i="5"/>
  <c r="T387" i="5"/>
  <c r="U387" i="5"/>
  <c r="V387" i="5"/>
  <c r="W387" i="5"/>
  <c r="U336" i="5"/>
  <c r="V336" i="5"/>
  <c r="T336" i="5"/>
  <c r="W336" i="5"/>
  <c r="X364" i="5"/>
  <c r="T364" i="5"/>
  <c r="U364" i="5"/>
  <c r="V364" i="5"/>
  <c r="W364" i="5"/>
  <c r="X318" i="5"/>
  <c r="W318" i="5"/>
  <c r="T318" i="5"/>
  <c r="U318" i="5"/>
  <c r="V318" i="5"/>
  <c r="X282" i="5"/>
  <c r="T282" i="5"/>
  <c r="U282" i="5"/>
  <c r="W282" i="5"/>
  <c r="V282" i="5"/>
  <c r="W316" i="5"/>
  <c r="T316" i="5"/>
  <c r="U316" i="5"/>
  <c r="V316" i="5"/>
  <c r="X410" i="5"/>
  <c r="W410" i="5"/>
  <c r="T410" i="5"/>
  <c r="U410" i="5"/>
  <c r="V410" i="5"/>
  <c r="X397" i="5"/>
  <c r="V397" i="5"/>
  <c r="W397" i="5"/>
  <c r="U397" i="5"/>
  <c r="T397" i="5"/>
  <c r="V405" i="5"/>
  <c r="W405" i="5"/>
  <c r="U405" i="5"/>
  <c r="T405" i="5"/>
  <c r="X349" i="5"/>
  <c r="W349" i="5"/>
  <c r="T349" i="5"/>
  <c r="U349" i="5"/>
  <c r="V349" i="5"/>
  <c r="W325" i="5"/>
  <c r="T325" i="5"/>
  <c r="U325" i="5"/>
  <c r="V325" i="5"/>
  <c r="W29" i="5"/>
  <c r="T29" i="5"/>
  <c r="U29" i="5"/>
  <c r="V29" i="5"/>
  <c r="W390" i="5"/>
  <c r="T390" i="5"/>
  <c r="U390" i="5"/>
  <c r="V390" i="5"/>
  <c r="T342" i="5"/>
  <c r="U342" i="5"/>
  <c r="V342" i="5"/>
  <c r="W342" i="5"/>
  <c r="X338" i="5"/>
  <c r="V338" i="5"/>
  <c r="W338" i="5"/>
  <c r="U338" i="5"/>
  <c r="T338" i="5"/>
  <c r="T280" i="5"/>
  <c r="U280" i="5"/>
  <c r="V280" i="5"/>
  <c r="W280" i="5"/>
  <c r="U314" i="5"/>
  <c r="V314" i="5"/>
  <c r="T314" i="5"/>
  <c r="W314" i="5"/>
  <c r="T393" i="5"/>
  <c r="U393" i="5"/>
  <c r="V393" i="5"/>
  <c r="W393" i="5"/>
  <c r="X319" i="5"/>
  <c r="W319" i="5"/>
  <c r="T319" i="5"/>
  <c r="U319" i="5"/>
  <c r="V319" i="5"/>
  <c r="W34" i="5"/>
  <c r="U34" i="5"/>
  <c r="V34" i="5"/>
  <c r="T34" i="5"/>
  <c r="U296" i="5"/>
  <c r="V296" i="5"/>
  <c r="W296" i="5"/>
  <c r="T296" i="5"/>
  <c r="T84" i="5"/>
  <c r="U84" i="5"/>
  <c r="V84" i="5"/>
  <c r="W84" i="5"/>
  <c r="T23" i="5"/>
  <c r="U23" i="5"/>
  <c r="V23" i="5"/>
  <c r="W23" i="5"/>
  <c r="V293" i="5"/>
  <c r="W293" i="5"/>
  <c r="T293" i="5"/>
  <c r="U293" i="5"/>
  <c r="V247" i="5"/>
  <c r="W247" i="5"/>
  <c r="U247" i="5"/>
  <c r="T247" i="5"/>
  <c r="X276" i="5"/>
  <c r="V276" i="5"/>
  <c r="T276" i="5"/>
  <c r="U276" i="5"/>
  <c r="W276" i="5"/>
  <c r="W5" i="5"/>
  <c r="T5" i="5"/>
  <c r="U5" i="5"/>
  <c r="V5" i="5"/>
  <c r="W700" i="5"/>
  <c r="X700" i="5"/>
  <c r="W704" i="5"/>
  <c r="X704" i="5"/>
  <c r="W708" i="5"/>
  <c r="X708" i="5"/>
  <c r="V712" i="5"/>
  <c r="X712" i="5"/>
  <c r="W716" i="5"/>
  <c r="X716" i="5"/>
  <c r="V728" i="5"/>
  <c r="X728" i="5"/>
  <c r="V732" i="5"/>
  <c r="X732" i="5"/>
  <c r="V736" i="5"/>
  <c r="X736" i="5"/>
  <c r="V740" i="5"/>
  <c r="X740" i="5"/>
  <c r="V744" i="5"/>
  <c r="X744" i="5"/>
  <c r="V752" i="5"/>
  <c r="X752" i="5"/>
  <c r="V756" i="5"/>
  <c r="X756" i="5"/>
  <c r="V764" i="5"/>
  <c r="X764" i="5"/>
  <c r="U768" i="5"/>
  <c r="X768" i="5"/>
  <c r="T776" i="5"/>
  <c r="X776" i="5"/>
  <c r="V780" i="5"/>
  <c r="X780" i="5"/>
  <c r="V788" i="5"/>
  <c r="X788" i="5"/>
  <c r="W792" i="5"/>
  <c r="X792" i="5"/>
  <c r="V796" i="5"/>
  <c r="X796" i="5"/>
  <c r="V800" i="5"/>
  <c r="X800" i="5"/>
  <c r="V808" i="5"/>
  <c r="X808" i="5"/>
  <c r="V812" i="5"/>
  <c r="X812" i="5"/>
  <c r="V828" i="5"/>
  <c r="X828" i="5"/>
  <c r="W832" i="5"/>
  <c r="X832" i="5"/>
  <c r="V836" i="5"/>
  <c r="X836" i="5"/>
  <c r="T844" i="5"/>
  <c r="X844" i="5"/>
  <c r="T852" i="5"/>
  <c r="X852" i="5"/>
  <c r="V856" i="5"/>
  <c r="X856" i="5"/>
  <c r="V864" i="5"/>
  <c r="X864" i="5"/>
  <c r="U868" i="5"/>
  <c r="X868" i="5"/>
  <c r="T872" i="5"/>
  <c r="X872" i="5"/>
  <c r="V876" i="5"/>
  <c r="X876" i="5"/>
  <c r="T880" i="5"/>
  <c r="X880" i="5"/>
  <c r="T884" i="5"/>
  <c r="X884" i="5"/>
  <c r="V892" i="5"/>
  <c r="X892" i="5"/>
  <c r="T896" i="5"/>
  <c r="X896" i="5"/>
  <c r="U900" i="5"/>
  <c r="X900" i="5"/>
  <c r="W904" i="5"/>
  <c r="X904" i="5"/>
  <c r="U908" i="5"/>
  <c r="X908" i="5"/>
  <c r="T912" i="5"/>
  <c r="X912" i="5"/>
  <c r="T916" i="5"/>
  <c r="X916" i="5"/>
  <c r="T932" i="5"/>
  <c r="X932" i="5"/>
  <c r="U936" i="5"/>
  <c r="X936" i="5"/>
  <c r="U940" i="5"/>
  <c r="X940" i="5"/>
  <c r="T948" i="5"/>
  <c r="X948" i="5"/>
  <c r="U952" i="5"/>
  <c r="X952" i="5"/>
  <c r="W956" i="5"/>
  <c r="X956" i="5"/>
  <c r="W960" i="5"/>
  <c r="X960" i="5"/>
  <c r="U964" i="5"/>
  <c r="X964" i="5"/>
  <c r="W968" i="5"/>
  <c r="X968" i="5"/>
  <c r="V972" i="5"/>
  <c r="X972" i="5"/>
  <c r="W976" i="5"/>
  <c r="X976" i="5"/>
  <c r="T980" i="5"/>
  <c r="X980" i="5"/>
  <c r="T984" i="5"/>
  <c r="X984" i="5"/>
  <c r="T988" i="5"/>
  <c r="X988" i="5"/>
  <c r="T992" i="5"/>
  <c r="X992" i="5"/>
  <c r="T996" i="5"/>
  <c r="X996" i="5"/>
  <c r="T1004" i="5"/>
  <c r="X1004" i="5"/>
  <c r="T1012" i="5"/>
  <c r="X1012" i="5"/>
  <c r="T1016" i="5"/>
  <c r="X1016" i="5"/>
  <c r="T1020" i="5"/>
  <c r="X1020" i="5"/>
  <c r="T1024" i="5"/>
  <c r="X1024" i="5"/>
  <c r="T1028" i="5"/>
  <c r="X1028" i="5"/>
  <c r="V1036" i="5"/>
  <c r="X1036" i="5"/>
  <c r="T1040" i="5"/>
  <c r="X1040" i="5"/>
  <c r="T1044" i="5"/>
  <c r="X1044" i="5"/>
  <c r="T1048" i="5"/>
  <c r="X1048" i="5"/>
  <c r="T1052" i="5"/>
  <c r="X1052" i="5"/>
  <c r="U701" i="5"/>
  <c r="X701" i="5"/>
  <c r="U713" i="5"/>
  <c r="X713" i="5"/>
  <c r="U717" i="5"/>
  <c r="X717" i="5"/>
  <c r="U729" i="5"/>
  <c r="X729" i="5"/>
  <c r="U733" i="5"/>
  <c r="X733" i="5"/>
  <c r="T737" i="5"/>
  <c r="X737" i="5"/>
  <c r="T741" i="5"/>
  <c r="X741" i="5"/>
  <c r="W745" i="5"/>
  <c r="X745" i="5"/>
  <c r="W749" i="5"/>
  <c r="X749" i="5"/>
  <c r="T753" i="5"/>
  <c r="X753" i="5"/>
  <c r="W757" i="5"/>
  <c r="X757" i="5"/>
  <c r="W761" i="5"/>
  <c r="X761" i="5"/>
  <c r="W765" i="5"/>
  <c r="X765" i="5"/>
  <c r="U769" i="5"/>
  <c r="X769" i="5"/>
  <c r="T773" i="5"/>
  <c r="X773" i="5"/>
  <c r="U777" i="5"/>
  <c r="X777" i="5"/>
  <c r="U781" i="5"/>
  <c r="X781" i="5"/>
  <c r="U789" i="5"/>
  <c r="X789" i="5"/>
  <c r="T793" i="5"/>
  <c r="X793" i="5"/>
  <c r="T797" i="5"/>
  <c r="X797" i="5"/>
  <c r="U801" i="5"/>
  <c r="X801" i="5"/>
  <c r="W805" i="5"/>
  <c r="X805" i="5"/>
  <c r="T813" i="5"/>
  <c r="X813" i="5"/>
  <c r="V821" i="5"/>
  <c r="X821" i="5"/>
  <c r="V825" i="5"/>
  <c r="X825" i="5"/>
  <c r="W829" i="5"/>
  <c r="X829" i="5"/>
  <c r="T837" i="5"/>
  <c r="X837" i="5"/>
  <c r="W841" i="5"/>
  <c r="X841" i="5"/>
  <c r="V845" i="5"/>
  <c r="X845" i="5"/>
  <c r="V849" i="5"/>
  <c r="X849" i="5"/>
  <c r="V853" i="5"/>
  <c r="X853" i="5"/>
  <c r="V857" i="5"/>
  <c r="X857" i="5"/>
  <c r="V865" i="5"/>
  <c r="X865" i="5"/>
  <c r="T869" i="5"/>
  <c r="X869" i="5"/>
  <c r="V873" i="5"/>
  <c r="X873" i="5"/>
  <c r="T877" i="5"/>
  <c r="X877" i="5"/>
  <c r="W881" i="5"/>
  <c r="X881" i="5"/>
  <c r="V889" i="5"/>
  <c r="X889" i="5"/>
  <c r="U893" i="5"/>
  <c r="X893" i="5"/>
  <c r="U901" i="5"/>
  <c r="X901" i="5"/>
  <c r="V905" i="5"/>
  <c r="X905" i="5"/>
  <c r="U909" i="5"/>
  <c r="X909" i="5"/>
  <c r="V913" i="5"/>
  <c r="X913" i="5"/>
  <c r="V921" i="5"/>
  <c r="X921" i="5"/>
  <c r="V925" i="5"/>
  <c r="X925" i="5"/>
  <c r="W929" i="5"/>
  <c r="X929" i="5"/>
  <c r="V933" i="5"/>
  <c r="X933" i="5"/>
  <c r="V937" i="5"/>
  <c r="X937" i="5"/>
  <c r="V945" i="5"/>
  <c r="X945" i="5"/>
  <c r="V949" i="5"/>
  <c r="X949" i="5"/>
  <c r="V953" i="5"/>
  <c r="X953" i="5"/>
  <c r="W957" i="5"/>
  <c r="X957" i="5"/>
  <c r="U961" i="5"/>
  <c r="X961" i="5"/>
  <c r="U969" i="5"/>
  <c r="X969" i="5"/>
  <c r="W973" i="5"/>
  <c r="X973" i="5"/>
  <c r="V977" i="5"/>
  <c r="X977" i="5"/>
  <c r="T981" i="5"/>
  <c r="X981" i="5"/>
  <c r="V985" i="5"/>
  <c r="X985" i="5"/>
  <c r="V989" i="5"/>
  <c r="X989" i="5"/>
  <c r="W993" i="5"/>
  <c r="X993" i="5"/>
  <c r="W997" i="5"/>
  <c r="X997" i="5"/>
  <c r="W1005" i="5"/>
  <c r="X1005" i="5"/>
  <c r="W1009" i="5"/>
  <c r="X1009" i="5"/>
  <c r="W1013" i="5"/>
  <c r="X1013" i="5"/>
  <c r="W1017" i="5"/>
  <c r="X1017" i="5"/>
  <c r="W1021" i="5"/>
  <c r="X1021" i="5"/>
  <c r="W1033" i="5"/>
  <c r="X1033" i="5"/>
  <c r="W1037" i="5"/>
  <c r="X1037" i="5"/>
  <c r="W1041" i="5"/>
  <c r="X1041" i="5"/>
  <c r="W1045" i="5"/>
  <c r="X1045" i="5"/>
  <c r="W1049" i="5"/>
  <c r="X1049" i="5"/>
  <c r="W1053" i="5"/>
  <c r="X1053" i="5"/>
  <c r="W702" i="5"/>
  <c r="X702" i="5"/>
  <c r="W706" i="5"/>
  <c r="X706" i="5"/>
  <c r="V710" i="5"/>
  <c r="X710" i="5"/>
  <c r="V714" i="5"/>
  <c r="X714" i="5"/>
  <c r="W718" i="5"/>
  <c r="X718" i="5"/>
  <c r="W722" i="5"/>
  <c r="X722" i="5"/>
  <c r="W726" i="5"/>
  <c r="X726" i="5"/>
  <c r="W730" i="5"/>
  <c r="X730" i="5"/>
  <c r="V734" i="5"/>
  <c r="X734" i="5"/>
  <c r="V738" i="5"/>
  <c r="X738" i="5"/>
  <c r="V742" i="5"/>
  <c r="X742" i="5"/>
  <c r="V746" i="5"/>
  <c r="X746" i="5"/>
  <c r="V750" i="5"/>
  <c r="X750" i="5"/>
  <c r="V754" i="5"/>
  <c r="X754" i="5"/>
  <c r="V758" i="5"/>
  <c r="X758" i="5"/>
  <c r="V762" i="5"/>
  <c r="X762" i="5"/>
  <c r="W766" i="5"/>
  <c r="X766" i="5"/>
  <c r="W770" i="5"/>
  <c r="X770" i="5"/>
  <c r="V774" i="5"/>
  <c r="X774" i="5"/>
  <c r="V778" i="5"/>
  <c r="X778" i="5"/>
  <c r="W782" i="5"/>
  <c r="X782" i="5"/>
  <c r="T786" i="5"/>
  <c r="X786" i="5"/>
  <c r="V790" i="5"/>
  <c r="X790" i="5"/>
  <c r="W794" i="5"/>
  <c r="X794" i="5"/>
  <c r="W798" i="5"/>
  <c r="X798" i="5"/>
  <c r="V802" i="5"/>
  <c r="X802" i="5"/>
  <c r="V806" i="5"/>
  <c r="X806" i="5"/>
  <c r="V814" i="5"/>
  <c r="X814" i="5"/>
  <c r="V818" i="5"/>
  <c r="X818" i="5"/>
  <c r="W822" i="5"/>
  <c r="X822" i="5"/>
  <c r="V826" i="5"/>
  <c r="X826" i="5"/>
  <c r="T830" i="5"/>
  <c r="X830" i="5"/>
  <c r="V834" i="5"/>
  <c r="X834" i="5"/>
  <c r="W838" i="5"/>
  <c r="X838" i="5"/>
  <c r="U842" i="5"/>
  <c r="X842" i="5"/>
  <c r="T846" i="5"/>
  <c r="X846" i="5"/>
  <c r="U850" i="5"/>
  <c r="X850" i="5"/>
  <c r="T854" i="5"/>
  <c r="X854" i="5"/>
  <c r="W858" i="5"/>
  <c r="X858" i="5"/>
  <c r="T862" i="5"/>
  <c r="X862" i="5"/>
  <c r="U866" i="5"/>
  <c r="X866" i="5"/>
  <c r="T870" i="5"/>
  <c r="X870" i="5"/>
  <c r="W874" i="5"/>
  <c r="X874" i="5"/>
  <c r="W878" i="5"/>
  <c r="X878" i="5"/>
  <c r="V894" i="5"/>
  <c r="X894" i="5"/>
  <c r="W898" i="5"/>
  <c r="X898" i="5"/>
  <c r="T902" i="5"/>
  <c r="X902" i="5"/>
  <c r="W906" i="5"/>
  <c r="X906" i="5"/>
  <c r="T910" i="5"/>
  <c r="X910" i="5"/>
  <c r="W914" i="5"/>
  <c r="X914" i="5"/>
  <c r="W922" i="5"/>
  <c r="X922" i="5"/>
  <c r="W934" i="5"/>
  <c r="X934" i="5"/>
  <c r="W938" i="5"/>
  <c r="X938" i="5"/>
  <c r="T942" i="5"/>
  <c r="X942" i="5"/>
  <c r="T946" i="5"/>
  <c r="X946" i="5"/>
  <c r="T950" i="5"/>
  <c r="X950" i="5"/>
  <c r="T954" i="5"/>
  <c r="X954" i="5"/>
  <c r="U958" i="5"/>
  <c r="X958" i="5"/>
  <c r="U962" i="5"/>
  <c r="X962" i="5"/>
  <c r="T970" i="5"/>
  <c r="X970" i="5"/>
  <c r="U974" i="5"/>
  <c r="X974" i="5"/>
  <c r="T978" i="5"/>
  <c r="X978" i="5"/>
  <c r="T982" i="5"/>
  <c r="X982" i="5"/>
  <c r="V986" i="5"/>
  <c r="X986" i="5"/>
  <c r="T994" i="5"/>
  <c r="X994" i="5"/>
  <c r="T998" i="5"/>
  <c r="X998" i="5"/>
  <c r="T1006" i="5"/>
  <c r="X1006" i="5"/>
  <c r="T1010" i="5"/>
  <c r="X1010" i="5"/>
  <c r="T1014" i="5"/>
  <c r="X1014" i="5"/>
  <c r="T1018" i="5"/>
  <c r="X1018" i="5"/>
  <c r="T1022" i="5"/>
  <c r="X1022" i="5"/>
  <c r="T1026" i="5"/>
  <c r="X1026" i="5"/>
  <c r="T1038" i="5"/>
  <c r="X1038" i="5"/>
  <c r="T1042" i="5"/>
  <c r="X1042" i="5"/>
  <c r="T1046" i="5"/>
  <c r="X1046" i="5"/>
  <c r="T1050" i="5"/>
  <c r="X1050" i="5"/>
  <c r="T1054" i="5"/>
  <c r="X1054" i="5"/>
  <c r="U699" i="5"/>
  <c r="X699" i="5"/>
  <c r="U715" i="5"/>
  <c r="X715" i="5"/>
  <c r="U727" i="5"/>
  <c r="X727" i="5"/>
  <c r="U731" i="5"/>
  <c r="X731" i="5"/>
  <c r="W743" i="5"/>
  <c r="X743" i="5"/>
  <c r="W747" i="5"/>
  <c r="X747" i="5"/>
  <c r="W751" i="5"/>
  <c r="X751" i="5"/>
  <c r="W755" i="5"/>
  <c r="X755" i="5"/>
  <c r="W759" i="5"/>
  <c r="X759" i="5"/>
  <c r="W763" i="5"/>
  <c r="X763" i="5"/>
  <c r="U767" i="5"/>
  <c r="X767" i="5"/>
  <c r="T771" i="5"/>
  <c r="X771" i="5"/>
  <c r="T775" i="5"/>
  <c r="X775" i="5"/>
  <c r="V787" i="5"/>
  <c r="X787" i="5"/>
  <c r="V799" i="5"/>
  <c r="X799" i="5"/>
  <c r="V803" i="5"/>
  <c r="X803" i="5"/>
  <c r="V807" i="5"/>
  <c r="X807" i="5"/>
  <c r="V811" i="5"/>
  <c r="X811" i="5"/>
  <c r="U815" i="5"/>
  <c r="X815" i="5"/>
  <c r="V819" i="5"/>
  <c r="X819" i="5"/>
  <c r="V827" i="5"/>
  <c r="X827" i="5"/>
  <c r="U831" i="5"/>
  <c r="X831" i="5"/>
  <c r="V835" i="5"/>
  <c r="X835" i="5"/>
  <c r="V839" i="5"/>
  <c r="X839" i="5"/>
  <c r="V843" i="5"/>
  <c r="X843" i="5"/>
  <c r="T847" i="5"/>
  <c r="X847" i="5"/>
  <c r="V851" i="5"/>
  <c r="X851" i="5"/>
  <c r="V855" i="5"/>
  <c r="X855" i="5"/>
  <c r="V863" i="5"/>
  <c r="X863" i="5"/>
  <c r="V867" i="5"/>
  <c r="X867" i="5"/>
  <c r="V875" i="5"/>
  <c r="X875" i="5"/>
  <c r="V879" i="5"/>
  <c r="X879" i="5"/>
  <c r="W883" i="5"/>
  <c r="X883" i="5"/>
  <c r="V895" i="5"/>
  <c r="X895" i="5"/>
  <c r="V899" i="5"/>
  <c r="X899" i="5"/>
  <c r="V903" i="5"/>
  <c r="X903" i="5"/>
  <c r="V907" i="5"/>
  <c r="X907" i="5"/>
  <c r="V911" i="5"/>
  <c r="X911" i="5"/>
  <c r="V915" i="5"/>
  <c r="X915" i="5"/>
  <c r="W919" i="5"/>
  <c r="X919" i="5"/>
  <c r="V923" i="5"/>
  <c r="X923" i="5"/>
  <c r="V935" i="5"/>
  <c r="X935" i="5"/>
  <c r="V943" i="5"/>
  <c r="X943" i="5"/>
  <c r="V947" i="5"/>
  <c r="X947" i="5"/>
  <c r="V951" i="5"/>
  <c r="X951" i="5"/>
  <c r="T955" i="5"/>
  <c r="X955" i="5"/>
  <c r="W959" i="5"/>
  <c r="X959" i="5"/>
  <c r="T963" i="5"/>
  <c r="X963" i="5"/>
  <c r="W967" i="5"/>
  <c r="X967" i="5"/>
  <c r="T971" i="5"/>
  <c r="X971" i="5"/>
  <c r="W975" i="5"/>
  <c r="X975" i="5"/>
  <c r="W979" i="5"/>
  <c r="X979" i="5"/>
  <c r="W983" i="5"/>
  <c r="X983" i="5"/>
  <c r="W987" i="5"/>
  <c r="X987" i="5"/>
  <c r="W991" i="5"/>
  <c r="X991" i="5"/>
  <c r="W999" i="5"/>
  <c r="X999" i="5"/>
  <c r="W1007" i="5"/>
  <c r="X1007" i="5"/>
  <c r="W1011" i="5"/>
  <c r="X1011" i="5"/>
  <c r="W1015" i="5"/>
  <c r="X1015" i="5"/>
  <c r="W1019" i="5"/>
  <c r="X1019" i="5"/>
  <c r="W1023" i="5"/>
  <c r="X1023" i="5"/>
  <c r="W1027" i="5"/>
  <c r="X1027" i="5"/>
  <c r="W1039" i="5"/>
  <c r="X1039" i="5"/>
  <c r="W1043" i="5"/>
  <c r="X1043" i="5"/>
  <c r="W1047" i="5"/>
  <c r="X1047" i="5"/>
  <c r="W1051" i="5"/>
  <c r="X1051" i="5"/>
  <c r="W1055" i="5"/>
  <c r="X1055" i="5"/>
  <c r="G117" i="10"/>
  <c r="G114" i="10"/>
  <c r="G115" i="10"/>
  <c r="G109" i="10"/>
  <c r="G132" i="10"/>
  <c r="G123" i="10"/>
  <c r="X169" i="5"/>
  <c r="Q76" i="3"/>
  <c r="A77" i="3"/>
  <c r="Q77" i="3"/>
  <c r="Q40" i="3"/>
  <c r="P40" i="3" s="1"/>
  <c r="O12" i="3"/>
  <c r="P12" i="3" s="1"/>
  <c r="Q12" i="3"/>
  <c r="A21" i="3"/>
  <c r="D21" i="3" s="1"/>
  <c r="E21" i="3" s="1"/>
  <c r="Q21" i="3"/>
  <c r="A40" i="3"/>
  <c r="A51" i="3"/>
  <c r="Q51" i="3"/>
  <c r="A59" i="3"/>
  <c r="Q59" i="3"/>
  <c r="A70" i="3"/>
  <c r="Q70" i="3"/>
  <c r="A50" i="3"/>
  <c r="Q50" i="3"/>
  <c r="A22" i="3"/>
  <c r="Q22" i="3"/>
  <c r="A52" i="3"/>
  <c r="Q52" i="3"/>
  <c r="A60" i="3"/>
  <c r="Q60" i="3"/>
  <c r="A23" i="3"/>
  <c r="F23" i="3" s="1"/>
  <c r="Q23" i="3"/>
  <c r="A31" i="3"/>
  <c r="Q31" i="3"/>
  <c r="F7" i="19" s="1"/>
  <c r="A42" i="3"/>
  <c r="Q42" i="3"/>
  <c r="A53" i="3"/>
  <c r="Q53" i="3"/>
  <c r="A61" i="3"/>
  <c r="Q61" i="3"/>
  <c r="A36" i="3"/>
  <c r="Q36" i="3"/>
  <c r="A32" i="3"/>
  <c r="Q32" i="3"/>
  <c r="F11" i="19" s="1"/>
  <c r="A43" i="3"/>
  <c r="Q43" i="3"/>
  <c r="A62" i="3"/>
  <c r="Q62" i="3"/>
  <c r="A58" i="3"/>
  <c r="Q58" i="3"/>
  <c r="A17" i="3"/>
  <c r="F17" i="3" s="1"/>
  <c r="O17" i="3"/>
  <c r="Q17" i="3"/>
  <c r="A5" i="3"/>
  <c r="Q5" i="3"/>
  <c r="A33" i="3"/>
  <c r="Q33" i="3"/>
  <c r="A44" i="3"/>
  <c r="Q44" i="3"/>
  <c r="A55" i="3"/>
  <c r="Q55" i="3"/>
  <c r="A63" i="3"/>
  <c r="Q63" i="3"/>
  <c r="A76" i="3"/>
  <c r="A66" i="3"/>
  <c r="Q66" i="3"/>
  <c r="A15" i="3"/>
  <c r="F15" i="3" s="1"/>
  <c r="Q15" i="3"/>
  <c r="O15" i="3"/>
  <c r="A6" i="3"/>
  <c r="D6" i="3" s="1"/>
  <c r="Q6" i="3"/>
  <c r="A34" i="3"/>
  <c r="Q34" i="3"/>
  <c r="A45" i="3"/>
  <c r="Q45" i="3"/>
  <c r="A56" i="3"/>
  <c r="Q56" i="3"/>
  <c r="A64" i="3"/>
  <c r="Q64" i="3"/>
  <c r="F77" i="3"/>
  <c r="I77" i="3"/>
  <c r="A19" i="3"/>
  <c r="D19" i="3" s="1"/>
  <c r="E19" i="3" s="1"/>
  <c r="Q19" i="3"/>
  <c r="A12" i="3"/>
  <c r="A35" i="3"/>
  <c r="Q35" i="3"/>
  <c r="A49" i="3"/>
  <c r="Q49" i="3"/>
  <c r="A57" i="3"/>
  <c r="Q57" i="3"/>
  <c r="A65" i="3"/>
  <c r="Q65" i="3"/>
  <c r="A78" i="3"/>
  <c r="AL480" i="17"/>
  <c r="AL482" i="17" s="1"/>
  <c r="AL488" i="17" s="1"/>
  <c r="AL497" i="17" s="1"/>
  <c r="AL500" i="17" s="1"/>
  <c r="F21" i="3"/>
  <c r="F22" i="3"/>
  <c r="D22" i="3"/>
  <c r="E22" i="3" s="1"/>
  <c r="D17" i="3"/>
  <c r="G657" i="10"/>
  <c r="G454" i="10"/>
  <c r="G483" i="10"/>
  <c r="G68" i="10"/>
  <c r="G333" i="10"/>
  <c r="G314" i="10"/>
  <c r="G293" i="10"/>
  <c r="G272" i="10"/>
  <c r="G247" i="10"/>
  <c r="G392" i="10"/>
  <c r="G407" i="10"/>
  <c r="G256" i="10"/>
  <c r="G435" i="10"/>
  <c r="G430" i="10"/>
  <c r="G89" i="10"/>
  <c r="G76" i="10"/>
  <c r="G415" i="10"/>
  <c r="G292" i="10"/>
  <c r="G341" i="10"/>
  <c r="G405" i="10"/>
  <c r="G377" i="10"/>
  <c r="G400" i="10"/>
  <c r="G684" i="10"/>
  <c r="G821" i="10"/>
  <c r="G770" i="10"/>
  <c r="G698" i="10"/>
  <c r="G676" i="10"/>
  <c r="G811" i="10"/>
  <c r="G713" i="10"/>
  <c r="G679" i="10"/>
  <c r="G859" i="10"/>
  <c r="G752" i="10"/>
  <c r="G672" i="10"/>
  <c r="G35" i="10"/>
  <c r="G110" i="10"/>
  <c r="G479" i="10"/>
  <c r="G15" i="10"/>
  <c r="G826" i="10"/>
  <c r="G801" i="10"/>
  <c r="G869" i="10"/>
  <c r="G144" i="10"/>
  <c r="G494" i="10"/>
  <c r="G737" i="10"/>
  <c r="G216" i="10"/>
  <c r="G489" i="10"/>
  <c r="G681" i="10"/>
  <c r="G789" i="10"/>
  <c r="G52" i="10"/>
  <c r="G694" i="10"/>
  <c r="G761" i="10"/>
  <c r="G825" i="10"/>
  <c r="G671" i="10"/>
  <c r="G731" i="10"/>
  <c r="G457" i="10"/>
  <c r="G558" i="10"/>
  <c r="G529" i="10"/>
  <c r="G460" i="10"/>
  <c r="G623" i="10"/>
  <c r="G581" i="10"/>
  <c r="G661" i="10"/>
  <c r="G575" i="10"/>
  <c r="G564" i="10"/>
  <c r="G538" i="10"/>
  <c r="G619" i="10"/>
  <c r="G523" i="10"/>
  <c r="G615" i="10"/>
  <c r="G658" i="10"/>
  <c r="G596" i="10"/>
  <c r="G555" i="10"/>
  <c r="G565" i="10"/>
  <c r="G465" i="10"/>
  <c r="G866" i="10"/>
  <c r="G202" i="10"/>
  <c r="G504" i="10"/>
  <c r="G142" i="10"/>
  <c r="G29" i="10"/>
  <c r="G32" i="10"/>
  <c r="G134" i="10"/>
  <c r="G201" i="10"/>
  <c r="G484" i="10"/>
  <c r="G261" i="10"/>
  <c r="G72" i="10"/>
  <c r="G262" i="10"/>
  <c r="G296" i="10"/>
  <c r="G244" i="10"/>
  <c r="G249" i="10"/>
  <c r="G304" i="10"/>
  <c r="G246" i="10"/>
  <c r="G387" i="10"/>
  <c r="G279" i="10"/>
  <c r="G433" i="10"/>
  <c r="G85" i="10"/>
  <c r="G332" i="10"/>
  <c r="G355" i="10"/>
  <c r="G399" i="10"/>
  <c r="G278" i="10"/>
  <c r="G311" i="10"/>
  <c r="G383" i="10"/>
  <c r="G273" i="10"/>
  <c r="G375" i="10"/>
  <c r="G721" i="10"/>
  <c r="G788" i="10"/>
  <c r="G836" i="10"/>
  <c r="G804" i="10"/>
  <c r="G745" i="10"/>
  <c r="G674" i="10"/>
  <c r="G747" i="10"/>
  <c r="G716" i="10"/>
  <c r="G863" i="10"/>
  <c r="G786" i="10"/>
  <c r="G704" i="10"/>
  <c r="G34" i="10"/>
  <c r="G124" i="10"/>
  <c r="G125" i="10"/>
  <c r="G198" i="10"/>
  <c r="G502" i="10"/>
  <c r="G693" i="10"/>
  <c r="G668" i="10"/>
  <c r="G861" i="10"/>
  <c r="G727" i="10"/>
  <c r="G773" i="10"/>
  <c r="G492" i="10"/>
  <c r="G214" i="10"/>
  <c r="G718" i="10"/>
  <c r="G822" i="10"/>
  <c r="G222" i="10"/>
  <c r="G692" i="10"/>
  <c r="G795" i="10"/>
  <c r="G215" i="10"/>
  <c r="G738" i="10"/>
  <c r="G767" i="10"/>
  <c r="G572" i="10"/>
  <c r="G604" i="10"/>
  <c r="G590" i="10"/>
  <c r="G467" i="10"/>
  <c r="G9" i="10"/>
  <c r="G659" i="10"/>
  <c r="G601" i="10"/>
  <c r="G598" i="10"/>
  <c r="G593" i="10"/>
  <c r="G635" i="10"/>
  <c r="G626" i="10"/>
  <c r="G573" i="10"/>
  <c r="G546" i="10"/>
  <c r="G579" i="10"/>
  <c r="G602" i="10"/>
  <c r="G570" i="10"/>
  <c r="G455" i="10"/>
  <c r="G647" i="10"/>
  <c r="G568" i="10"/>
  <c r="G554" i="10"/>
  <c r="G447" i="10"/>
  <c r="G544" i="10"/>
  <c r="G772" i="10"/>
  <c r="G27" i="10"/>
  <c r="G226" i="10"/>
  <c r="G207" i="10"/>
  <c r="G38" i="10"/>
  <c r="G148" i="10"/>
  <c r="G127" i="10"/>
  <c r="G155" i="10"/>
  <c r="G507" i="10"/>
  <c r="G61" i="10"/>
  <c r="G421" i="10"/>
  <c r="G79" i="10"/>
  <c r="G294" i="10"/>
  <c r="G270" i="10"/>
  <c r="G67" i="10"/>
  <c r="G83" i="10"/>
  <c r="G521" i="10"/>
  <c r="G309" i="10"/>
  <c r="G88" i="10"/>
  <c r="G439" i="10"/>
  <c r="G321" i="10"/>
  <c r="G337" i="10"/>
  <c r="G353" i="10"/>
  <c r="G403" i="10"/>
  <c r="G277" i="10"/>
  <c r="G520" i="10"/>
  <c r="G381" i="10"/>
  <c r="G340" i="10"/>
  <c r="G78" i="10"/>
  <c r="G790" i="10"/>
  <c r="G688" i="10"/>
  <c r="G803" i="10"/>
  <c r="G26" i="10"/>
  <c r="G780" i="10"/>
  <c r="G711" i="10"/>
  <c r="G744" i="10"/>
  <c r="G749" i="10"/>
  <c r="G850" i="10"/>
  <c r="G515" i="10"/>
  <c r="G666" i="10"/>
  <c r="G118" i="10"/>
  <c r="G121" i="10"/>
  <c r="G670" i="10"/>
  <c r="G16" i="10"/>
  <c r="G58" i="10"/>
  <c r="G730" i="10"/>
  <c r="G706" i="10"/>
  <c r="G857" i="10"/>
  <c r="G762" i="10"/>
  <c r="G839" i="10"/>
  <c r="G485" i="10"/>
  <c r="G212" i="10"/>
  <c r="G753" i="10"/>
  <c r="G750" i="10"/>
  <c r="G221" i="10"/>
  <c r="G729" i="10"/>
  <c r="G828" i="10"/>
  <c r="G678" i="10"/>
  <c r="G701" i="10"/>
  <c r="G833" i="10"/>
  <c r="G571" i="10"/>
  <c r="G655" i="10"/>
  <c r="G589" i="10"/>
  <c r="G468" i="10"/>
  <c r="G456" i="10"/>
  <c r="G524" i="10"/>
  <c r="G652" i="10"/>
  <c r="G649" i="10"/>
  <c r="G644" i="10"/>
  <c r="G634" i="10"/>
  <c r="G628" i="10"/>
  <c r="G451" i="10"/>
  <c r="G574" i="10"/>
  <c r="G550" i="10"/>
  <c r="G578" i="10"/>
  <c r="G606" i="10"/>
  <c r="G653" i="10"/>
  <c r="G600" i="10"/>
  <c r="G569" i="10"/>
  <c r="G613" i="10"/>
  <c r="G611" i="10"/>
  <c r="G567" i="10"/>
  <c r="G461" i="10"/>
  <c r="G607" i="10"/>
  <c r="G459" i="10"/>
  <c r="G736" i="10"/>
  <c r="G40" i="10"/>
  <c r="G137" i="10"/>
  <c r="G513" i="10"/>
  <c r="G31" i="10"/>
  <c r="G149" i="10"/>
  <c r="G128" i="10"/>
  <c r="G154" i="10"/>
  <c r="G841" i="10"/>
  <c r="G259" i="10"/>
  <c r="G417" i="10"/>
  <c r="G414" i="10"/>
  <c r="G342" i="10"/>
  <c r="G282" i="10"/>
  <c r="G267" i="10"/>
  <c r="G298" i="10"/>
  <c r="G290" i="10"/>
  <c r="G271" i="10"/>
  <c r="G432" i="10"/>
  <c r="G86" i="10"/>
  <c r="G319" i="10"/>
  <c r="G367" i="10"/>
  <c r="G349" i="10"/>
  <c r="G380" i="10"/>
  <c r="G410" i="10"/>
  <c r="G280" i="10"/>
  <c r="G302" i="10"/>
  <c r="G243" i="10"/>
  <c r="G242" i="10"/>
  <c r="G823" i="10"/>
  <c r="G725" i="10"/>
  <c r="G699" i="10"/>
  <c r="G691" i="10"/>
  <c r="G814" i="10"/>
  <c r="G743" i="10"/>
  <c r="G779" i="10"/>
  <c r="G784" i="10"/>
  <c r="G855" i="10"/>
  <c r="G186" i="10"/>
  <c r="G775" i="10"/>
  <c r="G112" i="10"/>
  <c r="G116" i="10"/>
  <c r="G708" i="10"/>
  <c r="G17" i="10"/>
  <c r="G497" i="10"/>
  <c r="G765" i="10"/>
  <c r="G868" i="10"/>
  <c r="G685" i="10"/>
  <c r="G829" i="10"/>
  <c r="G806" i="10"/>
  <c r="G48" i="10"/>
  <c r="G213" i="10"/>
  <c r="G787" i="10"/>
  <c r="G818" i="10"/>
  <c r="G54" i="10"/>
  <c r="G764" i="10"/>
  <c r="G867" i="10"/>
  <c r="G715" i="10"/>
  <c r="G774" i="10"/>
  <c r="G800" i="10"/>
  <c r="G618" i="10"/>
  <c r="G536" i="10"/>
  <c r="G588" i="10"/>
  <c r="G537" i="10"/>
  <c r="G582" i="10"/>
  <c r="G525" i="10"/>
  <c r="G74" i="10"/>
  <c r="G531" i="10"/>
  <c r="G453" i="10"/>
  <c r="G633" i="10"/>
  <c r="G624" i="10"/>
  <c r="G641" i="10"/>
  <c r="G562" i="10"/>
  <c r="G580" i="10"/>
  <c r="G576" i="10"/>
  <c r="G640" i="10"/>
  <c r="G92" i="10"/>
  <c r="G651" i="10"/>
  <c r="G557" i="10"/>
  <c r="G608" i="10"/>
  <c r="G8" i="10"/>
  <c r="G458" i="10"/>
  <c r="G843" i="10"/>
  <c r="G44" i="10"/>
  <c r="G136" i="10"/>
  <c r="G227" i="10"/>
  <c r="G33" i="10"/>
  <c r="G151" i="10"/>
  <c r="G130" i="10"/>
  <c r="G229" i="10"/>
  <c r="G487" i="10"/>
  <c r="G325" i="10"/>
  <c r="G257" i="10"/>
  <c r="G398" i="10"/>
  <c r="G373" i="10"/>
  <c r="G305" i="10"/>
  <c r="G519" i="10"/>
  <c r="G299" i="10"/>
  <c r="G288" i="10"/>
  <c r="G286" i="10"/>
  <c r="G425" i="10"/>
  <c r="G443" i="10"/>
  <c r="G441" i="10"/>
  <c r="G365" i="10"/>
  <c r="G360" i="10"/>
  <c r="G245" i="10"/>
  <c r="G390" i="10"/>
  <c r="G518" i="10"/>
  <c r="G284" i="10"/>
  <c r="G69" i="10"/>
  <c r="G70" i="10"/>
  <c r="G204" i="10"/>
  <c r="G760" i="10"/>
  <c r="G697" i="10"/>
  <c r="G728" i="10"/>
  <c r="G673" i="10"/>
  <c r="G778" i="10"/>
  <c r="G675" i="10"/>
  <c r="G817" i="10"/>
  <c r="G853" i="10"/>
  <c r="G766" i="10"/>
  <c r="G808" i="10"/>
  <c r="G108" i="10"/>
  <c r="G111" i="10"/>
  <c r="G741" i="10"/>
  <c r="G687" i="10"/>
  <c r="G695" i="10"/>
  <c r="G799" i="10"/>
  <c r="G146" i="10"/>
  <c r="G722" i="10"/>
  <c r="G690" i="10"/>
  <c r="G669" i="10"/>
  <c r="G209" i="10"/>
  <c r="G490" i="10"/>
  <c r="G820" i="10"/>
  <c r="G422" i="10"/>
  <c r="G223" i="10"/>
  <c r="G798" i="10"/>
  <c r="G686" i="10"/>
  <c r="G748" i="10"/>
  <c r="G807" i="10"/>
  <c r="G236" i="10"/>
  <c r="G535" i="10"/>
  <c r="G530" i="10"/>
  <c r="G464" i="10"/>
  <c r="G632" i="10"/>
  <c r="G543" i="10"/>
  <c r="G478" i="10"/>
  <c r="G463" i="10"/>
  <c r="G472" i="10"/>
  <c r="G636" i="10"/>
  <c r="G663" i="10"/>
  <c r="G540" i="10"/>
  <c r="G563" i="10"/>
  <c r="G587" i="10"/>
  <c r="G583" i="10"/>
  <c r="G610" i="10"/>
  <c r="G93" i="10"/>
  <c r="G526" i="10"/>
  <c r="G556" i="10"/>
  <c r="G597" i="10"/>
  <c r="G595" i="10"/>
  <c r="G662" i="10"/>
  <c r="G591" i="10"/>
  <c r="G470" i="10"/>
  <c r="G740" i="10"/>
  <c r="G239" i="10"/>
  <c r="G138" i="10"/>
  <c r="G36" i="10"/>
  <c r="G37" i="10"/>
  <c r="G230" i="10"/>
  <c r="G135" i="10"/>
  <c r="G514" i="10"/>
  <c r="G238" i="10"/>
  <c r="G254" i="10"/>
  <c r="G419" i="10"/>
  <c r="G412" i="10"/>
  <c r="G371" i="10"/>
  <c r="G274" i="10"/>
  <c r="G64" i="10"/>
  <c r="G324" i="10"/>
  <c r="G6" i="10"/>
  <c r="G310" i="10"/>
  <c r="G428" i="10"/>
  <c r="G362" i="10"/>
  <c r="G348" i="10"/>
  <c r="G363" i="10"/>
  <c r="G351" i="10"/>
  <c r="G297" i="10"/>
  <c r="G300" i="10"/>
  <c r="G268" i="10"/>
  <c r="G346" i="10"/>
  <c r="G517" i="10"/>
  <c r="G326" i="10"/>
  <c r="G682" i="10"/>
  <c r="G794" i="10"/>
  <c r="G735" i="10"/>
  <c r="G763" i="10"/>
  <c r="G710" i="10"/>
  <c r="G812" i="10"/>
  <c r="G712" i="10"/>
  <c r="G845" i="10"/>
  <c r="G848" i="10"/>
  <c r="G188" i="10"/>
  <c r="G739" i="10"/>
  <c r="G122" i="10"/>
  <c r="G126" i="10"/>
  <c r="G810" i="10"/>
  <c r="G724" i="10"/>
  <c r="G732" i="10"/>
  <c r="G832" i="10"/>
  <c r="G700" i="10"/>
  <c r="G757" i="10"/>
  <c r="G796" i="10"/>
  <c r="G707" i="10"/>
  <c r="G486" i="10"/>
  <c r="G488" i="10"/>
  <c r="G683" i="10"/>
  <c r="G418" i="10"/>
  <c r="G667" i="10"/>
  <c r="G831" i="10"/>
  <c r="G723" i="10"/>
  <c r="G783" i="10"/>
  <c r="G840" i="10"/>
  <c r="G90" i="10"/>
  <c r="G605" i="10"/>
  <c r="G522" i="10"/>
  <c r="G94" i="10"/>
  <c r="G449" i="10"/>
  <c r="G603" i="10"/>
  <c r="G542" i="10"/>
  <c r="G541" i="10"/>
  <c r="G532" i="10"/>
  <c r="G630" i="10"/>
  <c r="G629" i="10"/>
  <c r="G622" i="10"/>
  <c r="G539" i="10"/>
  <c r="G560" i="10"/>
  <c r="G586" i="10"/>
  <c r="G577" i="10"/>
  <c r="G471" i="10"/>
  <c r="G474" i="10"/>
  <c r="G533" i="10"/>
  <c r="G648" i="10"/>
  <c r="G646" i="10"/>
  <c r="G592" i="10"/>
  <c r="G620" i="10"/>
  <c r="G642" i="10"/>
  <c r="G143" i="10"/>
  <c r="G809" i="10"/>
  <c r="G153" i="10"/>
  <c r="G141" i="10"/>
  <c r="G509" i="10"/>
  <c r="G30" i="10"/>
  <c r="G129" i="10"/>
  <c r="G240" i="10"/>
  <c r="G482" i="10"/>
  <c r="G842" i="10"/>
  <c r="G409" i="10"/>
  <c r="G275" i="10"/>
  <c r="G402" i="10"/>
  <c r="G330" i="10"/>
  <c r="G406" i="10"/>
  <c r="G719" i="10"/>
  <c r="G742" i="10"/>
  <c r="G849" i="10"/>
  <c r="G120" i="10"/>
  <c r="G756" i="10"/>
  <c r="G870" i="10"/>
  <c r="G56" i="10"/>
  <c r="G816" i="10"/>
  <c r="G106" i="10"/>
  <c r="G450" i="10"/>
  <c r="G638" i="10"/>
  <c r="G585" i="10"/>
  <c r="G599" i="10"/>
  <c r="G643" i="10"/>
  <c r="G776" i="10"/>
  <c r="G5" i="10"/>
  <c r="G508" i="10"/>
  <c r="G193" i="10"/>
  <c r="G231" i="10"/>
  <c r="G516" i="10"/>
  <c r="G165" i="10"/>
  <c r="G160" i="10"/>
  <c r="G180" i="10"/>
  <c r="G197" i="10"/>
  <c r="G769" i="10"/>
  <c r="G496" i="10"/>
  <c r="G501" i="10"/>
  <c r="G102" i="10"/>
  <c r="G173" i="10"/>
  <c r="G289" i="10"/>
  <c r="G96" i="10"/>
  <c r="G339" i="10"/>
  <c r="G372" i="10"/>
  <c r="G252" i="10"/>
  <c r="G62" i="10"/>
  <c r="G444" i="10"/>
  <c r="G368" i="10"/>
  <c r="G361" i="10"/>
  <c r="G382" i="10"/>
  <c r="G73" i="10"/>
  <c r="G851" i="10"/>
  <c r="G45" i="10"/>
  <c r="G251" i="10"/>
  <c r="G813" i="10"/>
  <c r="G689" i="10"/>
  <c r="G637" i="10"/>
  <c r="G140" i="10"/>
  <c r="G43" i="10"/>
  <c r="G181" i="10"/>
  <c r="G51" i="10"/>
  <c r="G258" i="10"/>
  <c r="G388" i="10"/>
  <c r="G312" i="10"/>
  <c r="G858" i="10"/>
  <c r="G389" i="10"/>
  <c r="G316" i="10"/>
  <c r="G379" i="10"/>
  <c r="G445" i="10"/>
  <c r="G385" i="10"/>
  <c r="G754" i="10"/>
  <c r="G777" i="10"/>
  <c r="G847" i="10"/>
  <c r="G480" i="10"/>
  <c r="G46" i="10"/>
  <c r="G865" i="10"/>
  <c r="G50" i="10"/>
  <c r="G709" i="10"/>
  <c r="G559" i="10"/>
  <c r="G616" i="10"/>
  <c r="G584" i="10"/>
  <c r="G639" i="10"/>
  <c r="G650" i="10"/>
  <c r="G466" i="10"/>
  <c r="G4" i="10"/>
  <c r="G225" i="10"/>
  <c r="G505" i="10"/>
  <c r="G194" i="10"/>
  <c r="G237" i="10"/>
  <c r="G39" i="10"/>
  <c r="G167" i="10"/>
  <c r="G161" i="10"/>
  <c r="G13" i="10"/>
  <c r="G24" i="10"/>
  <c r="G835" i="10"/>
  <c r="G495" i="10"/>
  <c r="G49" i="10"/>
  <c r="G98" i="10"/>
  <c r="G175" i="10"/>
  <c r="G63" i="10"/>
  <c r="G11" i="10"/>
  <c r="G334" i="10"/>
  <c r="G370" i="10"/>
  <c r="G393" i="10"/>
  <c r="G426" i="10"/>
  <c r="G322" i="10"/>
  <c r="G366" i="10"/>
  <c r="G318" i="10"/>
  <c r="G303" i="10"/>
  <c r="G327" i="10"/>
  <c r="G856" i="10"/>
  <c r="G357" i="10"/>
  <c r="G203" i="10"/>
  <c r="G493" i="10"/>
  <c r="G248" i="10"/>
  <c r="G612" i="10"/>
  <c r="G185" i="10"/>
  <c r="G163" i="10"/>
  <c r="G782" i="10"/>
  <c r="G95" i="10"/>
  <c r="G446" i="10"/>
  <c r="G416" i="10"/>
  <c r="G359" i="10"/>
  <c r="G423" i="10"/>
  <c r="G335" i="10"/>
  <c r="G404" i="10"/>
  <c r="G827" i="10"/>
  <c r="G746" i="10"/>
  <c r="G665" i="10"/>
  <c r="G206" i="10"/>
  <c r="G147" i="10"/>
  <c r="G211" i="10"/>
  <c r="G705" i="10"/>
  <c r="G664" i="10"/>
  <c r="G462" i="10"/>
  <c r="G545" i="10"/>
  <c r="G549" i="10"/>
  <c r="G473" i="10"/>
  <c r="G660" i="10"/>
  <c r="G152" i="10"/>
  <c r="G131" i="10"/>
  <c r="G184" i="10"/>
  <c r="G196" i="10"/>
  <c r="G234" i="10"/>
  <c r="G510" i="10"/>
  <c r="G170" i="10"/>
  <c r="G162" i="10"/>
  <c r="G182" i="10"/>
  <c r="G680" i="10"/>
  <c r="G802" i="10"/>
  <c r="G219" i="10"/>
  <c r="G815" i="10"/>
  <c r="G91" i="10"/>
  <c r="G176" i="10"/>
  <c r="G260" i="10"/>
  <c r="G104" i="10"/>
  <c r="G263" i="10"/>
  <c r="G308" i="10"/>
  <c r="G329" i="10"/>
  <c r="G429" i="10"/>
  <c r="G320" i="10"/>
  <c r="G364" i="10"/>
  <c r="G391" i="10"/>
  <c r="G285" i="10"/>
  <c r="G265" i="10"/>
  <c r="G854" i="10"/>
  <c r="G394" i="10"/>
  <c r="G345" i="10"/>
  <c r="G791" i="10"/>
  <c r="G551" i="10"/>
  <c r="G594" i="10"/>
  <c r="G233" i="10"/>
  <c r="G241" i="10"/>
  <c r="G59" i="10"/>
  <c r="G171" i="10"/>
  <c r="G306" i="10"/>
  <c r="G336" i="10"/>
  <c r="G481" i="10"/>
  <c r="G338" i="10"/>
  <c r="G395" i="10"/>
  <c r="G437" i="10"/>
  <c r="G75" i="10"/>
  <c r="G81" i="10"/>
  <c r="G734" i="10"/>
  <c r="G781" i="10"/>
  <c r="G703" i="10"/>
  <c r="G21" i="10"/>
  <c r="G145" i="10"/>
  <c r="G491" i="10"/>
  <c r="G224" i="10"/>
  <c r="G702" i="10"/>
  <c r="G475" i="10"/>
  <c r="G614" i="10"/>
  <c r="G621" i="10"/>
  <c r="G534" i="10"/>
  <c r="G10" i="10"/>
  <c r="G566" i="10"/>
  <c r="G503" i="10"/>
  <c r="G133" i="10"/>
  <c r="G183" i="10"/>
  <c r="G192" i="10"/>
  <c r="G235" i="10"/>
  <c r="G200" i="10"/>
  <c r="G168" i="10"/>
  <c r="G159" i="10"/>
  <c r="G179" i="10"/>
  <c r="G717" i="10"/>
  <c r="G696" i="10"/>
  <c r="G57" i="10"/>
  <c r="G714" i="10"/>
  <c r="G107" i="10"/>
  <c r="G177" i="10"/>
  <c r="G255" i="10"/>
  <c r="G99" i="10"/>
  <c r="G413" i="10"/>
  <c r="G283" i="10"/>
  <c r="G408" i="10"/>
  <c r="G424" i="10"/>
  <c r="G313" i="10"/>
  <c r="G331" i="10"/>
  <c r="G301" i="10"/>
  <c r="G378" i="10"/>
  <c r="G47" i="10"/>
  <c r="G862" i="10"/>
  <c r="G396" i="10"/>
  <c r="G771" i="10"/>
  <c r="G759" i="10"/>
  <c r="G477" i="10"/>
  <c r="G553" i="10"/>
  <c r="G195" i="10"/>
  <c r="G169" i="10"/>
  <c r="G751" i="10"/>
  <c r="G101" i="10"/>
  <c r="G397" i="10"/>
  <c r="G438" i="10"/>
  <c r="G71" i="10"/>
  <c r="G369" i="10"/>
  <c r="G323" i="10"/>
  <c r="G343" i="10"/>
  <c r="G281" i="10"/>
  <c r="G264" i="10"/>
  <c r="G797" i="10"/>
  <c r="G852" i="10"/>
  <c r="G119" i="10"/>
  <c r="G768" i="10"/>
  <c r="G217" i="10"/>
  <c r="G720" i="10"/>
  <c r="G758" i="10"/>
  <c r="G656" i="10"/>
  <c r="G654" i="10"/>
  <c r="G627" i="10"/>
  <c r="G561" i="10"/>
  <c r="G469" i="10"/>
  <c r="G527" i="10"/>
  <c r="G805" i="10"/>
  <c r="G232" i="10"/>
  <c r="G205" i="10"/>
  <c r="G190" i="10"/>
  <c r="G228" i="10"/>
  <c r="G844" i="10"/>
  <c r="G3" i="10"/>
  <c r="G157" i="10"/>
  <c r="G19" i="10"/>
  <c r="G23" i="10"/>
  <c r="G819" i="10"/>
  <c r="G55" i="10"/>
  <c r="G220" i="10"/>
  <c r="G420" i="10"/>
  <c r="G12" i="10"/>
  <c r="G174" i="10"/>
  <c r="G187" i="10"/>
  <c r="G103" i="10"/>
  <c r="G295" i="10"/>
  <c r="G250" i="10"/>
  <c r="G82" i="10"/>
  <c r="G434" i="10"/>
  <c r="G431" i="10"/>
  <c r="G354" i="10"/>
  <c r="G386" i="10"/>
  <c r="G401" i="10"/>
  <c r="G864" i="10"/>
  <c r="G358" i="10"/>
  <c r="G307" i="10"/>
  <c r="G328" i="10"/>
  <c r="G344" i="10"/>
  <c r="G347" i="10"/>
  <c r="G66" i="10"/>
  <c r="G830" i="10"/>
  <c r="G846" i="10"/>
  <c r="G113" i="10"/>
  <c r="G834" i="10"/>
  <c r="G218" i="10"/>
  <c r="G755" i="10"/>
  <c r="G792" i="10"/>
  <c r="G315" i="10"/>
  <c r="G793" i="10"/>
  <c r="G609" i="10"/>
  <c r="G552" i="10"/>
  <c r="G512" i="10"/>
  <c r="G18" i="10"/>
  <c r="G53" i="10"/>
  <c r="G20" i="10"/>
  <c r="G287" i="10"/>
  <c r="G269" i="10"/>
  <c r="G506" i="10"/>
  <c r="G617" i="10"/>
  <c r="G105" i="10"/>
  <c r="G411" i="10"/>
  <c r="G824" i="10"/>
  <c r="G625" i="10"/>
  <c r="G838" i="10"/>
  <c r="G28" i="10"/>
  <c r="G191" i="10"/>
  <c r="G499" i="10"/>
  <c r="G100" i="10"/>
  <c r="G80" i="10"/>
  <c r="G384" i="10"/>
  <c r="G645" i="10"/>
  <c r="G97" i="10"/>
  <c r="G352" i="10"/>
  <c r="G452" i="10"/>
  <c r="G733" i="10"/>
  <c r="G77" i="10"/>
  <c r="G427" i="10"/>
  <c r="G210" i="10"/>
  <c r="G548" i="10"/>
  <c r="G139" i="10"/>
  <c r="G42" i="10"/>
  <c r="G22" i="10"/>
  <c r="G677" i="10"/>
  <c r="G2" i="10"/>
  <c r="G436" i="10"/>
  <c r="G266" i="10"/>
  <c r="G547" i="10"/>
  <c r="G785" i="10"/>
  <c r="G7" i="10"/>
  <c r="G837" i="10"/>
  <c r="G164" i="10"/>
  <c r="G860" i="10"/>
  <c r="G41" i="10"/>
  <c r="G291" i="10"/>
  <c r="G726" i="10"/>
  <c r="G631" i="10"/>
  <c r="G511" i="10"/>
  <c r="G199" i="10"/>
  <c r="G25" i="10"/>
  <c r="G84" i="10"/>
  <c r="G253" i="10"/>
  <c r="G440" i="10"/>
  <c r="G376" i="10"/>
  <c r="G60" i="10"/>
  <c r="G166" i="10"/>
  <c r="G442" i="10"/>
  <c r="G208" i="10"/>
  <c r="G374" i="10"/>
  <c r="G276" i="10"/>
  <c r="G448" i="10"/>
  <c r="G14" i="10"/>
  <c r="G156" i="10"/>
  <c r="G498" i="10"/>
  <c r="G172" i="10"/>
  <c r="G317" i="10"/>
  <c r="G356" i="10"/>
  <c r="G87" i="10"/>
  <c r="G150" i="10"/>
  <c r="G528" i="10"/>
  <c r="G476" i="10"/>
  <c r="G189" i="10"/>
  <c r="G158" i="10"/>
  <c r="G500" i="10"/>
  <c r="G178" i="10"/>
  <c r="G65" i="10"/>
  <c r="G350" i="10"/>
  <c r="AC465" i="3"/>
  <c r="M361" i="3"/>
  <c r="AI455" i="3"/>
  <c r="S362" i="3"/>
  <c r="F249" i="3"/>
  <c r="F104" i="3"/>
  <c r="E26" i="19" s="1"/>
  <c r="F241" i="3"/>
  <c r="E284" i="3"/>
  <c r="F175" i="3"/>
  <c r="E184" i="3"/>
  <c r="E193" i="3" s="1"/>
  <c r="E38" i="19" s="1"/>
  <c r="F376" i="3"/>
  <c r="F162" i="3"/>
  <c r="E32" i="19" s="1"/>
  <c r="F184" i="3"/>
  <c r="F303" i="3"/>
  <c r="F308" i="3" s="1"/>
  <c r="F313" i="3" s="1"/>
  <c r="E56" i="19" s="1"/>
  <c r="Z465" i="3"/>
  <c r="F152" i="3"/>
  <c r="F228" i="3"/>
  <c r="F96" i="3"/>
  <c r="E22" i="19" s="1"/>
  <c r="F178" i="3"/>
  <c r="E249" i="3"/>
  <c r="F394" i="3"/>
  <c r="F265" i="3"/>
  <c r="F286" i="3" s="1"/>
  <c r="X232" i="5"/>
  <c r="X423" i="5"/>
  <c r="X60" i="5"/>
  <c r="X156" i="5"/>
  <c r="X199" i="5"/>
  <c r="X215" i="5"/>
  <c r="X434" i="5"/>
  <c r="X55" i="5"/>
  <c r="T441" i="5"/>
  <c r="X441" i="5"/>
  <c r="T475" i="5"/>
  <c r="X475" i="5"/>
  <c r="X425" i="5"/>
  <c r="X416" i="5"/>
  <c r="X374" i="5"/>
  <c r="W461" i="5"/>
  <c r="X461" i="5"/>
  <c r="X431" i="5"/>
  <c r="X362" i="5"/>
  <c r="X294" i="5"/>
  <c r="X285" i="5"/>
  <c r="W466" i="5"/>
  <c r="X466" i="5"/>
  <c r="X306" i="5"/>
  <c r="V476" i="5"/>
  <c r="X476" i="5"/>
  <c r="X348" i="5"/>
  <c r="X322" i="5"/>
  <c r="X15" i="5"/>
  <c r="X80" i="5"/>
  <c r="X315" i="5"/>
  <c r="X295" i="5"/>
  <c r="X277" i="5"/>
  <c r="X253" i="5"/>
  <c r="V511" i="5"/>
  <c r="X511" i="5"/>
  <c r="V519" i="5"/>
  <c r="X519" i="5"/>
  <c r="V527" i="5"/>
  <c r="X527" i="5"/>
  <c r="U535" i="5"/>
  <c r="X535" i="5"/>
  <c r="U543" i="5"/>
  <c r="X543" i="5"/>
  <c r="W559" i="5"/>
  <c r="X559" i="5"/>
  <c r="U575" i="5"/>
  <c r="X575" i="5"/>
  <c r="W583" i="5"/>
  <c r="X583" i="5"/>
  <c r="U591" i="5"/>
  <c r="X591" i="5"/>
  <c r="V599" i="5"/>
  <c r="X599" i="5"/>
  <c r="V602" i="5"/>
  <c r="X602" i="5"/>
  <c r="T610" i="5"/>
  <c r="X610" i="5"/>
  <c r="T618" i="5"/>
  <c r="X618" i="5"/>
  <c r="V626" i="5"/>
  <c r="X626" i="5"/>
  <c r="V634" i="5"/>
  <c r="X634" i="5"/>
  <c r="V642" i="5"/>
  <c r="X642" i="5"/>
  <c r="V650" i="5"/>
  <c r="X650" i="5"/>
  <c r="V658" i="5"/>
  <c r="X658" i="5"/>
  <c r="W666" i="5"/>
  <c r="X666" i="5"/>
  <c r="W674" i="5"/>
  <c r="X674" i="5"/>
  <c r="V682" i="5"/>
  <c r="X682" i="5"/>
  <c r="V690" i="5"/>
  <c r="X690" i="5"/>
  <c r="X206" i="5"/>
  <c r="X39" i="5"/>
  <c r="X251" i="5"/>
  <c r="X367" i="5"/>
  <c r="U472" i="5"/>
  <c r="X472" i="5"/>
  <c r="X155" i="5"/>
  <c r="X159" i="5"/>
  <c r="X225" i="5"/>
  <c r="W498" i="5"/>
  <c r="X498" i="5"/>
  <c r="X21" i="5"/>
  <c r="X37" i="5"/>
  <c r="X8" i="5"/>
  <c r="X114" i="5"/>
  <c r="X128" i="5"/>
  <c r="X138" i="5"/>
  <c r="X146" i="5"/>
  <c r="X186" i="5"/>
  <c r="X257" i="5"/>
  <c r="X281" i="5"/>
  <c r="X365" i="5"/>
  <c r="W456" i="5"/>
  <c r="X456" i="5"/>
  <c r="X43" i="5"/>
  <c r="X70" i="5"/>
  <c r="X132" i="5"/>
  <c r="X230" i="5"/>
  <c r="T447" i="5"/>
  <c r="X447" i="5"/>
  <c r="X149" i="5"/>
  <c r="X166" i="5"/>
  <c r="X190" i="5"/>
  <c r="X209" i="5"/>
  <c r="X243" i="5"/>
  <c r="X63" i="5"/>
  <c r="W453" i="5"/>
  <c r="X453" i="5"/>
  <c r="X269" i="5"/>
  <c r="X379" i="5"/>
  <c r="W477" i="5"/>
  <c r="X477" i="5"/>
  <c r="X437" i="5"/>
  <c r="X418" i="5"/>
  <c r="W485" i="5"/>
  <c r="X485" i="5"/>
  <c r="X377" i="5"/>
  <c r="X336" i="5"/>
  <c r="X380" i="5"/>
  <c r="V470" i="5"/>
  <c r="X470" i="5"/>
  <c r="X415" i="5"/>
  <c r="X333" i="5"/>
  <c r="X347" i="5"/>
  <c r="X279" i="5"/>
  <c r="X311" i="5"/>
  <c r="X392" i="5"/>
  <c r="X260" i="5"/>
  <c r="W524" i="5"/>
  <c r="X524" i="5"/>
  <c r="W532" i="5"/>
  <c r="X532" i="5"/>
  <c r="U540" i="5"/>
  <c r="X540" i="5"/>
  <c r="U548" i="5"/>
  <c r="X548" i="5"/>
  <c r="T556" i="5"/>
  <c r="X556" i="5"/>
  <c r="T564" i="5"/>
  <c r="X564" i="5"/>
  <c r="T580" i="5"/>
  <c r="X580" i="5"/>
  <c r="T588" i="5"/>
  <c r="X588" i="5"/>
  <c r="W596" i="5"/>
  <c r="X596" i="5"/>
  <c r="T623" i="5"/>
  <c r="X623" i="5"/>
  <c r="T631" i="5"/>
  <c r="X631" i="5"/>
  <c r="V639" i="5"/>
  <c r="X639" i="5"/>
  <c r="V647" i="5"/>
  <c r="X647" i="5"/>
  <c r="V655" i="5"/>
  <c r="X655" i="5"/>
  <c r="U663" i="5"/>
  <c r="X663" i="5"/>
  <c r="U679" i="5"/>
  <c r="X679" i="5"/>
  <c r="U687" i="5"/>
  <c r="X687" i="5"/>
  <c r="U695" i="5"/>
  <c r="X695" i="5"/>
  <c r="X102" i="5"/>
  <c r="X117" i="5"/>
  <c r="X148" i="5"/>
  <c r="X109" i="5"/>
  <c r="X53" i="5"/>
  <c r="X198" i="5"/>
  <c r="X74" i="5"/>
  <c r="X3" i="5"/>
  <c r="X125" i="5"/>
  <c r="X134" i="5"/>
  <c r="X143" i="5"/>
  <c r="X183" i="5"/>
  <c r="X195" i="5"/>
  <c r="X271" i="5"/>
  <c r="X64" i="5"/>
  <c r="X163" i="5"/>
  <c r="X255" i="5"/>
  <c r="X399" i="5"/>
  <c r="U483" i="5"/>
  <c r="X483" i="5"/>
  <c r="X160" i="5"/>
  <c r="X176" i="5"/>
  <c r="X203" i="5"/>
  <c r="T442" i="5"/>
  <c r="X442" i="5"/>
  <c r="T449" i="5"/>
  <c r="X449" i="5"/>
  <c r="T452" i="5"/>
  <c r="X452" i="5"/>
  <c r="X204" i="5"/>
  <c r="X36" i="5"/>
  <c r="X335" i="5"/>
  <c r="X297" i="5"/>
  <c r="X302" i="5"/>
  <c r="X386" i="5"/>
  <c r="X312" i="5"/>
  <c r="X337" i="5"/>
  <c r="X316" i="5"/>
  <c r="X29" i="5"/>
  <c r="X342" i="5"/>
  <c r="X280" i="5"/>
  <c r="X314" i="5"/>
  <c r="X34" i="5"/>
  <c r="X84" i="5"/>
  <c r="X293" i="5"/>
  <c r="W513" i="5"/>
  <c r="X513" i="5"/>
  <c r="W521" i="5"/>
  <c r="X521" i="5"/>
  <c r="V529" i="5"/>
  <c r="X529" i="5"/>
  <c r="W537" i="5"/>
  <c r="X537" i="5"/>
  <c r="T545" i="5"/>
  <c r="X545" i="5"/>
  <c r="W553" i="5"/>
  <c r="X553" i="5"/>
  <c r="U569" i="5"/>
  <c r="X569" i="5"/>
  <c r="U577" i="5"/>
  <c r="X577" i="5"/>
  <c r="T585" i="5"/>
  <c r="X585" i="5"/>
  <c r="U593" i="5"/>
  <c r="X593" i="5"/>
  <c r="W604" i="5"/>
  <c r="X604" i="5"/>
  <c r="T612" i="5"/>
  <c r="X612" i="5"/>
  <c r="W628" i="5"/>
  <c r="X628" i="5"/>
  <c r="V652" i="5"/>
  <c r="X652" i="5"/>
  <c r="W660" i="5"/>
  <c r="X660" i="5"/>
  <c r="V668" i="5"/>
  <c r="X668" i="5"/>
  <c r="W676" i="5"/>
  <c r="X676" i="5"/>
  <c r="W684" i="5"/>
  <c r="X684" i="5"/>
  <c r="W692" i="5"/>
  <c r="X692" i="5"/>
  <c r="X16" i="5"/>
  <c r="X76" i="5"/>
  <c r="X113" i="5"/>
  <c r="X78" i="5"/>
  <c r="X48" i="5"/>
  <c r="X116" i="5"/>
  <c r="X421" i="5"/>
  <c r="X77" i="5"/>
  <c r="X249" i="5"/>
  <c r="U443" i="5"/>
  <c r="X443" i="5"/>
  <c r="X369" i="5"/>
  <c r="X409" i="5"/>
  <c r="T489" i="5"/>
  <c r="X489" i="5"/>
  <c r="X357" i="5"/>
  <c r="X44" i="5"/>
  <c r="X428" i="5"/>
  <c r="X350" i="5"/>
  <c r="U481" i="5"/>
  <c r="X481" i="5"/>
  <c r="X324" i="5"/>
  <c r="X303" i="5"/>
  <c r="X52" i="5"/>
  <c r="X81" i="5"/>
  <c r="X274" i="5"/>
  <c r="X250" i="5"/>
  <c r="X259" i="5"/>
  <c r="W518" i="5"/>
  <c r="X518" i="5"/>
  <c r="V526" i="5"/>
  <c r="X526" i="5"/>
  <c r="T534" i="5"/>
  <c r="X534" i="5"/>
  <c r="T542" i="5"/>
  <c r="X542" i="5"/>
  <c r="T550" i="5"/>
  <c r="X550" i="5"/>
  <c r="T558" i="5"/>
  <c r="X558" i="5"/>
  <c r="V566" i="5"/>
  <c r="X566" i="5"/>
  <c r="T574" i="5"/>
  <c r="X574" i="5"/>
  <c r="T590" i="5"/>
  <c r="X590" i="5"/>
  <c r="W601" i="5"/>
  <c r="X601" i="5"/>
  <c r="W609" i="5"/>
  <c r="X609" i="5"/>
  <c r="V625" i="5"/>
  <c r="X625" i="5"/>
  <c r="V633" i="5"/>
  <c r="X633" i="5"/>
  <c r="V641" i="5"/>
  <c r="X641" i="5"/>
  <c r="W649" i="5"/>
  <c r="X649" i="5"/>
  <c r="W657" i="5"/>
  <c r="X657" i="5"/>
  <c r="V681" i="5"/>
  <c r="X681" i="5"/>
  <c r="W689" i="5"/>
  <c r="X689" i="5"/>
  <c r="X165" i="5"/>
  <c r="X50" i="5"/>
  <c r="T491" i="5"/>
  <c r="X491" i="5"/>
  <c r="X101" i="5"/>
  <c r="X140" i="5"/>
  <c r="X158" i="5"/>
  <c r="X188" i="5"/>
  <c r="X404" i="5"/>
  <c r="X352" i="5"/>
  <c r="U479" i="5"/>
  <c r="X479" i="5"/>
  <c r="X12" i="5"/>
  <c r="X145" i="5"/>
  <c r="X185" i="5"/>
  <c r="X252" i="5"/>
  <c r="X273" i="5"/>
  <c r="X356" i="5"/>
  <c r="U455" i="5"/>
  <c r="X455" i="5"/>
  <c r="X38" i="5"/>
  <c r="X67" i="5"/>
  <c r="X124" i="5"/>
  <c r="X180" i="5"/>
  <c r="X270" i="5"/>
  <c r="W444" i="5"/>
  <c r="X444" i="5"/>
  <c r="X24" i="5"/>
  <c r="X164" i="5"/>
  <c r="X207" i="5"/>
  <c r="X68" i="5"/>
  <c r="X412" i="5"/>
  <c r="X83" i="5"/>
  <c r="T474" i="5"/>
  <c r="X474" i="5"/>
  <c r="T446" i="5"/>
  <c r="X446" i="5"/>
  <c r="T445" i="5"/>
  <c r="X445" i="5"/>
  <c r="X426" i="5"/>
  <c r="X118" i="5"/>
  <c r="U450" i="5"/>
  <c r="X450" i="5"/>
  <c r="X363" i="5"/>
  <c r="X339" i="5"/>
  <c r="U468" i="5"/>
  <c r="X468" i="5"/>
  <c r="X313" i="5"/>
  <c r="X86" i="5"/>
  <c r="X395" i="5"/>
  <c r="X287" i="5"/>
  <c r="X284" i="5"/>
  <c r="X310" i="5"/>
  <c r="X18" i="5"/>
  <c r="X258" i="5"/>
  <c r="X256" i="5"/>
  <c r="U523" i="5"/>
  <c r="X523" i="5"/>
  <c r="W531" i="5"/>
  <c r="X531" i="5"/>
  <c r="U539" i="5"/>
  <c r="X539" i="5"/>
  <c r="U563" i="5"/>
  <c r="X563" i="5"/>
  <c r="V587" i="5"/>
  <c r="X587" i="5"/>
  <c r="U606" i="5"/>
  <c r="X606" i="5"/>
  <c r="W614" i="5"/>
  <c r="X614" i="5"/>
  <c r="V622" i="5"/>
  <c r="X622" i="5"/>
  <c r="V630" i="5"/>
  <c r="X630" i="5"/>
  <c r="V638" i="5"/>
  <c r="X638" i="5"/>
  <c r="W646" i="5"/>
  <c r="X646" i="5"/>
  <c r="V654" i="5"/>
  <c r="X654" i="5"/>
  <c r="V662" i="5"/>
  <c r="X662" i="5"/>
  <c r="W670" i="5"/>
  <c r="X670" i="5"/>
  <c r="V678" i="5"/>
  <c r="X678" i="5"/>
  <c r="W686" i="5"/>
  <c r="X686" i="5"/>
  <c r="W694" i="5"/>
  <c r="X694" i="5"/>
  <c r="X401" i="5"/>
  <c r="X85" i="5"/>
  <c r="X141" i="5"/>
  <c r="X179" i="5"/>
  <c r="X191" i="5"/>
  <c r="X177" i="5"/>
  <c r="X154" i="5"/>
  <c r="X242" i="5"/>
  <c r="X202" i="5"/>
  <c r="X214" i="5"/>
  <c r="X30" i="5"/>
  <c r="X57" i="5"/>
  <c r="T499" i="5"/>
  <c r="X499" i="5"/>
  <c r="X46" i="5"/>
  <c r="X340" i="5"/>
  <c r="T460" i="5"/>
  <c r="X460" i="5"/>
  <c r="X153" i="5"/>
  <c r="X170" i="5"/>
  <c r="X197" i="5"/>
  <c r="X213" i="5"/>
  <c r="X436" i="5"/>
  <c r="U473" i="5"/>
  <c r="X473" i="5"/>
  <c r="X430" i="5"/>
  <c r="X361" i="5"/>
  <c r="X196" i="5"/>
  <c r="X171" i="5"/>
  <c r="X110" i="5"/>
  <c r="X49" i="5"/>
  <c r="X91" i="5"/>
  <c r="X222" i="5"/>
  <c r="X210" i="5"/>
  <c r="X41" i="5"/>
  <c r="X71" i="5"/>
  <c r="X137" i="5"/>
  <c r="X88" i="5"/>
  <c r="X107" i="5"/>
  <c r="X136" i="5"/>
  <c r="X175" i="5"/>
  <c r="X220" i="5"/>
  <c r="X189" i="5"/>
  <c r="X79" i="5"/>
  <c r="T502" i="5"/>
  <c r="X502" i="5"/>
  <c r="X19" i="5"/>
  <c r="X59" i="5"/>
  <c r="X208" i="5"/>
  <c r="X96" i="5"/>
  <c r="T508" i="5"/>
  <c r="X508" i="5"/>
  <c r="X119" i="5"/>
  <c r="X2" i="5"/>
  <c r="T493" i="5"/>
  <c r="X493" i="5"/>
  <c r="X104" i="5"/>
  <c r="X121" i="5"/>
  <c r="X133" i="5"/>
  <c r="X142" i="5"/>
  <c r="X182" i="5"/>
  <c r="X268" i="5"/>
  <c r="X326" i="5"/>
  <c r="X433" i="5"/>
  <c r="X6" i="5"/>
  <c r="X62" i="5"/>
  <c r="X111" i="5"/>
  <c r="X161" i="5"/>
  <c r="X254" i="5"/>
  <c r="U480" i="5"/>
  <c r="X480" i="5"/>
  <c r="X157" i="5"/>
  <c r="X174" i="5"/>
  <c r="X217" i="5"/>
  <c r="X368" i="5"/>
  <c r="X28" i="5"/>
  <c r="X351" i="5"/>
  <c r="X420" i="5"/>
  <c r="X429" i="5"/>
  <c r="X376" i="5"/>
  <c r="X329" i="5"/>
  <c r="X387" i="5"/>
  <c r="X323" i="5"/>
  <c r="T464" i="5"/>
  <c r="X464" i="5"/>
  <c r="X27" i="5"/>
  <c r="X22" i="5"/>
  <c r="X360" i="5"/>
  <c r="X45" i="5"/>
  <c r="X290" i="5"/>
  <c r="X391" i="5"/>
  <c r="X304" i="5"/>
  <c r="X267" i="5"/>
  <c r="X75" i="5"/>
  <c r="W512" i="5"/>
  <c r="X512" i="5"/>
  <c r="V520" i="5"/>
  <c r="X520" i="5"/>
  <c r="T528" i="5"/>
  <c r="X528" i="5"/>
  <c r="V552" i="5"/>
  <c r="X552" i="5"/>
  <c r="T560" i="5"/>
  <c r="X560" i="5"/>
  <c r="T568" i="5"/>
  <c r="X568" i="5"/>
  <c r="T576" i="5"/>
  <c r="X576" i="5"/>
  <c r="U584" i="5"/>
  <c r="X584" i="5"/>
  <c r="T592" i="5"/>
  <c r="X592" i="5"/>
  <c r="T600" i="5"/>
  <c r="X600" i="5"/>
  <c r="T611" i="5"/>
  <c r="X611" i="5"/>
  <c r="V627" i="5"/>
  <c r="X627" i="5"/>
  <c r="V643" i="5"/>
  <c r="X643" i="5"/>
  <c r="V651" i="5"/>
  <c r="X651" i="5"/>
  <c r="V659" i="5"/>
  <c r="X659" i="5"/>
  <c r="V667" i="5"/>
  <c r="X667" i="5"/>
  <c r="U683" i="5"/>
  <c r="X683" i="5"/>
  <c r="U691" i="5"/>
  <c r="X691" i="5"/>
  <c r="X168" i="5"/>
  <c r="X422" i="5"/>
  <c r="X331" i="5"/>
  <c r="T454" i="5"/>
  <c r="X454" i="5"/>
  <c r="X400" i="5"/>
  <c r="X275" i="5"/>
  <c r="X432" i="5"/>
  <c r="T490" i="5"/>
  <c r="X490" i="5"/>
  <c r="X388" i="5"/>
  <c r="X405" i="5"/>
  <c r="X325" i="5"/>
  <c r="X390" i="5"/>
  <c r="W510" i="5"/>
  <c r="X510" i="5"/>
  <c r="X393" i="5"/>
  <c r="X296" i="5"/>
  <c r="X23" i="5"/>
  <c r="X247" i="5"/>
  <c r="X5" i="5"/>
  <c r="W533" i="5"/>
  <c r="X533" i="5"/>
  <c r="W549" i="5"/>
  <c r="X549" i="5"/>
  <c r="W565" i="5"/>
  <c r="X565" i="5"/>
  <c r="U589" i="5"/>
  <c r="X589" i="5"/>
  <c r="V624" i="5"/>
  <c r="X624" i="5"/>
  <c r="V632" i="5"/>
  <c r="X632" i="5"/>
  <c r="V640" i="5"/>
  <c r="X640" i="5"/>
  <c r="U648" i="5"/>
  <c r="X648" i="5"/>
  <c r="V656" i="5"/>
  <c r="X656" i="5"/>
  <c r="W664" i="5"/>
  <c r="X664" i="5"/>
  <c r="W672" i="5"/>
  <c r="X672" i="5"/>
  <c r="V680" i="5"/>
  <c r="X680" i="5"/>
  <c r="V688" i="5"/>
  <c r="X688" i="5"/>
  <c r="V696" i="5"/>
  <c r="X696" i="5"/>
  <c r="X90" i="5"/>
  <c r="X216" i="5"/>
  <c r="X244" i="5"/>
  <c r="U495" i="5"/>
  <c r="X495" i="5"/>
  <c r="X69" i="5"/>
  <c r="U497" i="5"/>
  <c r="X497" i="5"/>
  <c r="X100" i="5"/>
  <c r="X42" i="5"/>
  <c r="X309" i="5"/>
  <c r="X97" i="5"/>
  <c r="X115" i="5"/>
  <c r="X129" i="5"/>
  <c r="X139" i="5"/>
  <c r="X187" i="5"/>
  <c r="X263" i="5"/>
  <c r="X398" i="5"/>
  <c r="U457" i="5"/>
  <c r="X457" i="5"/>
  <c r="X248" i="5"/>
  <c r="V459" i="5"/>
  <c r="X459" i="5"/>
  <c r="X151" i="5"/>
  <c r="X193" i="5"/>
  <c r="X211" i="5"/>
  <c r="X402" i="5"/>
  <c r="X89" i="5"/>
  <c r="X223" i="5"/>
  <c r="X14" i="5"/>
  <c r="T505" i="5"/>
  <c r="X505" i="5"/>
  <c r="X228" i="5"/>
  <c r="X33" i="5"/>
  <c r="X355" i="5"/>
  <c r="X236" i="5"/>
  <c r="U500" i="5"/>
  <c r="X500" i="5"/>
  <c r="X103" i="5"/>
  <c r="X120" i="5"/>
  <c r="X4" i="5"/>
  <c r="X106" i="5"/>
  <c r="X135" i="5"/>
  <c r="X144" i="5"/>
  <c r="X184" i="5"/>
  <c r="X246" i="5"/>
  <c r="X272" i="5"/>
  <c r="X353" i="5"/>
  <c r="U448" i="5"/>
  <c r="X448" i="5"/>
  <c r="X66" i="5"/>
  <c r="X123" i="5"/>
  <c r="X173" i="5"/>
  <c r="X261" i="5"/>
  <c r="X435" i="5"/>
  <c r="X20" i="5"/>
  <c r="X162" i="5"/>
  <c r="X178" i="5"/>
  <c r="X205" i="5"/>
  <c r="X278" i="5"/>
  <c r="U451" i="5"/>
  <c r="X451" i="5"/>
  <c r="X40" i="5"/>
  <c r="X381" i="5"/>
  <c r="X328" i="5"/>
  <c r="T487" i="5"/>
  <c r="X487" i="5"/>
  <c r="X414" i="5"/>
  <c r="X345" i="5"/>
  <c r="X286" i="5"/>
  <c r="X419" i="5"/>
  <c r="X359" i="5"/>
  <c r="T462" i="5"/>
  <c r="X462" i="5"/>
  <c r="X371" i="5"/>
  <c r="X394" i="5"/>
  <c r="T463" i="5"/>
  <c r="X463" i="5"/>
  <c r="X389" i="5"/>
  <c r="X330" i="5"/>
  <c r="X301" i="5"/>
  <c r="X291" i="5"/>
  <c r="X305" i="5"/>
  <c r="X13" i="5"/>
  <c r="X262" i="5"/>
  <c r="V514" i="5"/>
  <c r="X514" i="5"/>
  <c r="W530" i="5"/>
  <c r="X530" i="5"/>
  <c r="W538" i="5"/>
  <c r="X538" i="5"/>
  <c r="V546" i="5"/>
  <c r="X546" i="5"/>
  <c r="U554" i="5"/>
  <c r="X554" i="5"/>
  <c r="T562" i="5"/>
  <c r="X562" i="5"/>
  <c r="T578" i="5"/>
  <c r="X578" i="5"/>
  <c r="V586" i="5"/>
  <c r="X586" i="5"/>
  <c r="W594" i="5"/>
  <c r="X594" i="5"/>
  <c r="V605" i="5"/>
  <c r="X605" i="5"/>
  <c r="V613" i="5"/>
  <c r="X613" i="5"/>
  <c r="W621" i="5"/>
  <c r="X621" i="5"/>
  <c r="U629" i="5"/>
  <c r="X629" i="5"/>
  <c r="U645" i="5"/>
  <c r="X645" i="5"/>
  <c r="U661" i="5"/>
  <c r="X661" i="5"/>
  <c r="U677" i="5"/>
  <c r="X677" i="5"/>
  <c r="V685" i="5"/>
  <c r="X685" i="5"/>
  <c r="T503" i="5"/>
  <c r="T501" i="5"/>
  <c r="V494" i="5"/>
  <c r="V906" i="5"/>
  <c r="U454" i="5"/>
  <c r="P507" i="5"/>
  <c r="W912" i="5"/>
  <c r="O806" i="5"/>
  <c r="W787" i="5"/>
  <c r="W476" i="5"/>
  <c r="O676" i="5"/>
  <c r="P498" i="5"/>
  <c r="P764" i="5"/>
  <c r="O884" i="5"/>
  <c r="P878" i="5"/>
  <c r="P480" i="5"/>
  <c r="W489" i="5"/>
  <c r="T839" i="5"/>
  <c r="N884" i="5"/>
  <c r="T563" i="5"/>
  <c r="U574" i="5"/>
  <c r="V574" i="5"/>
  <c r="O444" i="5"/>
  <c r="N460" i="5"/>
  <c r="N691" i="5"/>
  <c r="N866" i="5"/>
  <c r="V1050" i="5"/>
  <c r="V475" i="5"/>
  <c r="V575" i="5"/>
  <c r="O697" i="5"/>
  <c r="O866" i="5"/>
  <c r="W813" i="5"/>
  <c r="W876" i="5"/>
  <c r="V938" i="5"/>
  <c r="W852" i="5"/>
  <c r="T875" i="5"/>
  <c r="T521" i="5"/>
  <c r="W535" i="5"/>
  <c r="V538" i="5"/>
  <c r="U618" i="5"/>
  <c r="O699" i="5"/>
  <c r="P702" i="5"/>
  <c r="O713" i="5"/>
  <c r="P732" i="5"/>
  <c r="U744" i="5"/>
  <c r="W843" i="5"/>
  <c r="W875" i="5"/>
  <c r="P883" i="5"/>
  <c r="T913" i="5"/>
  <c r="N982" i="5"/>
  <c r="V1043" i="5"/>
  <c r="O474" i="5"/>
  <c r="P830" i="5"/>
  <c r="W851" i="5"/>
  <c r="T866" i="5"/>
  <c r="U1021" i="5"/>
  <c r="O480" i="5"/>
  <c r="V590" i="5"/>
  <c r="W639" i="5"/>
  <c r="O841" i="5"/>
  <c r="N659" i="5"/>
  <c r="O802" i="5"/>
  <c r="N892" i="5"/>
  <c r="U1023" i="5"/>
  <c r="O479" i="5"/>
  <c r="O628" i="5"/>
  <c r="N629" i="5"/>
  <c r="P774" i="5"/>
  <c r="O778" i="5"/>
  <c r="N801" i="5"/>
  <c r="T825" i="5"/>
  <c r="P839" i="5"/>
  <c r="W913" i="5"/>
  <c r="V916" i="5"/>
  <c r="V922" i="5"/>
  <c r="N932" i="5"/>
  <c r="O935" i="5"/>
  <c r="V950" i="5"/>
  <c r="W980" i="5"/>
  <c r="W523" i="5"/>
  <c r="P628" i="5"/>
  <c r="P629" i="5"/>
  <c r="P686" i="5"/>
  <c r="O689" i="5"/>
  <c r="U696" i="5"/>
  <c r="N777" i="5"/>
  <c r="P778" i="5"/>
  <c r="U793" i="5"/>
  <c r="U796" i="5"/>
  <c r="W916" i="5"/>
  <c r="W950" i="5"/>
  <c r="V999" i="5"/>
  <c r="O777" i="5"/>
  <c r="O871" i="5"/>
  <c r="U1018" i="5"/>
  <c r="U499" i="5"/>
  <c r="N463" i="5"/>
  <c r="U585" i="5"/>
  <c r="U600" i="5"/>
  <c r="N657" i="5"/>
  <c r="O685" i="5"/>
  <c r="W499" i="5"/>
  <c r="N507" i="5"/>
  <c r="U464" i="5"/>
  <c r="V564" i="5"/>
  <c r="V591" i="5"/>
  <c r="U762" i="5"/>
  <c r="U838" i="5"/>
  <c r="N444" i="5"/>
  <c r="U490" i="5"/>
  <c r="V464" i="5"/>
  <c r="W564" i="5"/>
  <c r="U590" i="5"/>
  <c r="W627" i="5"/>
  <c r="W651" i="5"/>
  <c r="U654" i="5"/>
  <c r="P656" i="5"/>
  <c r="W753" i="5"/>
  <c r="V773" i="5"/>
  <c r="P814" i="5"/>
  <c r="V878" i="5"/>
  <c r="W566" i="5"/>
  <c r="N603" i="5"/>
  <c r="O612" i="5"/>
  <c r="O711" i="5"/>
  <c r="P750" i="5"/>
  <c r="N813" i="5"/>
  <c r="T843" i="5"/>
  <c r="W910" i="5"/>
  <c r="W942" i="5"/>
  <c r="N491" i="5"/>
  <c r="O519" i="5"/>
  <c r="N528" i="5"/>
  <c r="W574" i="5"/>
  <c r="W590" i="5"/>
  <c r="W600" i="5"/>
  <c r="O924" i="5"/>
  <c r="N1004" i="5"/>
  <c r="N1016" i="5"/>
  <c r="U1024" i="5"/>
  <c r="U650" i="5"/>
  <c r="W695" i="5"/>
  <c r="P754" i="5"/>
  <c r="O760" i="5"/>
  <c r="W773" i="5"/>
  <c r="P876" i="5"/>
  <c r="W936" i="5"/>
  <c r="P941" i="5"/>
  <c r="O964" i="5"/>
  <c r="U998" i="5"/>
  <c r="V1007" i="5"/>
  <c r="V1037" i="5"/>
  <c r="V531" i="5"/>
  <c r="U534" i="5"/>
  <c r="W546" i="5"/>
  <c r="W592" i="5"/>
  <c r="U610" i="5"/>
  <c r="N612" i="5"/>
  <c r="T622" i="5"/>
  <c r="V649" i="5"/>
  <c r="O664" i="5"/>
  <c r="U682" i="5"/>
  <c r="U732" i="5"/>
  <c r="T818" i="5"/>
  <c r="W827" i="5"/>
  <c r="U942" i="5"/>
  <c r="O493" i="5"/>
  <c r="V506" i="5"/>
  <c r="T506" i="5"/>
  <c r="P493" i="5"/>
  <c r="W506" i="5"/>
  <c r="P456" i="5"/>
  <c r="N456" i="5"/>
  <c r="U458" i="5"/>
  <c r="W458" i="5"/>
  <c r="W440" i="5"/>
  <c r="U440" i="5"/>
  <c r="P458" i="5"/>
  <c r="N458" i="5"/>
  <c r="T513" i="5"/>
  <c r="P518" i="5"/>
  <c r="W556" i="5"/>
  <c r="N580" i="5"/>
  <c r="U592" i="5"/>
  <c r="U614" i="5"/>
  <c r="O648" i="5"/>
  <c r="O666" i="5"/>
  <c r="U668" i="5"/>
  <c r="O670" i="5"/>
  <c r="O694" i="5"/>
  <c r="N695" i="5"/>
  <c r="O696" i="5"/>
  <c r="O762" i="5"/>
  <c r="U869" i="5"/>
  <c r="T905" i="5"/>
  <c r="T949" i="5"/>
  <c r="V984" i="5"/>
  <c r="O441" i="5"/>
  <c r="U542" i="5"/>
  <c r="N554" i="5"/>
  <c r="W560" i="5"/>
  <c r="N567" i="5"/>
  <c r="O580" i="5"/>
  <c r="P676" i="5"/>
  <c r="P690" i="5"/>
  <c r="P694" i="5"/>
  <c r="O695" i="5"/>
  <c r="P696" i="5"/>
  <c r="N703" i="5"/>
  <c r="P706" i="5"/>
  <c r="N719" i="5"/>
  <c r="P762" i="5"/>
  <c r="T774" i="5"/>
  <c r="N781" i="5"/>
  <c r="O782" i="5"/>
  <c r="P806" i="5"/>
  <c r="V830" i="5"/>
  <c r="N846" i="5"/>
  <c r="O903" i="5"/>
  <c r="W905" i="5"/>
  <c r="O919" i="5"/>
  <c r="O927" i="5"/>
  <c r="T935" i="5"/>
  <c r="V1009" i="5"/>
  <c r="P441" i="5"/>
  <c r="O521" i="5"/>
  <c r="P554" i="5"/>
  <c r="O567" i="5"/>
  <c r="N611" i="5"/>
  <c r="N661" i="5"/>
  <c r="U680" i="5"/>
  <c r="O682" i="5"/>
  <c r="P781" i="5"/>
  <c r="U797" i="5"/>
  <c r="P867" i="5"/>
  <c r="P903" i="5"/>
  <c r="P919" i="5"/>
  <c r="O944" i="5"/>
  <c r="V948" i="5"/>
  <c r="N964" i="5"/>
  <c r="W970" i="5"/>
  <c r="U992" i="5"/>
  <c r="N994" i="5"/>
  <c r="U1022" i="5"/>
  <c r="V1026" i="5"/>
  <c r="W1042" i="5"/>
  <c r="V1046" i="5"/>
  <c r="V1022" i="5"/>
  <c r="N1028" i="5"/>
  <c r="V490" i="5"/>
  <c r="O524" i="5"/>
  <c r="O528" i="5"/>
  <c r="T533" i="5"/>
  <c r="V534" i="5"/>
  <c r="N543" i="5"/>
  <c r="U558" i="5"/>
  <c r="U562" i="5"/>
  <c r="N587" i="5"/>
  <c r="O592" i="5"/>
  <c r="U594" i="5"/>
  <c r="W602" i="5"/>
  <c r="N631" i="5"/>
  <c r="W642" i="5"/>
  <c r="P664" i="5"/>
  <c r="N685" i="5"/>
  <c r="P708" i="5"/>
  <c r="T769" i="5"/>
  <c r="V777" i="5"/>
  <c r="T778" i="5"/>
  <c r="O790" i="5"/>
  <c r="O793" i="5"/>
  <c r="P818" i="5"/>
  <c r="P831" i="5"/>
  <c r="P835" i="5"/>
  <c r="V854" i="5"/>
  <c r="P862" i="5"/>
  <c r="T874" i="5"/>
  <c r="U884" i="5"/>
  <c r="O895" i="5"/>
  <c r="O932" i="5"/>
  <c r="P963" i="5"/>
  <c r="P974" i="5"/>
  <c r="V978" i="5"/>
  <c r="N1000" i="5"/>
  <c r="U1017" i="5"/>
  <c r="O1028" i="5"/>
  <c r="U1045" i="5"/>
  <c r="P524" i="5"/>
  <c r="U533" i="5"/>
  <c r="N539" i="5"/>
  <c r="N542" i="5"/>
  <c r="W558" i="5"/>
  <c r="N560" i="5"/>
  <c r="W562" i="5"/>
  <c r="N596" i="5"/>
  <c r="W612" i="5"/>
  <c r="O631" i="5"/>
  <c r="U746" i="5"/>
  <c r="N767" i="5"/>
  <c r="N797" i="5"/>
  <c r="T812" i="5"/>
  <c r="N821" i="5"/>
  <c r="O822" i="5"/>
  <c r="N834" i="5"/>
  <c r="U852" i="5"/>
  <c r="T853" i="5"/>
  <c r="W854" i="5"/>
  <c r="U874" i="5"/>
  <c r="U902" i="5"/>
  <c r="U910" i="5"/>
  <c r="T911" i="5"/>
  <c r="T933" i="5"/>
  <c r="T937" i="5"/>
  <c r="N967" i="5"/>
  <c r="V982" i="5"/>
  <c r="W1004" i="5"/>
  <c r="V1017" i="5"/>
  <c r="N1036" i="5"/>
  <c r="T448" i="5"/>
  <c r="O552" i="5"/>
  <c r="W580" i="5"/>
  <c r="P596" i="5"/>
  <c r="P640" i="5"/>
  <c r="P684" i="5"/>
  <c r="P714" i="5"/>
  <c r="W727" i="5"/>
  <c r="O732" i="5"/>
  <c r="P767" i="5"/>
  <c r="O797" i="5"/>
  <c r="O810" i="5"/>
  <c r="O821" i="5"/>
  <c r="P822" i="5"/>
  <c r="T827" i="5"/>
  <c r="O834" i="5"/>
  <c r="O839" i="5"/>
  <c r="T851" i="5"/>
  <c r="V852" i="5"/>
  <c r="U853" i="5"/>
  <c r="O872" i="5"/>
  <c r="O894" i="5"/>
  <c r="V902" i="5"/>
  <c r="V910" i="5"/>
  <c r="U950" i="5"/>
  <c r="T951" i="5"/>
  <c r="P953" i="5"/>
  <c r="P956" i="5"/>
  <c r="N962" i="5"/>
  <c r="P967" i="5"/>
  <c r="V981" i="5"/>
  <c r="O1036" i="5"/>
  <c r="U1044" i="5"/>
  <c r="R246" i="3"/>
  <c r="R243" i="3"/>
  <c r="T497" i="5"/>
  <c r="U477" i="5"/>
  <c r="T507" i="5"/>
  <c r="W507" i="5"/>
  <c r="V507" i="5"/>
  <c r="U445" i="5"/>
  <c r="T468" i="5"/>
  <c r="P511" i="5"/>
  <c r="O511" i="5"/>
  <c r="W525" i="5"/>
  <c r="U525" i="5"/>
  <c r="T525" i="5"/>
  <c r="T570" i="5"/>
  <c r="W570" i="5"/>
  <c r="V570" i="5"/>
  <c r="W573" i="5"/>
  <c r="U573" i="5"/>
  <c r="T573" i="5"/>
  <c r="T598" i="5"/>
  <c r="W598" i="5"/>
  <c r="V598" i="5"/>
  <c r="U928" i="5"/>
  <c r="W928" i="5"/>
  <c r="P1040" i="5"/>
  <c r="N1040" i="5"/>
  <c r="O492" i="5"/>
  <c r="P492" i="5"/>
  <c r="N448" i="5"/>
  <c r="N459" i="5"/>
  <c r="U469" i="5"/>
  <c r="W469" i="5"/>
  <c r="U478" i="5"/>
  <c r="W478" i="5"/>
  <c r="W445" i="5"/>
  <c r="W468" i="5"/>
  <c r="N698" i="5"/>
  <c r="P698" i="5"/>
  <c r="V820" i="5"/>
  <c r="U820" i="5"/>
  <c r="T820" i="5"/>
  <c r="P850" i="5"/>
  <c r="N850" i="5"/>
  <c r="O850" i="5"/>
  <c r="V871" i="5"/>
  <c r="T871" i="5"/>
  <c r="T924" i="5"/>
  <c r="V924" i="5"/>
  <c r="W924" i="5"/>
  <c r="O448" i="5"/>
  <c r="O459" i="5"/>
  <c r="T470" i="5"/>
  <c r="W470" i="5"/>
  <c r="T516" i="5"/>
  <c r="W516" i="5"/>
  <c r="T536" i="5"/>
  <c r="W536" i="5"/>
  <c r="P537" i="5"/>
  <c r="O537" i="5"/>
  <c r="U547" i="5"/>
  <c r="V547" i="5"/>
  <c r="T547" i="5"/>
  <c r="U579" i="5"/>
  <c r="V579" i="5"/>
  <c r="T579" i="5"/>
  <c r="P667" i="5"/>
  <c r="N667" i="5"/>
  <c r="P478" i="5"/>
  <c r="N478" i="5"/>
  <c r="P544" i="5"/>
  <c r="O544" i="5"/>
  <c r="W1025" i="5"/>
  <c r="V1025" i="5"/>
  <c r="U1025" i="5"/>
  <c r="O494" i="5"/>
  <c r="U491" i="5"/>
  <c r="O458" i="5"/>
  <c r="U460" i="5"/>
  <c r="P469" i="5"/>
  <c r="O469" i="5"/>
  <c r="U487" i="5"/>
  <c r="V487" i="5"/>
  <c r="T479" i="5"/>
  <c r="P516" i="5"/>
  <c r="N516" i="5"/>
  <c r="P536" i="5"/>
  <c r="O536" i="5"/>
  <c r="N536" i="5"/>
  <c r="O550" i="5"/>
  <c r="P550" i="5"/>
  <c r="T918" i="5"/>
  <c r="V918" i="5"/>
  <c r="P494" i="5"/>
  <c r="U505" i="5"/>
  <c r="V491" i="5"/>
  <c r="U447" i="5"/>
  <c r="V473" i="5"/>
  <c r="U453" i="5"/>
  <c r="U485" i="5"/>
  <c r="W479" i="5"/>
  <c r="P468" i="5"/>
  <c r="N468" i="5"/>
  <c r="N556" i="5"/>
  <c r="P556" i="5"/>
  <c r="O556" i="5"/>
  <c r="U570" i="5"/>
  <c r="P572" i="5"/>
  <c r="O572" i="5"/>
  <c r="N572" i="5"/>
  <c r="U598" i="5"/>
  <c r="T604" i="5"/>
  <c r="U604" i="5"/>
  <c r="V447" i="5"/>
  <c r="W473" i="5"/>
  <c r="T461" i="5"/>
  <c r="V461" i="5"/>
  <c r="P512" i="5"/>
  <c r="O512" i="5"/>
  <c r="T522" i="5"/>
  <c r="V522" i="5"/>
  <c r="U522" i="5"/>
  <c r="W541" i="5"/>
  <c r="T541" i="5"/>
  <c r="U555" i="5"/>
  <c r="W555" i="5"/>
  <c r="T555" i="5"/>
  <c r="U571" i="5"/>
  <c r="W571" i="5"/>
  <c r="T571" i="5"/>
  <c r="V505" i="5"/>
  <c r="O506" i="5"/>
  <c r="O502" i="5"/>
  <c r="U503" i="5"/>
  <c r="V499" i="5"/>
  <c r="W448" i="5"/>
  <c r="T444" i="5"/>
  <c r="O472" i="5"/>
  <c r="N479" i="5"/>
  <c r="U470" i="5"/>
  <c r="N486" i="5"/>
  <c r="O526" i="5"/>
  <c r="P526" i="5"/>
  <c r="N526" i="5"/>
  <c r="V536" i="5"/>
  <c r="U567" i="5"/>
  <c r="T567" i="5"/>
  <c r="U595" i="5"/>
  <c r="V595" i="5"/>
  <c r="T595" i="5"/>
  <c r="U603" i="5"/>
  <c r="V603" i="5"/>
  <c r="T603" i="5"/>
  <c r="O523" i="5"/>
  <c r="N532" i="5"/>
  <c r="T535" i="5"/>
  <c r="T539" i="5"/>
  <c r="O543" i="5"/>
  <c r="V559" i="5"/>
  <c r="W561" i="5"/>
  <c r="T561" i="5"/>
  <c r="T594" i="5"/>
  <c r="V594" i="5"/>
  <c r="U599" i="5"/>
  <c r="W599" i="5"/>
  <c r="N645" i="5"/>
  <c r="P707" i="5"/>
  <c r="N707" i="5"/>
  <c r="P789" i="5"/>
  <c r="N789" i="5"/>
  <c r="O789" i="5"/>
  <c r="N807" i="5"/>
  <c r="O807" i="5"/>
  <c r="V860" i="5"/>
  <c r="W860" i="5"/>
  <c r="T1008" i="5"/>
  <c r="V1008" i="5"/>
  <c r="P1012" i="5"/>
  <c r="N1012" i="5"/>
  <c r="P584" i="5"/>
  <c r="O584" i="5"/>
  <c r="N584" i="5"/>
  <c r="T608" i="5"/>
  <c r="W608" i="5"/>
  <c r="V608" i="5"/>
  <c r="V616" i="5"/>
  <c r="U616" i="5"/>
  <c r="T619" i="5"/>
  <c r="W619" i="5"/>
  <c r="W637" i="5"/>
  <c r="V637" i="5"/>
  <c r="V927" i="5"/>
  <c r="T927" i="5"/>
  <c r="W927" i="5"/>
  <c r="P1052" i="5"/>
  <c r="N1052" i="5"/>
  <c r="V528" i="5"/>
  <c r="T546" i="5"/>
  <c r="U546" i="5"/>
  <c r="U587" i="5"/>
  <c r="T587" i="5"/>
  <c r="T602" i="5"/>
  <c r="U602" i="5"/>
  <c r="U607" i="5"/>
  <c r="W607" i="5"/>
  <c r="V607" i="5"/>
  <c r="U623" i="5"/>
  <c r="V636" i="5"/>
  <c r="T636" i="5"/>
  <c r="N752" i="5"/>
  <c r="O752" i="5"/>
  <c r="P752" i="5"/>
  <c r="N863" i="5"/>
  <c r="P863" i="5"/>
  <c r="V926" i="5"/>
  <c r="W926" i="5"/>
  <c r="N519" i="5"/>
  <c r="T523" i="5"/>
  <c r="W528" i="5"/>
  <c r="U532" i="5"/>
  <c r="O539" i="5"/>
  <c r="V542" i="5"/>
  <c r="W543" i="5"/>
  <c r="N547" i="5"/>
  <c r="N552" i="5"/>
  <c r="O553" i="5"/>
  <c r="T586" i="5"/>
  <c r="U586" i="5"/>
  <c r="V623" i="5"/>
  <c r="N672" i="5"/>
  <c r="P672" i="5"/>
  <c r="N712" i="5"/>
  <c r="O712" i="5"/>
  <c r="P712" i="5"/>
  <c r="T1000" i="5"/>
  <c r="V1000" i="5"/>
  <c r="N564" i="5"/>
  <c r="P571" i="5"/>
  <c r="N571" i="5"/>
  <c r="V580" i="5"/>
  <c r="T596" i="5"/>
  <c r="U596" i="5"/>
  <c r="T606" i="5"/>
  <c r="W606" i="5"/>
  <c r="V606" i="5"/>
  <c r="W623" i="5"/>
  <c r="P940" i="5"/>
  <c r="N940" i="5"/>
  <c r="O940" i="5"/>
  <c r="O558" i="5"/>
  <c r="P558" i="5"/>
  <c r="U608" i="5"/>
  <c r="V620" i="5"/>
  <c r="W620" i="5"/>
  <c r="T620" i="5"/>
  <c r="N678" i="5"/>
  <c r="O678" i="5"/>
  <c r="V897" i="5"/>
  <c r="T897" i="5"/>
  <c r="N909" i="5"/>
  <c r="P909" i="5"/>
  <c r="O960" i="5"/>
  <c r="P960" i="5"/>
  <c r="O702" i="5"/>
  <c r="O706" i="5"/>
  <c r="N711" i="5"/>
  <c r="O750" i="5"/>
  <c r="O764" i="5"/>
  <c r="V770" i="5"/>
  <c r="T815" i="5"/>
  <c r="O835" i="5"/>
  <c r="U854" i="5"/>
  <c r="T855" i="5"/>
  <c r="O862" i="5"/>
  <c r="W866" i="5"/>
  <c r="W870" i="5"/>
  <c r="U906" i="5"/>
  <c r="W923" i="5"/>
  <c r="T925" i="5"/>
  <c r="V942" i="5"/>
  <c r="T943" i="5"/>
  <c r="U978" i="5"/>
  <c r="N701" i="5"/>
  <c r="O710" i="5"/>
  <c r="W974" i="5"/>
  <c r="N976" i="5"/>
  <c r="V988" i="5"/>
  <c r="W1006" i="5"/>
  <c r="V1042" i="5"/>
  <c r="U1048" i="5"/>
  <c r="T589" i="5"/>
  <c r="V621" i="5"/>
  <c r="T661" i="5"/>
  <c r="T780" i="5"/>
  <c r="T858" i="5"/>
  <c r="T899" i="5"/>
  <c r="T904" i="5"/>
  <c r="T915" i="5"/>
  <c r="W921" i="5"/>
  <c r="V934" i="5"/>
  <c r="U946" i="5"/>
  <c r="T947" i="5"/>
  <c r="U996" i="5"/>
  <c r="U1041" i="5"/>
  <c r="N592" i="5"/>
  <c r="O640" i="5"/>
  <c r="W645" i="5"/>
  <c r="W661" i="5"/>
  <c r="N669" i="5"/>
  <c r="P670" i="5"/>
  <c r="O674" i="5"/>
  <c r="N675" i="5"/>
  <c r="W678" i="5"/>
  <c r="O688" i="5"/>
  <c r="O700" i="5"/>
  <c r="U712" i="5"/>
  <c r="O715" i="5"/>
  <c r="U752" i="5"/>
  <c r="O776" i="5"/>
  <c r="U788" i="5"/>
  <c r="O801" i="5"/>
  <c r="T807" i="5"/>
  <c r="P810" i="5"/>
  <c r="O832" i="5"/>
  <c r="U836" i="5"/>
  <c r="T850" i="5"/>
  <c r="T857" i="5"/>
  <c r="P871" i="5"/>
  <c r="T873" i="5"/>
  <c r="W899" i="5"/>
  <c r="P907" i="5"/>
  <c r="U914" i="5"/>
  <c r="W915" i="5"/>
  <c r="P924" i="5"/>
  <c r="P925" i="5"/>
  <c r="P931" i="5"/>
  <c r="W935" i="5"/>
  <c r="P943" i="5"/>
  <c r="T945" i="5"/>
  <c r="V946" i="5"/>
  <c r="W947" i="5"/>
  <c r="N970" i="5"/>
  <c r="N974" i="5"/>
  <c r="U987" i="5"/>
  <c r="O994" i="5"/>
  <c r="W996" i="5"/>
  <c r="V1005" i="5"/>
  <c r="V1010" i="5"/>
  <c r="U1011" i="5"/>
  <c r="U1012" i="5"/>
  <c r="N1024" i="5"/>
  <c r="V1038" i="5"/>
  <c r="U1039" i="5"/>
  <c r="U1040" i="5"/>
  <c r="V1041" i="5"/>
  <c r="N1044" i="5"/>
  <c r="U1047" i="5"/>
  <c r="U1051" i="5"/>
  <c r="U1052" i="5"/>
  <c r="U652" i="5"/>
  <c r="O668" i="5"/>
  <c r="O669" i="5"/>
  <c r="P674" i="5"/>
  <c r="W677" i="5"/>
  <c r="P688" i="5"/>
  <c r="O714" i="5"/>
  <c r="O748" i="5"/>
  <c r="U750" i="5"/>
  <c r="O754" i="5"/>
  <c r="U764" i="5"/>
  <c r="N773" i="5"/>
  <c r="O774" i="5"/>
  <c r="O775" i="5"/>
  <c r="T796" i="5"/>
  <c r="W807" i="5"/>
  <c r="O814" i="5"/>
  <c r="O818" i="5"/>
  <c r="O819" i="5"/>
  <c r="O825" i="5"/>
  <c r="T828" i="5"/>
  <c r="O830" i="5"/>
  <c r="O831" i="5"/>
  <c r="P832" i="5"/>
  <c r="T835" i="5"/>
  <c r="W846" i="5"/>
  <c r="W857" i="5"/>
  <c r="V862" i="5"/>
  <c r="N876" i="5"/>
  <c r="W879" i="5"/>
  <c r="T898" i="5"/>
  <c r="V914" i="5"/>
  <c r="P937" i="5"/>
  <c r="W945" i="5"/>
  <c r="W946" i="5"/>
  <c r="P949" i="5"/>
  <c r="N954" i="5"/>
  <c r="O958" i="5"/>
  <c r="P970" i="5"/>
  <c r="V980" i="5"/>
  <c r="U982" i="5"/>
  <c r="O998" i="5"/>
  <c r="U1004" i="5"/>
  <c r="U1009" i="5"/>
  <c r="W1010" i="5"/>
  <c r="V1011" i="5"/>
  <c r="W1012" i="5"/>
  <c r="U1026" i="5"/>
  <c r="U1027" i="5"/>
  <c r="U1037" i="5"/>
  <c r="W1038" i="5"/>
  <c r="V1039" i="5"/>
  <c r="V1040" i="5"/>
  <c r="O1044" i="5"/>
  <c r="U1046" i="5"/>
  <c r="U1050" i="5"/>
  <c r="V1051" i="5"/>
  <c r="W652" i="5"/>
  <c r="U690" i="5"/>
  <c r="U728" i="5"/>
  <c r="U758" i="5"/>
  <c r="W797" i="5"/>
  <c r="T865" i="5"/>
  <c r="U870" i="5"/>
  <c r="W884" i="5"/>
  <c r="P502" i="5"/>
  <c r="V503" i="5"/>
  <c r="O475" i="5"/>
  <c r="N475" i="5"/>
  <c r="P475" i="5"/>
  <c r="T504" i="5"/>
  <c r="U504" i="5"/>
  <c r="T484" i="5"/>
  <c r="W484" i="5"/>
  <c r="U484" i="5"/>
  <c r="U725" i="5"/>
  <c r="W725" i="5"/>
  <c r="T725" i="5"/>
  <c r="V810" i="5"/>
  <c r="T810" i="5"/>
  <c r="W810" i="5"/>
  <c r="W503" i="5"/>
  <c r="W494" i="5"/>
  <c r="N498" i="5"/>
  <c r="N508" i="5"/>
  <c r="O508" i="5"/>
  <c r="T500" i="5"/>
  <c r="V500" i="5"/>
  <c r="V492" i="5"/>
  <c r="W492" i="5"/>
  <c r="T480" i="5"/>
  <c r="W480" i="5"/>
  <c r="V480" i="5"/>
  <c r="U509" i="5"/>
  <c r="W509" i="5"/>
  <c r="T509" i="5"/>
  <c r="P443" i="5"/>
  <c r="N443" i="5"/>
  <c r="O443" i="5"/>
  <c r="V504" i="5"/>
  <c r="T495" i="5"/>
  <c r="V456" i="5"/>
  <c r="T456" i="5"/>
  <c r="T457" i="5"/>
  <c r="W457" i="5"/>
  <c r="P451" i="5"/>
  <c r="N451" i="5"/>
  <c r="O451" i="5"/>
  <c r="N501" i="5"/>
  <c r="O501" i="5"/>
  <c r="T455" i="5"/>
  <c r="W455" i="5"/>
  <c r="T471" i="5"/>
  <c r="V471" i="5"/>
  <c r="U471" i="5"/>
  <c r="W471" i="5"/>
  <c r="O522" i="5"/>
  <c r="N522" i="5"/>
  <c r="O490" i="5"/>
  <c r="N490" i="5"/>
  <c r="T482" i="5"/>
  <c r="W482" i="5"/>
  <c r="U482" i="5"/>
  <c r="V482" i="5"/>
  <c r="U515" i="5"/>
  <c r="W515" i="5"/>
  <c r="T515" i="5"/>
  <c r="V515" i="5"/>
  <c r="V509" i="5"/>
  <c r="W472" i="5"/>
  <c r="V478" i="5"/>
  <c r="P446" i="5"/>
  <c r="O446" i="5"/>
  <c r="U486" i="5"/>
  <c r="T486" i="5"/>
  <c r="W463" i="5"/>
  <c r="V939" i="5"/>
  <c r="T939" i="5"/>
  <c r="W939" i="5"/>
  <c r="T483" i="5"/>
  <c r="U442" i="5"/>
  <c r="U474" i="5"/>
  <c r="P466" i="5"/>
  <c r="N466" i="5"/>
  <c r="W464" i="5"/>
  <c r="U476" i="5"/>
  <c r="T476" i="5"/>
  <c r="T510" i="5"/>
  <c r="W465" i="5"/>
  <c r="T465" i="5"/>
  <c r="U465" i="5"/>
  <c r="U519" i="5"/>
  <c r="W519" i="5"/>
  <c r="T519" i="5"/>
  <c r="T520" i="5"/>
  <c r="W520" i="5"/>
  <c r="U520" i="5"/>
  <c r="T572" i="5"/>
  <c r="W572" i="5"/>
  <c r="V572" i="5"/>
  <c r="U572" i="5"/>
  <c r="P681" i="5"/>
  <c r="O681" i="5"/>
  <c r="V483" i="5"/>
  <c r="T473" i="5"/>
  <c r="V442" i="5"/>
  <c r="N509" i="5"/>
  <c r="U449" i="5"/>
  <c r="U452" i="5"/>
  <c r="O478" i="5"/>
  <c r="V474" i="5"/>
  <c r="V454" i="5"/>
  <c r="U507" i="5"/>
  <c r="U446" i="5"/>
  <c r="W487" i="5"/>
  <c r="U489" i="5"/>
  <c r="V489" i="5"/>
  <c r="V510" i="5"/>
  <c r="T512" i="5"/>
  <c r="V512" i="5"/>
  <c r="U512" i="5"/>
  <c r="T514" i="5"/>
  <c r="W514" i="5"/>
  <c r="U514" i="5"/>
  <c r="W442" i="5"/>
  <c r="T451" i="5"/>
  <c r="O509" i="5"/>
  <c r="V449" i="5"/>
  <c r="U475" i="5"/>
  <c r="V452" i="5"/>
  <c r="N474" i="5"/>
  <c r="W474" i="5"/>
  <c r="W454" i="5"/>
  <c r="T443" i="5"/>
  <c r="V446" i="5"/>
  <c r="T450" i="5"/>
  <c r="V450" i="5"/>
  <c r="W450" i="5"/>
  <c r="N482" i="5"/>
  <c r="O482" i="5"/>
  <c r="P470" i="5"/>
  <c r="O470" i="5"/>
  <c r="N470" i="5"/>
  <c r="O465" i="5"/>
  <c r="U441" i="5"/>
  <c r="V451" i="5"/>
  <c r="W449" i="5"/>
  <c r="W452" i="5"/>
  <c r="V443" i="5"/>
  <c r="W446" i="5"/>
  <c r="W467" i="5"/>
  <c r="U467" i="5"/>
  <c r="V466" i="5"/>
  <c r="O464" i="5"/>
  <c r="P464" i="5"/>
  <c r="P476" i="5"/>
  <c r="O476" i="5"/>
  <c r="O540" i="5"/>
  <c r="N540" i="5"/>
  <c r="P540" i="5"/>
  <c r="W491" i="5"/>
  <c r="V448" i="5"/>
  <c r="T458" i="5"/>
  <c r="V444" i="5"/>
  <c r="W447" i="5"/>
  <c r="W459" i="5"/>
  <c r="V460" i="5"/>
  <c r="T472" i="5"/>
  <c r="T469" i="5"/>
  <c r="V441" i="5"/>
  <c r="W451" i="5"/>
  <c r="W475" i="5"/>
  <c r="N454" i="5"/>
  <c r="W443" i="5"/>
  <c r="P487" i="5"/>
  <c r="N487" i="5"/>
  <c r="N445" i="5"/>
  <c r="P489" i="5"/>
  <c r="N489" i="5"/>
  <c r="N461" i="5"/>
  <c r="W490" i="5"/>
  <c r="N450" i="5"/>
  <c r="N462" i="5"/>
  <c r="V486" i="5"/>
  <c r="U463" i="5"/>
  <c r="T481" i="5"/>
  <c r="W481" i="5"/>
  <c r="V481" i="5"/>
  <c r="T524" i="5"/>
  <c r="V524" i="5"/>
  <c r="U524" i="5"/>
  <c r="O538" i="5"/>
  <c r="N538" i="5"/>
  <c r="T552" i="5"/>
  <c r="W552" i="5"/>
  <c r="U552" i="5"/>
  <c r="P591" i="5"/>
  <c r="N591" i="5"/>
  <c r="O591" i="5"/>
  <c r="V617" i="5"/>
  <c r="W617" i="5"/>
  <c r="V458" i="5"/>
  <c r="W460" i="5"/>
  <c r="V472" i="5"/>
  <c r="V469" i="5"/>
  <c r="W441" i="5"/>
  <c r="N452" i="5"/>
  <c r="T478" i="5"/>
  <c r="N446" i="5"/>
  <c r="O445" i="5"/>
  <c r="P461" i="5"/>
  <c r="W488" i="5"/>
  <c r="U488" i="5"/>
  <c r="P450"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1" i="5"/>
  <c r="U581" i="5"/>
  <c r="T584" i="5"/>
  <c r="W584" i="5"/>
  <c r="V584" i="5"/>
  <c r="P599" i="5"/>
  <c r="O599" i="5"/>
  <c r="N599" i="5"/>
  <c r="N716" i="5"/>
  <c r="O716" i="5"/>
  <c r="P716" i="5"/>
  <c r="P729" i="5"/>
  <c r="O729" i="5"/>
  <c r="O868" i="5"/>
  <c r="P868" i="5"/>
  <c r="N868" i="5"/>
  <c r="P515" i="5"/>
  <c r="N515" i="5"/>
  <c r="P520" i="5"/>
  <c r="O520" i="5"/>
  <c r="N520" i="5"/>
  <c r="O548" i="5"/>
  <c r="N548" i="5"/>
  <c r="U551" i="5"/>
  <c r="V551" i="5"/>
  <c r="P576" i="5"/>
  <c r="O576" i="5"/>
  <c r="N576" i="5"/>
  <c r="P579" i="5"/>
  <c r="N579" i="5"/>
  <c r="O621" i="5"/>
  <c r="N621" i="5"/>
  <c r="P621" i="5"/>
  <c r="V628" i="5"/>
  <c r="T628" i="5"/>
  <c r="N642" i="5"/>
  <c r="O642" i="5"/>
  <c r="U653" i="5"/>
  <c r="T653" i="5"/>
  <c r="V672" i="5"/>
  <c r="U672" i="5"/>
  <c r="U673" i="5"/>
  <c r="W673" i="5"/>
  <c r="T673" i="5"/>
  <c r="V748" i="5"/>
  <c r="U748" i="5"/>
  <c r="W748" i="5"/>
  <c r="V445" i="5"/>
  <c r="U462" i="5"/>
  <c r="W462" i="5"/>
  <c r="V462" i="5"/>
  <c r="O486" i="5"/>
  <c r="P513" i="5"/>
  <c r="O513" i="5"/>
  <c r="O516" i="5"/>
  <c r="P527" i="5"/>
  <c r="O527" i="5"/>
  <c r="N527" i="5"/>
  <c r="P529" i="5"/>
  <c r="O529" i="5"/>
  <c r="U536" i="5"/>
  <c r="T540" i="5"/>
  <c r="W540" i="5"/>
  <c r="V540" i="5"/>
  <c r="P563" i="5"/>
  <c r="N563" i="5"/>
  <c r="U583" i="5"/>
  <c r="V583" i="5"/>
  <c r="N620" i="5"/>
  <c r="P620" i="5"/>
  <c r="O620" i="5"/>
  <c r="O637" i="5"/>
  <c r="P637" i="5"/>
  <c r="V644" i="5"/>
  <c r="T644" i="5"/>
  <c r="W644" i="5"/>
  <c r="V664" i="5"/>
  <c r="U664" i="5"/>
  <c r="U665" i="5"/>
  <c r="T665" i="5"/>
  <c r="V708" i="5"/>
  <c r="U708" i="5"/>
  <c r="N728" i="5"/>
  <c r="P728" i="5"/>
  <c r="O728" i="5"/>
  <c r="V804" i="5"/>
  <c r="T804" i="5"/>
  <c r="T532" i="5"/>
  <c r="V532" i="5"/>
  <c r="T538" i="5"/>
  <c r="U538" i="5"/>
  <c r="P551" i="5"/>
  <c r="O551" i="5"/>
  <c r="N551" i="5"/>
  <c r="T566" i="5"/>
  <c r="U566" i="5"/>
  <c r="O588" i="5"/>
  <c r="N588" i="5"/>
  <c r="P595" i="5"/>
  <c r="N595" i="5"/>
  <c r="N704" i="5"/>
  <c r="P704" i="5"/>
  <c r="O704" i="5"/>
  <c r="V760" i="5"/>
  <c r="U760" i="5"/>
  <c r="W760" i="5"/>
  <c r="U511" i="5"/>
  <c r="T511" i="5"/>
  <c r="W511" i="5"/>
  <c r="U531" i="5"/>
  <c r="T531" i="5"/>
  <c r="O534" i="5"/>
  <c r="P534" i="5"/>
  <c r="U559" i="5"/>
  <c r="T559" i="5"/>
  <c r="V635" i="5"/>
  <c r="W635" i="5"/>
  <c r="N636" i="5"/>
  <c r="P636" i="5"/>
  <c r="V670" i="5"/>
  <c r="U670" i="5"/>
  <c r="V671" i="5"/>
  <c r="T671" i="5"/>
  <c r="V676" i="5"/>
  <c r="U676" i="5"/>
  <c r="V686" i="5"/>
  <c r="U686" i="5"/>
  <c r="V698" i="5"/>
  <c r="U698" i="5"/>
  <c r="W698" i="5"/>
  <c r="U711" i="5"/>
  <c r="W711" i="5"/>
  <c r="P727" i="5"/>
  <c r="O727" i="5"/>
  <c r="N727" i="5"/>
  <c r="O568" i="5"/>
  <c r="N568" i="5"/>
  <c r="T582" i="5"/>
  <c r="W582" i="5"/>
  <c r="V582" i="5"/>
  <c r="U582" i="5"/>
  <c r="U669" i="5"/>
  <c r="W669" i="5"/>
  <c r="N692" i="5"/>
  <c r="P692" i="5"/>
  <c r="O692" i="5"/>
  <c r="V720" i="5"/>
  <c r="U720" i="5"/>
  <c r="W720" i="5"/>
  <c r="N511" i="5"/>
  <c r="V513" i="5"/>
  <c r="T518" i="5"/>
  <c r="V518" i="5"/>
  <c r="U518" i="5"/>
  <c r="N523" i="5"/>
  <c r="T530" i="5"/>
  <c r="V530" i="5"/>
  <c r="U530" i="5"/>
  <c r="P531" i="5"/>
  <c r="N531" i="5"/>
  <c r="T548" i="5"/>
  <c r="W548" i="5"/>
  <c r="V548" i="5"/>
  <c r="W551" i="5"/>
  <c r="T554" i="5"/>
  <c r="W554" i="5"/>
  <c r="V554" i="5"/>
  <c r="W557" i="5"/>
  <c r="T557" i="5"/>
  <c r="P559" i="5"/>
  <c r="O559" i="5"/>
  <c r="N559" i="5"/>
  <c r="V646" i="5"/>
  <c r="U646" i="5"/>
  <c r="V674" i="5"/>
  <c r="U674" i="5"/>
  <c r="U675" i="5"/>
  <c r="T675" i="5"/>
  <c r="V684" i="5"/>
  <c r="U684" i="5"/>
  <c r="P717" i="5"/>
  <c r="O717" i="5"/>
  <c r="N717" i="5"/>
  <c r="N726" i="5"/>
  <c r="O726" i="5"/>
  <c r="P726" i="5"/>
  <c r="N734" i="5"/>
  <c r="P734" i="5"/>
  <c r="O734" i="5"/>
  <c r="W779" i="5"/>
  <c r="V779" i="5"/>
  <c r="U779" i="5"/>
  <c r="N680" i="5"/>
  <c r="P680" i="5"/>
  <c r="O680" i="5"/>
  <c r="V694" i="5"/>
  <c r="U694" i="5"/>
  <c r="W696" i="5"/>
  <c r="V706" i="5"/>
  <c r="U706" i="5"/>
  <c r="U707" i="5"/>
  <c r="T707" i="5"/>
  <c r="U709" i="5"/>
  <c r="T709" i="5"/>
  <c r="V724" i="5"/>
  <c r="U724" i="5"/>
  <c r="N744" i="5"/>
  <c r="O744" i="5"/>
  <c r="N794" i="5"/>
  <c r="P794" i="5"/>
  <c r="O794" i="5"/>
  <c r="T817" i="5"/>
  <c r="U817" i="5"/>
  <c r="W890" i="5"/>
  <c r="T890" i="5"/>
  <c r="U890" i="5"/>
  <c r="V539" i="5"/>
  <c r="U560" i="5"/>
  <c r="O564" i="5"/>
  <c r="N566" i="5"/>
  <c r="V567" i="5"/>
  <c r="U578" i="5"/>
  <c r="N583" i="5"/>
  <c r="W586" i="5"/>
  <c r="W603" i="5"/>
  <c r="T616" i="5"/>
  <c r="W616" i="5"/>
  <c r="P635" i="5"/>
  <c r="N635" i="5"/>
  <c r="T639" i="5"/>
  <c r="U639" i="5"/>
  <c r="O645" i="5"/>
  <c r="W650" i="5"/>
  <c r="U656" i="5"/>
  <c r="T657" i="5"/>
  <c r="U658" i="5"/>
  <c r="T659" i="5"/>
  <c r="V661" i="5"/>
  <c r="U662" i="5"/>
  <c r="P666" i="5"/>
  <c r="O667" i="5"/>
  <c r="P668" i="5"/>
  <c r="W682" i="5"/>
  <c r="O684" i="5"/>
  <c r="O686" i="5"/>
  <c r="O698" i="5"/>
  <c r="N699" i="5"/>
  <c r="P700" i="5"/>
  <c r="O701" i="5"/>
  <c r="O708" i="5"/>
  <c r="P710" i="5"/>
  <c r="U719" i="5"/>
  <c r="T719" i="5"/>
  <c r="P733" i="5"/>
  <c r="O733" i="5"/>
  <c r="U739" i="5"/>
  <c r="W739" i="5"/>
  <c r="N740" i="5"/>
  <c r="P740" i="5"/>
  <c r="W746" i="5"/>
  <c r="U754" i="5"/>
  <c r="W764" i="5"/>
  <c r="V784" i="5"/>
  <c r="W784" i="5"/>
  <c r="T806" i="5"/>
  <c r="T809" i="5"/>
  <c r="V809" i="5"/>
  <c r="U809" i="5"/>
  <c r="V848" i="5"/>
  <c r="W848" i="5"/>
  <c r="T848" i="5"/>
  <c r="W882" i="5"/>
  <c r="U882" i="5"/>
  <c r="V887" i="5"/>
  <c r="T887" i="5"/>
  <c r="W1003" i="5"/>
  <c r="V1003" i="5"/>
  <c r="U1003" i="5"/>
  <c r="P1020" i="5"/>
  <c r="N1020" i="5"/>
  <c r="O1020" i="5"/>
  <c r="T1030" i="5"/>
  <c r="V1030" i="5"/>
  <c r="U1030" i="5"/>
  <c r="W1030" i="5"/>
  <c r="W539" i="5"/>
  <c r="W547" i="5"/>
  <c r="V555" i="5"/>
  <c r="V560" i="5"/>
  <c r="V562" i="5"/>
  <c r="P566" i="5"/>
  <c r="W567" i="5"/>
  <c r="W575" i="5"/>
  <c r="U576" i="5"/>
  <c r="V578" i="5"/>
  <c r="O583" i="5"/>
  <c r="W587" i="5"/>
  <c r="V604" i="5"/>
  <c r="N632" i="5"/>
  <c r="P632" i="5"/>
  <c r="P653" i="5"/>
  <c r="O653" i="5"/>
  <c r="N653" i="5"/>
  <c r="W656" i="5"/>
  <c r="V657" i="5"/>
  <c r="W658" i="5"/>
  <c r="W659" i="5"/>
  <c r="W662" i="5"/>
  <c r="P679" i="5"/>
  <c r="O679" i="5"/>
  <c r="N679" i="5"/>
  <c r="V718" i="5"/>
  <c r="U718" i="5"/>
  <c r="N720" i="5"/>
  <c r="O720" i="5"/>
  <c r="U723" i="5"/>
  <c r="W723" i="5"/>
  <c r="V730" i="5"/>
  <c r="U730" i="5"/>
  <c r="U735" i="5"/>
  <c r="T735" i="5"/>
  <c r="N736" i="5"/>
  <c r="P736" i="5"/>
  <c r="W754" i="5"/>
  <c r="N766" i="5"/>
  <c r="P766" i="5"/>
  <c r="V775" i="5"/>
  <c r="W775" i="5"/>
  <c r="V798" i="5"/>
  <c r="T798" i="5"/>
  <c r="W806" i="5"/>
  <c r="T814" i="5"/>
  <c r="P817" i="5"/>
  <c r="O817" i="5"/>
  <c r="N817" i="5"/>
  <c r="W824" i="5"/>
  <c r="U824" i="5"/>
  <c r="V859" i="5"/>
  <c r="W859" i="5"/>
  <c r="T859" i="5"/>
  <c r="N955" i="5"/>
  <c r="P955" i="5"/>
  <c r="U966" i="5"/>
  <c r="W966" i="5"/>
  <c r="V966" i="5"/>
  <c r="U568" i="5"/>
  <c r="W578" i="5"/>
  <c r="U588" i="5"/>
  <c r="P608" i="5"/>
  <c r="O608" i="5"/>
  <c r="V615" i="5"/>
  <c r="W615" i="5"/>
  <c r="V660" i="5"/>
  <c r="U660" i="5"/>
  <c r="V692" i="5"/>
  <c r="U692" i="5"/>
  <c r="U693" i="5"/>
  <c r="W693" i="5"/>
  <c r="T693" i="5"/>
  <c r="V704" i="5"/>
  <c r="U704" i="5"/>
  <c r="U705" i="5"/>
  <c r="W705" i="5"/>
  <c r="T705" i="5"/>
  <c r="V722" i="5"/>
  <c r="U722" i="5"/>
  <c r="N724" i="5"/>
  <c r="O724" i="5"/>
  <c r="W728" i="5"/>
  <c r="P739" i="5"/>
  <c r="N739" i="5"/>
  <c r="W750" i="5"/>
  <c r="W752" i="5"/>
  <c r="N756" i="5"/>
  <c r="P756" i="5"/>
  <c r="N784" i="5"/>
  <c r="P784" i="5"/>
  <c r="O784" i="5"/>
  <c r="V786" i="5"/>
  <c r="W786" i="5"/>
  <c r="N799" i="5"/>
  <c r="O799" i="5"/>
  <c r="T801" i="5"/>
  <c r="W801" i="5"/>
  <c r="V801" i="5"/>
  <c r="W814" i="5"/>
  <c r="W816" i="5"/>
  <c r="U816" i="5"/>
  <c r="U834" i="5"/>
  <c r="T834" i="5"/>
  <c r="W834" i="5"/>
  <c r="N855" i="5"/>
  <c r="O855" i="5"/>
  <c r="P855" i="5"/>
  <c r="V881" i="5"/>
  <c r="T881" i="5"/>
  <c r="P923" i="5"/>
  <c r="N951" i="5"/>
  <c r="O951" i="5"/>
  <c r="P951" i="5"/>
  <c r="U516" i="5"/>
  <c r="W522" i="5"/>
  <c r="O532" i="5"/>
  <c r="W534" i="5"/>
  <c r="U541" i="5"/>
  <c r="T549" i="5"/>
  <c r="U550" i="5"/>
  <c r="N555" i="5"/>
  <c r="U556" i="5"/>
  <c r="O560" i="5"/>
  <c r="N562" i="5"/>
  <c r="V563" i="5"/>
  <c r="V568" i="5"/>
  <c r="T569" i="5"/>
  <c r="N575" i="5"/>
  <c r="W576" i="5"/>
  <c r="W579" i="5"/>
  <c r="V588" i="5"/>
  <c r="W591" i="5"/>
  <c r="W595" i="5"/>
  <c r="N604" i="5"/>
  <c r="P607" i="5"/>
  <c r="O607" i="5"/>
  <c r="V610" i="5"/>
  <c r="W611" i="5"/>
  <c r="U612" i="5"/>
  <c r="T614" i="5"/>
  <c r="V614" i="5"/>
  <c r="V618" i="5"/>
  <c r="N624" i="5"/>
  <c r="P624" i="5"/>
  <c r="U631" i="5"/>
  <c r="W636" i="5"/>
  <c r="W654" i="5"/>
  <c r="O656" i="5"/>
  <c r="O661" i="5"/>
  <c r="W680" i="5"/>
  <c r="U689" i="5"/>
  <c r="T689" i="5"/>
  <c r="W690" i="5"/>
  <c r="U714" i="5"/>
  <c r="V716" i="5"/>
  <c r="U716" i="5"/>
  <c r="N723" i="5"/>
  <c r="V726" i="5"/>
  <c r="U726" i="5"/>
  <c r="P735" i="5"/>
  <c r="N735" i="5"/>
  <c r="U741" i="5"/>
  <c r="W741" i="5"/>
  <c r="W744" i="5"/>
  <c r="W772" i="5"/>
  <c r="U772" i="5"/>
  <c r="P773" i="5"/>
  <c r="T781" i="5"/>
  <c r="W781" i="5"/>
  <c r="V781" i="5"/>
  <c r="V783" i="5"/>
  <c r="T783" i="5"/>
  <c r="N798" i="5"/>
  <c r="P798" i="5"/>
  <c r="O798" i="5"/>
  <c r="T805" i="5"/>
  <c r="V805" i="5"/>
  <c r="U805" i="5"/>
  <c r="T886" i="5"/>
  <c r="W886" i="5"/>
  <c r="V886" i="5"/>
  <c r="U886" i="5"/>
  <c r="N917" i="5"/>
  <c r="P917" i="5"/>
  <c r="U461" i="5"/>
  <c r="V479" i="5"/>
  <c r="V468" i="5"/>
  <c r="V516" i="5"/>
  <c r="V523" i="5"/>
  <c r="U528" i="5"/>
  <c r="V535" i="5"/>
  <c r="W542" i="5"/>
  <c r="T543" i="5"/>
  <c r="U549" i="5"/>
  <c r="V550" i="5"/>
  <c r="O555" i="5"/>
  <c r="V556" i="5"/>
  <c r="V558" i="5"/>
  <c r="P562" i="5"/>
  <c r="W563" i="5"/>
  <c r="W568" i="5"/>
  <c r="V571" i="5"/>
  <c r="O575" i="5"/>
  <c r="N578" i="5"/>
  <c r="U580" i="5"/>
  <c r="W588" i="5"/>
  <c r="V592" i="5"/>
  <c r="V596" i="5"/>
  <c r="P604" i="5"/>
  <c r="W610" i="5"/>
  <c r="V612" i="5"/>
  <c r="N615" i="5"/>
  <c r="W618" i="5"/>
  <c r="V631" i="5"/>
  <c r="V648" i="5"/>
  <c r="W648" i="5"/>
  <c r="P651" i="5"/>
  <c r="N651" i="5"/>
  <c r="W679" i="5"/>
  <c r="V702" i="5"/>
  <c r="U702" i="5"/>
  <c r="U703" i="5"/>
  <c r="T703" i="5"/>
  <c r="W709" i="5"/>
  <c r="U710" i="5"/>
  <c r="W714" i="5"/>
  <c r="N718" i="5"/>
  <c r="O718" i="5"/>
  <c r="N730" i="5"/>
  <c r="O730" i="5"/>
  <c r="U737" i="5"/>
  <c r="W737" i="5"/>
  <c r="N742" i="5"/>
  <c r="P742" i="5"/>
  <c r="N746" i="5"/>
  <c r="P746" i="5"/>
  <c r="O746" i="5"/>
  <c r="P769" i="5"/>
  <c r="N769" i="5"/>
  <c r="V782" i="5"/>
  <c r="T782" i="5"/>
  <c r="V791" i="5"/>
  <c r="W791" i="5"/>
  <c r="T791" i="5"/>
  <c r="V817" i="5"/>
  <c r="N851" i="5"/>
  <c r="P851" i="5"/>
  <c r="V891" i="5"/>
  <c r="T891" i="5"/>
  <c r="W891" i="5"/>
  <c r="N900" i="5"/>
  <c r="O900" i="5"/>
  <c r="P900" i="5"/>
  <c r="N916" i="5"/>
  <c r="P916" i="5"/>
  <c r="O916" i="5"/>
  <c r="V543" i="5"/>
  <c r="W550" i="5"/>
  <c r="U564" i="5"/>
  <c r="T565" i="5"/>
  <c r="P600" i="5"/>
  <c r="O600" i="5"/>
  <c r="W631" i="5"/>
  <c r="V645" i="5"/>
  <c r="V666" i="5"/>
  <c r="U666" i="5"/>
  <c r="W668" i="5"/>
  <c r="T677" i="5"/>
  <c r="U678" i="5"/>
  <c r="N689" i="5"/>
  <c r="O690" i="5"/>
  <c r="V700" i="5"/>
  <c r="U700" i="5"/>
  <c r="W707" i="5"/>
  <c r="W710" i="5"/>
  <c r="U721" i="5"/>
  <c r="W721" i="5"/>
  <c r="T721" i="5"/>
  <c r="N722" i="5"/>
  <c r="O722" i="5"/>
  <c r="W724" i="5"/>
  <c r="N738" i="5"/>
  <c r="P738" i="5"/>
  <c r="N758" i="5"/>
  <c r="O758" i="5"/>
  <c r="N783" i="5"/>
  <c r="P783" i="5"/>
  <c r="O783" i="5"/>
  <c r="W785" i="5"/>
  <c r="V785" i="5"/>
  <c r="T785" i="5"/>
  <c r="T789" i="5"/>
  <c r="W789" i="5"/>
  <c r="V789" i="5"/>
  <c r="V794" i="5"/>
  <c r="T794" i="5"/>
  <c r="W809" i="5"/>
  <c r="W817" i="5"/>
  <c r="N828" i="5"/>
  <c r="O828" i="5"/>
  <c r="V832" i="5"/>
  <c r="T832" i="5"/>
  <c r="V833" i="5"/>
  <c r="U833" i="5"/>
  <c r="W833" i="5"/>
  <c r="T833" i="5"/>
  <c r="U885" i="5"/>
  <c r="T885" i="5"/>
  <c r="W712" i="5"/>
  <c r="W762" i="5"/>
  <c r="T770" i="5"/>
  <c r="W774" i="5"/>
  <c r="W778" i="5"/>
  <c r="T790" i="5"/>
  <c r="V793" i="5"/>
  <c r="V797" i="5"/>
  <c r="T802" i="5"/>
  <c r="N805" i="5"/>
  <c r="O809" i="5"/>
  <c r="O813" i="5"/>
  <c r="W818" i="5"/>
  <c r="T819" i="5"/>
  <c r="T821" i="5"/>
  <c r="U821" i="5"/>
  <c r="W821" i="5"/>
  <c r="V822" i="5"/>
  <c r="T822" i="5"/>
  <c r="U823" i="5"/>
  <c r="T823" i="5"/>
  <c r="P825" i="5"/>
  <c r="W835" i="5"/>
  <c r="T838" i="5"/>
  <c r="V838" i="5"/>
  <c r="U840" i="5"/>
  <c r="T840" i="5"/>
  <c r="P841" i="5"/>
  <c r="O846" i="5"/>
  <c r="N860" i="5"/>
  <c r="P860" i="5"/>
  <c r="T864" i="5"/>
  <c r="V866" i="5"/>
  <c r="T867" i="5"/>
  <c r="U877" i="5"/>
  <c r="O887" i="5"/>
  <c r="O891" i="5"/>
  <c r="O892" i="5"/>
  <c r="T907" i="5"/>
  <c r="V919" i="5"/>
  <c r="T919" i="5"/>
  <c r="W930" i="5"/>
  <c r="U930" i="5"/>
  <c r="V930" i="5"/>
  <c r="W937" i="5"/>
  <c r="O948" i="5"/>
  <c r="N948" i="5"/>
  <c r="P948" i="5"/>
  <c r="W965" i="5"/>
  <c r="T965" i="5"/>
  <c r="U965" i="5"/>
  <c r="O971" i="5"/>
  <c r="N971" i="5"/>
  <c r="T1032" i="5"/>
  <c r="U1032" i="5"/>
  <c r="V1032" i="5"/>
  <c r="W1035" i="5"/>
  <c r="U1035" i="5"/>
  <c r="V1035" i="5"/>
  <c r="W790" i="5"/>
  <c r="W793" i="5"/>
  <c r="W802" i="5"/>
  <c r="T836" i="5"/>
  <c r="W836" i="5"/>
  <c r="V837" i="5"/>
  <c r="U837" i="5"/>
  <c r="N848" i="5"/>
  <c r="P848" i="5"/>
  <c r="U862" i="5"/>
  <c r="W864" i="5"/>
  <c r="W867" i="5"/>
  <c r="T878" i="5"/>
  <c r="U878" i="5"/>
  <c r="P886" i="5"/>
  <c r="O886" i="5"/>
  <c r="P887" i="5"/>
  <c r="T894" i="5"/>
  <c r="U894" i="5"/>
  <c r="W894" i="5"/>
  <c r="N897" i="5"/>
  <c r="O897" i="5"/>
  <c r="W907" i="5"/>
  <c r="N939" i="5"/>
  <c r="P939" i="5"/>
  <c r="T1002" i="5"/>
  <c r="V1002" i="5"/>
  <c r="U1002" i="5"/>
  <c r="W1002" i="5"/>
  <c r="W1029" i="5"/>
  <c r="U1029" i="5"/>
  <c r="V1029" i="5"/>
  <c r="N847" i="5"/>
  <c r="P847" i="5"/>
  <c r="T868" i="5"/>
  <c r="V868" i="5"/>
  <c r="W868" i="5"/>
  <c r="N881" i="5"/>
  <c r="P881" i="5"/>
  <c r="T908" i="5"/>
  <c r="W908" i="5"/>
  <c r="V908" i="5"/>
  <c r="N911" i="5"/>
  <c r="O911" i="5"/>
  <c r="V929" i="5"/>
  <c r="T929" i="5"/>
  <c r="U944" i="5"/>
  <c r="W944" i="5"/>
  <c r="W758" i="5"/>
  <c r="V850" i="5"/>
  <c r="N857" i="5"/>
  <c r="P857" i="5"/>
  <c r="W862" i="5"/>
  <c r="N880" i="5"/>
  <c r="P880" i="5"/>
  <c r="T900" i="5"/>
  <c r="W900" i="5"/>
  <c r="V900" i="5"/>
  <c r="U917" i="5"/>
  <c r="T917" i="5"/>
  <c r="U932" i="5"/>
  <c r="W1031" i="5"/>
  <c r="U1031" i="5"/>
  <c r="V1031" i="5"/>
  <c r="T1034" i="5"/>
  <c r="V1034" i="5"/>
  <c r="U1034" i="5"/>
  <c r="W1034" i="5"/>
  <c r="P678" i="5"/>
  <c r="P682" i="5"/>
  <c r="U688" i="5"/>
  <c r="W732" i="5"/>
  <c r="W733" i="5"/>
  <c r="U734" i="5"/>
  <c r="U736" i="5"/>
  <c r="U738" i="5"/>
  <c r="U740" i="5"/>
  <c r="U742" i="5"/>
  <c r="P748" i="5"/>
  <c r="U756" i="5"/>
  <c r="P760" i="5"/>
  <c r="U766" i="5"/>
  <c r="P776" i="5"/>
  <c r="P782" i="5"/>
  <c r="O785" i="5"/>
  <c r="P790" i="5"/>
  <c r="O791" i="5"/>
  <c r="P802" i="5"/>
  <c r="U812" i="5"/>
  <c r="U813" i="5"/>
  <c r="P819" i="5"/>
  <c r="P836" i="5"/>
  <c r="O836" i="5"/>
  <c r="N844" i="5"/>
  <c r="P844" i="5"/>
  <c r="U846" i="5"/>
  <c r="W850" i="5"/>
  <c r="P856" i="5"/>
  <c r="V861" i="5"/>
  <c r="U861" i="5"/>
  <c r="N879" i="5"/>
  <c r="P879" i="5"/>
  <c r="V884" i="5"/>
  <c r="N889" i="5"/>
  <c r="P889" i="5"/>
  <c r="P894" i="5"/>
  <c r="P895" i="5"/>
  <c r="P901" i="5"/>
  <c r="T926" i="5"/>
  <c r="U926" i="5"/>
  <c r="N929" i="5"/>
  <c r="P929" i="5"/>
  <c r="V932" i="5"/>
  <c r="T934" i="5"/>
  <c r="U934" i="5"/>
  <c r="O952" i="5"/>
  <c r="T986" i="5"/>
  <c r="W986" i="5"/>
  <c r="U986" i="5"/>
  <c r="W995" i="5"/>
  <c r="U995" i="5"/>
  <c r="W1001" i="5"/>
  <c r="U1001" i="5"/>
  <c r="V1001" i="5"/>
  <c r="W688" i="5"/>
  <c r="W734" i="5"/>
  <c r="W736" i="5"/>
  <c r="W738" i="5"/>
  <c r="W740" i="5"/>
  <c r="W742" i="5"/>
  <c r="W756" i="5"/>
  <c r="U773" i="5"/>
  <c r="T788" i="5"/>
  <c r="V813" i="5"/>
  <c r="W826" i="5"/>
  <c r="T826" i="5"/>
  <c r="V841" i="5"/>
  <c r="T841" i="5"/>
  <c r="N843" i="5"/>
  <c r="O843" i="5"/>
  <c r="V846" i="5"/>
  <c r="N864" i="5"/>
  <c r="P864" i="5"/>
  <c r="V883" i="5"/>
  <c r="T883" i="5"/>
  <c r="N908" i="5"/>
  <c r="O908" i="5"/>
  <c r="N915" i="5"/>
  <c r="P915" i="5"/>
  <c r="V931" i="5"/>
  <c r="T931" i="5"/>
  <c r="W931" i="5"/>
  <c r="W932" i="5"/>
  <c r="T940" i="5"/>
  <c r="W940" i="5"/>
  <c r="V940" i="5"/>
  <c r="V941" i="5"/>
  <c r="T941" i="5"/>
  <c r="O972" i="5"/>
  <c r="N972" i="5"/>
  <c r="P972" i="5"/>
  <c r="V974" i="5"/>
  <c r="T990" i="5"/>
  <c r="V990" i="5"/>
  <c r="U990" i="5"/>
  <c r="W990" i="5"/>
  <c r="W1032" i="5"/>
  <c r="T1036" i="5"/>
  <c r="W1036" i="5"/>
  <c r="U1036" i="5"/>
  <c r="W825" i="5"/>
  <c r="W828" i="5"/>
  <c r="W830" i="5"/>
  <c r="W839" i="5"/>
  <c r="W918" i="5"/>
  <c r="U924" i="5"/>
  <c r="U938" i="5"/>
  <c r="W964" i="5"/>
  <c r="U980" i="5"/>
  <c r="U984" i="5"/>
  <c r="U988" i="5"/>
  <c r="W994" i="5"/>
  <c r="W1000" i="5"/>
  <c r="V1004" i="5"/>
  <c r="U1005" i="5"/>
  <c r="V1006" i="5"/>
  <c r="U1007" i="5"/>
  <c r="U1008" i="5"/>
  <c r="U1010" i="5"/>
  <c r="W1028" i="5"/>
  <c r="V1033" i="5"/>
  <c r="U1038" i="5"/>
  <c r="U1042" i="5"/>
  <c r="U1043" i="5"/>
  <c r="W984" i="5"/>
  <c r="W988" i="5"/>
  <c r="W1008" i="5"/>
  <c r="U1014" i="5"/>
  <c r="V1044" i="5"/>
  <c r="U1049" i="5"/>
  <c r="U1054" i="5"/>
  <c r="T953" i="5"/>
  <c r="U954" i="5"/>
  <c r="O962" i="5"/>
  <c r="U970" i="5"/>
  <c r="W982" i="5"/>
  <c r="N986" i="5"/>
  <c r="O1004" i="5"/>
  <c r="V1012" i="5"/>
  <c r="U1013" i="5"/>
  <c r="V1014" i="5"/>
  <c r="U1015" i="5"/>
  <c r="U1016" i="5"/>
  <c r="V1018" i="5"/>
  <c r="U1019" i="5"/>
  <c r="N1032" i="5"/>
  <c r="W1040" i="5"/>
  <c r="W1044" i="5"/>
  <c r="V1045" i="5"/>
  <c r="W1046" i="5"/>
  <c r="V1047" i="5"/>
  <c r="V1048" i="5"/>
  <c r="V1049" i="5"/>
  <c r="W1050" i="5"/>
  <c r="V1052" i="5"/>
  <c r="U1053" i="5"/>
  <c r="V1054" i="5"/>
  <c r="U1055" i="5"/>
  <c r="W943" i="5"/>
  <c r="U948" i="5"/>
  <c r="W953" i="5"/>
  <c r="V954" i="5"/>
  <c r="V970" i="5"/>
  <c r="W978" i="5"/>
  <c r="P984" i="5"/>
  <c r="O986" i="5"/>
  <c r="O988" i="5"/>
  <c r="N1008" i="5"/>
  <c r="V1013" i="5"/>
  <c r="W1014" i="5"/>
  <c r="V1015" i="5"/>
  <c r="V1016" i="5"/>
  <c r="W1018" i="5"/>
  <c r="V1019" i="5"/>
  <c r="U1020" i="5"/>
  <c r="W1048" i="5"/>
  <c r="W1052" i="5"/>
  <c r="V1053" i="5"/>
  <c r="W1054" i="5"/>
  <c r="V1055" i="5"/>
  <c r="W954" i="5"/>
  <c r="W1016" i="5"/>
  <c r="V1020" i="5"/>
  <c r="U830" i="5"/>
  <c r="W855" i="5"/>
  <c r="O863" i="5"/>
  <c r="O867" i="5"/>
  <c r="V870" i="5"/>
  <c r="W897" i="5"/>
  <c r="W902" i="5"/>
  <c r="T903" i="5"/>
  <c r="W911" i="5"/>
  <c r="U916" i="5"/>
  <c r="U918" i="5"/>
  <c r="T921" i="5"/>
  <c r="U922" i="5"/>
  <c r="T923" i="5"/>
  <c r="P927" i="5"/>
  <c r="P933" i="5"/>
  <c r="P935" i="5"/>
  <c r="O936" i="5"/>
  <c r="O943" i="5"/>
  <c r="P945" i="5"/>
  <c r="P947" i="5"/>
  <c r="W948" i="5"/>
  <c r="W951" i="5"/>
  <c r="N960" i="5"/>
  <c r="N969" i="5"/>
  <c r="T976" i="5"/>
  <c r="P978" i="5"/>
  <c r="V992" i="5"/>
  <c r="T993" i="5"/>
  <c r="U994" i="5"/>
  <c r="V996" i="5"/>
  <c r="T997" i="5"/>
  <c r="V998" i="5"/>
  <c r="U999" i="5"/>
  <c r="U1000" i="5"/>
  <c r="O1012" i="5"/>
  <c r="W1020" i="5"/>
  <c r="V1021" i="5"/>
  <c r="W1022" i="5"/>
  <c r="V1023" i="5"/>
  <c r="V1024" i="5"/>
  <c r="W1026" i="5"/>
  <c r="V1027" i="5"/>
  <c r="U1028" i="5"/>
  <c r="N1048" i="5"/>
  <c r="O1052" i="5"/>
  <c r="W903" i="5"/>
  <c r="V964" i="5"/>
  <c r="W992" i="5"/>
  <c r="V994" i="5"/>
  <c r="W998" i="5"/>
  <c r="U1006" i="5"/>
  <c r="W1024" i="5"/>
  <c r="V1028" i="5"/>
  <c r="U1033" i="5"/>
  <c r="F121" i="3"/>
  <c r="E30" i="19" s="1"/>
  <c r="E31" i="19" s="1"/>
  <c r="C235" i="3"/>
  <c r="C89" i="3"/>
  <c r="C167" i="3"/>
  <c r="C290" i="3"/>
  <c r="C355" i="3" s="1"/>
  <c r="V401" i="3"/>
  <c r="V484" i="3"/>
  <c r="A484" i="3" s="1"/>
  <c r="S235" i="3"/>
  <c r="AO401" i="3"/>
  <c r="AO484" i="3"/>
  <c r="S355" i="3"/>
  <c r="S290" i="3"/>
  <c r="S89" i="3"/>
  <c r="S167" i="3"/>
  <c r="F209" i="3"/>
  <c r="E43" i="19" s="1"/>
  <c r="E46"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444" i="5"/>
  <c r="O471" i="5"/>
  <c r="P471" i="5"/>
  <c r="P477" i="5"/>
  <c r="N477" i="5"/>
  <c r="O477" i="5"/>
  <c r="W505" i="5"/>
  <c r="W504" i="5"/>
  <c r="W500" i="5"/>
  <c r="U456" i="5"/>
  <c r="P483" i="5"/>
  <c r="N483" i="5"/>
  <c r="P453" i="5"/>
  <c r="N453" i="5"/>
  <c r="U506" i="5"/>
  <c r="O455" i="5"/>
  <c r="O484" i="5"/>
  <c r="P460" i="5"/>
  <c r="P455" i="5"/>
  <c r="P484" i="5"/>
  <c r="N447" i="5"/>
  <c r="T459" i="5"/>
  <c r="N472" i="5"/>
  <c r="P473" i="5"/>
  <c r="O473" i="5"/>
  <c r="O442" i="5"/>
  <c r="P442" i="5"/>
  <c r="O447" i="5"/>
  <c r="U459" i="5"/>
  <c r="T494" i="5"/>
  <c r="P506" i="5"/>
  <c r="O491" i="5"/>
  <c r="T492" i="5"/>
  <c r="O449" i="5"/>
  <c r="P449" i="5"/>
  <c r="U494" i="5"/>
  <c r="U492" i="5"/>
  <c r="O457" i="5"/>
  <c r="V455" i="5"/>
  <c r="V457" i="5"/>
  <c r="V484" i="5"/>
  <c r="W483" i="5"/>
  <c r="T453" i="5"/>
  <c r="T477" i="5"/>
  <c r="T467" i="5"/>
  <c r="T485" i="5"/>
  <c r="T488" i="5"/>
  <c r="T440" i="5"/>
  <c r="V465" i="5"/>
  <c r="O514" i="5"/>
  <c r="P514" i="5"/>
  <c r="N514" i="5"/>
  <c r="V453" i="5"/>
  <c r="V477" i="5"/>
  <c r="V467" i="5"/>
  <c r="V485" i="5"/>
  <c r="V488" i="5"/>
  <c r="V440" i="5"/>
  <c r="P467" i="5"/>
  <c r="N467" i="5"/>
  <c r="P485" i="5"/>
  <c r="N485" i="5"/>
  <c r="P488" i="5"/>
  <c r="N488" i="5"/>
  <c r="P440" i="5"/>
  <c r="N440" i="5"/>
  <c r="N481" i="5"/>
  <c r="P510" i="5"/>
  <c r="N510" i="5"/>
  <c r="O530" i="5"/>
  <c r="P530" i="5"/>
  <c r="N530" i="5"/>
  <c r="P452" i="5"/>
  <c r="P454" i="5"/>
  <c r="P490" i="5"/>
  <c r="P463" i="5"/>
  <c r="P481" i="5"/>
  <c r="U513" i="5"/>
  <c r="O515" i="5"/>
  <c r="U529" i="5"/>
  <c r="O531" i="5"/>
  <c r="U545" i="5"/>
  <c r="O547" i="5"/>
  <c r="N570" i="5"/>
  <c r="P573" i="5"/>
  <c r="N573" i="5"/>
  <c r="T577" i="5"/>
  <c r="V581" i="5"/>
  <c r="P585" i="5"/>
  <c r="N585" i="5"/>
  <c r="N586" i="5"/>
  <c r="O586" i="5"/>
  <c r="P593" i="5"/>
  <c r="N593" i="5"/>
  <c r="V597" i="5"/>
  <c r="W597"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7" i="5"/>
  <c r="V577" i="5"/>
  <c r="V589" i="5"/>
  <c r="W589" i="5"/>
  <c r="O598" i="5"/>
  <c r="N598" i="5"/>
  <c r="T537" i="5"/>
  <c r="O545" i="5"/>
  <c r="T553" i="5"/>
  <c r="P581" i="5"/>
  <c r="N581" i="5"/>
  <c r="U510" i="5"/>
  <c r="U521" i="5"/>
  <c r="U537" i="5"/>
  <c r="U553" i="5"/>
  <c r="O582" i="5"/>
  <c r="N582" i="5"/>
  <c r="P589" i="5"/>
  <c r="O589" i="5"/>
  <c r="N589" i="5"/>
  <c r="O590" i="5"/>
  <c r="N590" i="5"/>
  <c r="P517" i="5"/>
  <c r="N517" i="5"/>
  <c r="N518" i="5"/>
  <c r="V521" i="5"/>
  <c r="P533" i="5"/>
  <c r="N533" i="5"/>
  <c r="N534" i="5"/>
  <c r="V537" i="5"/>
  <c r="N546" i="5"/>
  <c r="P549" i="5"/>
  <c r="N549" i="5"/>
  <c r="N550" i="5"/>
  <c r="T551" i="5"/>
  <c r="V553" i="5"/>
  <c r="U557" i="5"/>
  <c r="U561" i="5"/>
  <c r="U565" i="5"/>
  <c r="V573" i="5"/>
  <c r="P577" i="5"/>
  <c r="N577" i="5"/>
  <c r="P578" i="5"/>
  <c r="W585" i="5"/>
  <c r="V585" i="5"/>
  <c r="W593" i="5"/>
  <c r="V593" i="5"/>
  <c r="T593" i="5"/>
  <c r="T597" i="5"/>
  <c r="N521" i="5"/>
  <c r="V525" i="5"/>
  <c r="N537" i="5"/>
  <c r="V541" i="5"/>
  <c r="P546" i="5"/>
  <c r="N553" i="5"/>
  <c r="V557" i="5"/>
  <c r="V561" i="5"/>
  <c r="V565" i="5"/>
  <c r="W569" i="5"/>
  <c r="V569" i="5"/>
  <c r="T581" i="5"/>
  <c r="N594" i="5"/>
  <c r="P594" i="5"/>
  <c r="O594" i="5"/>
  <c r="U597" i="5"/>
  <c r="N597" i="5"/>
  <c r="O602" i="5"/>
  <c r="N605" i="5"/>
  <c r="W605" i="5"/>
  <c r="O610" i="5"/>
  <c r="U611" i="5"/>
  <c r="N613" i="5"/>
  <c r="W613" i="5"/>
  <c r="O618" i="5"/>
  <c r="U619" i="5"/>
  <c r="W622" i="5"/>
  <c r="O625" i="5"/>
  <c r="U626" i="5"/>
  <c r="V629" i="5"/>
  <c r="T630" i="5"/>
  <c r="U633" i="5"/>
  <c r="T637" i="5"/>
  <c r="O639" i="5"/>
  <c r="U640" i="5"/>
  <c r="N643" i="5"/>
  <c r="W643" i="5"/>
  <c r="N647" i="5"/>
  <c r="T649" i="5"/>
  <c r="O652" i="5"/>
  <c r="V653" i="5"/>
  <c r="O657" i="5"/>
  <c r="U659" i="5"/>
  <c r="N663" i="5"/>
  <c r="V665" i="5"/>
  <c r="O597" i="5"/>
  <c r="N600" i="5"/>
  <c r="T601" i="5"/>
  <c r="P602" i="5"/>
  <c r="O605" i="5"/>
  <c r="N608" i="5"/>
  <c r="T609" i="5"/>
  <c r="P610" i="5"/>
  <c r="V611" i="5"/>
  <c r="O613" i="5"/>
  <c r="N616" i="5"/>
  <c r="T617" i="5"/>
  <c r="P618" i="5"/>
  <c r="V619" i="5"/>
  <c r="P625" i="5"/>
  <c r="W626" i="5"/>
  <c r="T627" i="5"/>
  <c r="W629" i="5"/>
  <c r="U630" i="5"/>
  <c r="W633" i="5"/>
  <c r="T634" i="5"/>
  <c r="U637" i="5"/>
  <c r="P639" i="5"/>
  <c r="W640" i="5"/>
  <c r="T641" i="5"/>
  <c r="O643" i="5"/>
  <c r="N646" i="5"/>
  <c r="O646" i="5"/>
  <c r="O647" i="5"/>
  <c r="U649" i="5"/>
  <c r="P652" i="5"/>
  <c r="W653" i="5"/>
  <c r="T655" i="5"/>
  <c r="N662" i="5"/>
  <c r="O662" i="5"/>
  <c r="O663" i="5"/>
  <c r="W665" i="5"/>
  <c r="V675" i="5"/>
  <c r="U601" i="5"/>
  <c r="U609" i="5"/>
  <c r="O616" i="5"/>
  <c r="U617" i="5"/>
  <c r="N619" i="5"/>
  <c r="O626" i="5"/>
  <c r="U627" i="5"/>
  <c r="W630" i="5"/>
  <c r="O633" i="5"/>
  <c r="U634" i="5"/>
  <c r="N637" i="5"/>
  <c r="T638" i="5"/>
  <c r="U641" i="5"/>
  <c r="T645" i="5"/>
  <c r="U655" i="5"/>
  <c r="P671" i="5"/>
  <c r="O671" i="5"/>
  <c r="N673" i="5"/>
  <c r="W675" i="5"/>
  <c r="P683" i="5"/>
  <c r="N683" i="5"/>
  <c r="T575" i="5"/>
  <c r="O579" i="5"/>
  <c r="T583" i="5"/>
  <c r="O587" i="5"/>
  <c r="T591" i="5"/>
  <c r="O595" i="5"/>
  <c r="T599" i="5"/>
  <c r="V601" i="5"/>
  <c r="O603" i="5"/>
  <c r="N606" i="5"/>
  <c r="T607" i="5"/>
  <c r="V609" i="5"/>
  <c r="O611" i="5"/>
  <c r="N614" i="5"/>
  <c r="T615" i="5"/>
  <c r="O619" i="5"/>
  <c r="N622" i="5"/>
  <c r="O622" i="5"/>
  <c r="N623" i="5"/>
  <c r="T624" i="5"/>
  <c r="P626" i="5"/>
  <c r="P633" i="5"/>
  <c r="W634" i="5"/>
  <c r="T635" i="5"/>
  <c r="U638" i="5"/>
  <c r="W641" i="5"/>
  <c r="T642" i="5"/>
  <c r="O644" i="5"/>
  <c r="P648" i="5"/>
  <c r="N649" i="5"/>
  <c r="T651" i="5"/>
  <c r="W655" i="5"/>
  <c r="N658" i="5"/>
  <c r="O658" i="5"/>
  <c r="O659" i="5"/>
  <c r="P665" i="5"/>
  <c r="O665" i="5"/>
  <c r="U667" i="5"/>
  <c r="W667" i="5"/>
  <c r="T667" i="5"/>
  <c r="T669" i="5"/>
  <c r="O673" i="5"/>
  <c r="N601" i="5"/>
  <c r="O606" i="5"/>
  <c r="N609" i="5"/>
  <c r="O614" i="5"/>
  <c r="U615" i="5"/>
  <c r="N617" i="5"/>
  <c r="T621" i="5"/>
  <c r="O623" i="5"/>
  <c r="U624" i="5"/>
  <c r="N627" i="5"/>
  <c r="O634" i="5"/>
  <c r="U635" i="5"/>
  <c r="W638" i="5"/>
  <c r="O641" i="5"/>
  <c r="U642" i="5"/>
  <c r="P644" i="5"/>
  <c r="O649" i="5"/>
  <c r="U651" i="5"/>
  <c r="N655" i="5"/>
  <c r="O660" i="5"/>
  <c r="V669" i="5"/>
  <c r="T681" i="5"/>
  <c r="O601" i="5"/>
  <c r="T605" i="5"/>
  <c r="O609" i="5"/>
  <c r="T613" i="5"/>
  <c r="O617" i="5"/>
  <c r="U621" i="5"/>
  <c r="W624" i="5"/>
  <c r="T625" i="5"/>
  <c r="O627" i="5"/>
  <c r="N630" i="5"/>
  <c r="O630" i="5"/>
  <c r="T632" i="5"/>
  <c r="P634" i="5"/>
  <c r="P641" i="5"/>
  <c r="T643" i="5"/>
  <c r="T647" i="5"/>
  <c r="N654" i="5"/>
  <c r="O654" i="5"/>
  <c r="O655" i="5"/>
  <c r="U657" i="5"/>
  <c r="P660" i="5"/>
  <c r="U605" i="5"/>
  <c r="U613" i="5"/>
  <c r="U625" i="5"/>
  <c r="T629" i="5"/>
  <c r="U632" i="5"/>
  <c r="U643" i="5"/>
  <c r="U647" i="5"/>
  <c r="V663" i="5"/>
  <c r="T663" i="5"/>
  <c r="W663" i="5"/>
  <c r="U681" i="5"/>
  <c r="W681" i="5"/>
  <c r="U685" i="5"/>
  <c r="T685" i="5"/>
  <c r="W685" i="5"/>
  <c r="O615" i="5"/>
  <c r="U622" i="5"/>
  <c r="W625" i="5"/>
  <c r="T626" i="5"/>
  <c r="W632" i="5"/>
  <c r="T633" i="5"/>
  <c r="O635" i="5"/>
  <c r="N638" i="5"/>
  <c r="O638" i="5"/>
  <c r="T640" i="5"/>
  <c r="P642" i="5"/>
  <c r="W647" i="5"/>
  <c r="N650" i="5"/>
  <c r="O650" i="5"/>
  <c r="U671" i="5"/>
  <c r="W671" i="5"/>
  <c r="P677" i="5"/>
  <c r="N677" i="5"/>
  <c r="V687" i="5"/>
  <c r="W697" i="5"/>
  <c r="V703" i="5"/>
  <c r="W713" i="5"/>
  <c r="V719" i="5"/>
  <c r="W729" i="5"/>
  <c r="V735" i="5"/>
  <c r="N745" i="5"/>
  <c r="P745" i="5"/>
  <c r="V751" i="5"/>
  <c r="U751" i="5"/>
  <c r="T755" i="5"/>
  <c r="N761" i="5"/>
  <c r="P761" i="5"/>
  <c r="V769" i="5"/>
  <c r="O675" i="5"/>
  <c r="V677" i="5"/>
  <c r="N681" i="5"/>
  <c r="T683" i="5"/>
  <c r="W687" i="5"/>
  <c r="O691" i="5"/>
  <c r="V693" i="5"/>
  <c r="N697" i="5"/>
  <c r="T699" i="5"/>
  <c r="W703" i="5"/>
  <c r="O707" i="5"/>
  <c r="V709" i="5"/>
  <c r="N713" i="5"/>
  <c r="T715" i="5"/>
  <c r="W719" i="5"/>
  <c r="O723" i="5"/>
  <c r="V725" i="5"/>
  <c r="N729" i="5"/>
  <c r="T731" i="5"/>
  <c r="W735" i="5"/>
  <c r="O739" i="5"/>
  <c r="V741" i="5"/>
  <c r="N747" i="5"/>
  <c r="P747" i="5"/>
  <c r="V753" i="5"/>
  <c r="U753" i="5"/>
  <c r="T757" i="5"/>
  <c r="N763" i="5"/>
  <c r="P763" i="5"/>
  <c r="W768" i="5"/>
  <c r="T768" i="5"/>
  <c r="V768" i="5"/>
  <c r="W769" i="5"/>
  <c r="N788" i="5"/>
  <c r="O788" i="5"/>
  <c r="P788" i="5"/>
  <c r="V792" i="5"/>
  <c r="U792" i="5"/>
  <c r="T792" i="5"/>
  <c r="V683" i="5"/>
  <c r="N687" i="5"/>
  <c r="V699" i="5"/>
  <c r="V715" i="5"/>
  <c r="V731" i="5"/>
  <c r="T743" i="5"/>
  <c r="N749" i="5"/>
  <c r="P749" i="5"/>
  <c r="V755" i="5"/>
  <c r="U755" i="5"/>
  <c r="T759" i="5"/>
  <c r="N765" i="5"/>
  <c r="P765" i="5"/>
  <c r="W771" i="5"/>
  <c r="U771" i="5"/>
  <c r="V771" i="5"/>
  <c r="N780" i="5"/>
  <c r="O780" i="5"/>
  <c r="P780" i="5"/>
  <c r="V795" i="5"/>
  <c r="W795" i="5"/>
  <c r="T795" i="5"/>
  <c r="U620" i="5"/>
  <c r="U628" i="5"/>
  <c r="U636" i="5"/>
  <c r="U644" i="5"/>
  <c r="V673" i="5"/>
  <c r="T679" i="5"/>
  <c r="W683" i="5"/>
  <c r="O687" i="5"/>
  <c r="V689" i="5"/>
  <c r="N693" i="5"/>
  <c r="T695" i="5"/>
  <c r="W699" i="5"/>
  <c r="O703" i="5"/>
  <c r="V705" i="5"/>
  <c r="N709" i="5"/>
  <c r="T711" i="5"/>
  <c r="W715" i="5"/>
  <c r="O719" i="5"/>
  <c r="V721" i="5"/>
  <c r="N725" i="5"/>
  <c r="T727" i="5"/>
  <c r="W731" i="5"/>
  <c r="O735" i="5"/>
  <c r="V737" i="5"/>
  <c r="N741" i="5"/>
  <c r="T745" i="5"/>
  <c r="N751" i="5"/>
  <c r="P751" i="5"/>
  <c r="V757" i="5"/>
  <c r="U757" i="5"/>
  <c r="T761" i="5"/>
  <c r="V772" i="5"/>
  <c r="T772" i="5"/>
  <c r="P779" i="5"/>
  <c r="O779" i="5"/>
  <c r="N786" i="5"/>
  <c r="P786" i="5"/>
  <c r="O786" i="5"/>
  <c r="N787" i="5"/>
  <c r="P787" i="5"/>
  <c r="V679" i="5"/>
  <c r="O693" i="5"/>
  <c r="V695" i="5"/>
  <c r="T701" i="5"/>
  <c r="O709" i="5"/>
  <c r="V711" i="5"/>
  <c r="N715" i="5"/>
  <c r="T717" i="5"/>
  <c r="O725" i="5"/>
  <c r="V727" i="5"/>
  <c r="N731" i="5"/>
  <c r="T733" i="5"/>
  <c r="O741" i="5"/>
  <c r="V743" i="5"/>
  <c r="U743" i="5"/>
  <c r="T747" i="5"/>
  <c r="N753" i="5"/>
  <c r="P753" i="5"/>
  <c r="V759" i="5"/>
  <c r="U759" i="5"/>
  <c r="T763" i="5"/>
  <c r="O768" i="5"/>
  <c r="P768" i="5"/>
  <c r="N771" i="5"/>
  <c r="N795" i="5"/>
  <c r="P795" i="5"/>
  <c r="O795" i="5"/>
  <c r="T691" i="5"/>
  <c r="V701" i="5"/>
  <c r="N705" i="5"/>
  <c r="V717" i="5"/>
  <c r="N721" i="5"/>
  <c r="T723" i="5"/>
  <c r="O731" i="5"/>
  <c r="V733" i="5"/>
  <c r="N737" i="5"/>
  <c r="T739" i="5"/>
  <c r="V745" i="5"/>
  <c r="U745" i="5"/>
  <c r="T749" i="5"/>
  <c r="N755" i="5"/>
  <c r="P755" i="5"/>
  <c r="V761" i="5"/>
  <c r="U761" i="5"/>
  <c r="T765" i="5"/>
  <c r="O770" i="5"/>
  <c r="P770" i="5"/>
  <c r="P771" i="5"/>
  <c r="O772" i="5"/>
  <c r="P772" i="5"/>
  <c r="N772" i="5"/>
  <c r="V691" i="5"/>
  <c r="T697" i="5"/>
  <c r="W701" i="5"/>
  <c r="O705" i="5"/>
  <c r="V707" i="5"/>
  <c r="T713" i="5"/>
  <c r="W717" i="5"/>
  <c r="O721" i="5"/>
  <c r="V723" i="5"/>
  <c r="T729" i="5"/>
  <c r="O737" i="5"/>
  <c r="V739" i="5"/>
  <c r="V747" i="5"/>
  <c r="U747" i="5"/>
  <c r="T751" i="5"/>
  <c r="N757" i="5"/>
  <c r="P757" i="5"/>
  <c r="V763" i="5"/>
  <c r="U763" i="5"/>
  <c r="V776" i="5"/>
  <c r="W776" i="5"/>
  <c r="U776" i="5"/>
  <c r="T687" i="5"/>
  <c r="W691" i="5"/>
  <c r="V697" i="5"/>
  <c r="V713" i="5"/>
  <c r="V729" i="5"/>
  <c r="N743" i="5"/>
  <c r="P743" i="5"/>
  <c r="V749" i="5"/>
  <c r="U749" i="5"/>
  <c r="N759" i="5"/>
  <c r="P759" i="5"/>
  <c r="V765" i="5"/>
  <c r="U765" i="5"/>
  <c r="W767" i="5"/>
  <c r="V767" i="5"/>
  <c r="T767" i="5"/>
  <c r="U795" i="5"/>
  <c r="T646" i="5"/>
  <c r="T648" i="5"/>
  <c r="T650" i="5"/>
  <c r="T652" i="5"/>
  <c r="T654" i="5"/>
  <c r="T656" i="5"/>
  <c r="T658" i="5"/>
  <c r="T660" i="5"/>
  <c r="T662" i="5"/>
  <c r="T664" i="5"/>
  <c r="T666" i="5"/>
  <c r="T668" i="5"/>
  <c r="T670" i="5"/>
  <c r="T672" i="5"/>
  <c r="T674" i="5"/>
  <c r="T676" i="5"/>
  <c r="T678" i="5"/>
  <c r="T680" i="5"/>
  <c r="T682" i="5"/>
  <c r="T684" i="5"/>
  <c r="T686" i="5"/>
  <c r="T688" i="5"/>
  <c r="T690" i="5"/>
  <c r="T692" i="5"/>
  <c r="T694" i="5"/>
  <c r="T696" i="5"/>
  <c r="T698" i="5"/>
  <c r="T700" i="5"/>
  <c r="T702" i="5"/>
  <c r="T704" i="5"/>
  <c r="T706" i="5"/>
  <c r="T708" i="5"/>
  <c r="T710" i="5"/>
  <c r="T712" i="5"/>
  <c r="T714" i="5"/>
  <c r="T716" i="5"/>
  <c r="T718" i="5"/>
  <c r="T720" i="5"/>
  <c r="T722" i="5"/>
  <c r="T724" i="5"/>
  <c r="T726" i="5"/>
  <c r="T728" i="5"/>
  <c r="T730" i="5"/>
  <c r="T732" i="5"/>
  <c r="T734" i="5"/>
  <c r="T736" i="5"/>
  <c r="T738" i="5"/>
  <c r="T740" i="5"/>
  <c r="T742" i="5"/>
  <c r="T744" i="5"/>
  <c r="T746" i="5"/>
  <c r="T748" i="5"/>
  <c r="T750" i="5"/>
  <c r="T752" i="5"/>
  <c r="T754" i="5"/>
  <c r="T756" i="5"/>
  <c r="T758" i="5"/>
  <c r="T760" i="5"/>
  <c r="T762" i="5"/>
  <c r="T764" i="5"/>
  <c r="T766" i="5"/>
  <c r="U774" i="5"/>
  <c r="W777" i="5"/>
  <c r="U785" i="5"/>
  <c r="W788" i="5"/>
  <c r="P791" i="5"/>
  <c r="N796" i="5"/>
  <c r="O796" i="5"/>
  <c r="T799" i="5"/>
  <c r="W803" i="5"/>
  <c r="U804" i="5"/>
  <c r="P807" i="5"/>
  <c r="N812" i="5"/>
  <c r="O812" i="5"/>
  <c r="N820" i="5"/>
  <c r="O820" i="5"/>
  <c r="P820" i="5"/>
  <c r="U826" i="5"/>
  <c r="O838" i="5"/>
  <c r="N838" i="5"/>
  <c r="U799" i="5"/>
  <c r="T800" i="5"/>
  <c r="O803" i="5"/>
  <c r="W804" i="5"/>
  <c r="V815" i="5"/>
  <c r="W815" i="5"/>
  <c r="V816" i="5"/>
  <c r="T816" i="5"/>
  <c r="V823" i="5"/>
  <c r="W823" i="5"/>
  <c r="V824" i="5"/>
  <c r="T824" i="5"/>
  <c r="U829" i="5"/>
  <c r="N840" i="5"/>
  <c r="O840" i="5"/>
  <c r="P840" i="5"/>
  <c r="P852" i="5"/>
  <c r="O852" i="5"/>
  <c r="N852" i="5"/>
  <c r="V766" i="5"/>
  <c r="U775" i="5"/>
  <c r="T779" i="5"/>
  <c r="U782" i="5"/>
  <c r="N785" i="5"/>
  <c r="N792" i="5"/>
  <c r="O792" i="5"/>
  <c r="N793" i="5"/>
  <c r="W799" i="5"/>
  <c r="U800" i="5"/>
  <c r="P803" i="5"/>
  <c r="N808" i="5"/>
  <c r="O808" i="5"/>
  <c r="N809" i="5"/>
  <c r="T811" i="5"/>
  <c r="U828" i="5"/>
  <c r="N833" i="5"/>
  <c r="O833" i="5"/>
  <c r="P833" i="5"/>
  <c r="P842" i="5"/>
  <c r="N842" i="5"/>
  <c r="N849" i="5"/>
  <c r="O849" i="5"/>
  <c r="W800" i="5"/>
  <c r="U811" i="5"/>
  <c r="U783" i="5"/>
  <c r="T787" i="5"/>
  <c r="N804" i="5"/>
  <c r="O804" i="5"/>
  <c r="W811" i="5"/>
  <c r="N815" i="5"/>
  <c r="O815" i="5"/>
  <c r="N816" i="5"/>
  <c r="O816" i="5"/>
  <c r="U819" i="5"/>
  <c r="N823" i="5"/>
  <c r="O823" i="5"/>
  <c r="N824" i="5"/>
  <c r="O824" i="5"/>
  <c r="P826" i="5"/>
  <c r="N826" i="5"/>
  <c r="O826" i="5"/>
  <c r="V829" i="5"/>
  <c r="T829" i="5"/>
  <c r="U770" i="5"/>
  <c r="P775" i="5"/>
  <c r="T777" i="5"/>
  <c r="U780" i="5"/>
  <c r="W783" i="5"/>
  <c r="T784" i="5"/>
  <c r="U787" i="5"/>
  <c r="U791" i="5"/>
  <c r="W796" i="5"/>
  <c r="O805" i="5"/>
  <c r="U807" i="5"/>
  <c r="T808" i="5"/>
  <c r="O811" i="5"/>
  <c r="W812" i="5"/>
  <c r="W819" i="5"/>
  <c r="W820" i="5"/>
  <c r="N827" i="5"/>
  <c r="P827" i="5"/>
  <c r="V847" i="5"/>
  <c r="W847" i="5"/>
  <c r="U847" i="5"/>
  <c r="W780" i="5"/>
  <c r="U784" i="5"/>
  <c r="N800" i="5"/>
  <c r="O800" i="5"/>
  <c r="T803" i="5"/>
  <c r="U808" i="5"/>
  <c r="P811" i="5"/>
  <c r="V831" i="5"/>
  <c r="T831" i="5"/>
  <c r="W831" i="5"/>
  <c r="V844" i="5"/>
  <c r="U844" i="5"/>
  <c r="W844" i="5"/>
  <c r="U803" i="5"/>
  <c r="W808" i="5"/>
  <c r="V840" i="5"/>
  <c r="W840" i="5"/>
  <c r="W842" i="5"/>
  <c r="V842" i="5"/>
  <c r="T842" i="5"/>
  <c r="N845" i="5"/>
  <c r="O845" i="5"/>
  <c r="P845" i="5"/>
  <c r="N859" i="5"/>
  <c r="P859" i="5"/>
  <c r="O859" i="5"/>
  <c r="N829" i="5"/>
  <c r="O829" i="5"/>
  <c r="O844" i="5"/>
  <c r="U845" i="5"/>
  <c r="T849" i="5"/>
  <c r="O851" i="5"/>
  <c r="P854" i="5"/>
  <c r="T856" i="5"/>
  <c r="O858" i="5"/>
  <c r="N861" i="5"/>
  <c r="O861" i="5"/>
  <c r="T863" i="5"/>
  <c r="P865" i="5"/>
  <c r="P873" i="5"/>
  <c r="N877" i="5"/>
  <c r="O877" i="5"/>
  <c r="O878" i="5"/>
  <c r="U879" i="5"/>
  <c r="O882" i="5"/>
  <c r="P882" i="5"/>
  <c r="O883" i="5"/>
  <c r="U888" i="5"/>
  <c r="V888" i="5"/>
  <c r="W888" i="5"/>
  <c r="T889" i="5"/>
  <c r="W892" i="5"/>
  <c r="O896" i="5"/>
  <c r="V898" i="5"/>
  <c r="U920" i="5"/>
  <c r="V920" i="5"/>
  <c r="W845" i="5"/>
  <c r="U849" i="5"/>
  <c r="U856" i="5"/>
  <c r="T860" i="5"/>
  <c r="U863" i="5"/>
  <c r="N870" i="5"/>
  <c r="T876" i="5"/>
  <c r="U889" i="5"/>
  <c r="V893" i="5"/>
  <c r="W893" i="5"/>
  <c r="P896" i="5"/>
  <c r="P904" i="5"/>
  <c r="N904" i="5"/>
  <c r="N905" i="5"/>
  <c r="O905" i="5"/>
  <c r="O906" i="5"/>
  <c r="P906" i="5"/>
  <c r="V909" i="5"/>
  <c r="W909" i="5"/>
  <c r="P918" i="5"/>
  <c r="N918" i="5"/>
  <c r="N837" i="5"/>
  <c r="O837" i="5"/>
  <c r="W849" i="5"/>
  <c r="W856" i="5"/>
  <c r="U860" i="5"/>
  <c r="W863" i="5"/>
  <c r="N869" i="5"/>
  <c r="O869" i="5"/>
  <c r="O870" i="5"/>
  <c r="U871" i="5"/>
  <c r="O874" i="5"/>
  <c r="P874" i="5"/>
  <c r="O875" i="5"/>
  <c r="U876" i="5"/>
  <c r="U880" i="5"/>
  <c r="V880" i="5"/>
  <c r="W880" i="5"/>
  <c r="O888" i="5"/>
  <c r="W889" i="5"/>
  <c r="T901" i="5"/>
  <c r="U790" i="5"/>
  <c r="U798" i="5"/>
  <c r="U806" i="5"/>
  <c r="U814" i="5"/>
  <c r="U822" i="5"/>
  <c r="U825" i="5"/>
  <c r="U832" i="5"/>
  <c r="U839" i="5"/>
  <c r="W853" i="5"/>
  <c r="O856" i="5"/>
  <c r="U857" i="5"/>
  <c r="T861" i="5"/>
  <c r="U864" i="5"/>
  <c r="W871" i="5"/>
  <c r="P875" i="5"/>
  <c r="U881" i="5"/>
  <c r="T882" i="5"/>
  <c r="V885" i="5"/>
  <c r="W885" i="5"/>
  <c r="P888" i="5"/>
  <c r="O889" i="5"/>
  <c r="V890" i="5"/>
  <c r="T895" i="5"/>
  <c r="O898" i="5"/>
  <c r="P898" i="5"/>
  <c r="U912" i="5"/>
  <c r="V912" i="5"/>
  <c r="P920" i="5"/>
  <c r="N920" i="5"/>
  <c r="N921" i="5"/>
  <c r="O921" i="5"/>
  <c r="O922" i="5"/>
  <c r="P922" i="5"/>
  <c r="U872" i="5"/>
  <c r="V872" i="5"/>
  <c r="W872" i="5"/>
  <c r="N893" i="5"/>
  <c r="O893" i="5"/>
  <c r="U895" i="5"/>
  <c r="N899" i="5"/>
  <c r="O899" i="5"/>
  <c r="V901" i="5"/>
  <c r="W901" i="5"/>
  <c r="P910" i="5"/>
  <c r="N910" i="5"/>
  <c r="U858" i="5"/>
  <c r="W861" i="5"/>
  <c r="U865" i="5"/>
  <c r="U873" i="5"/>
  <c r="V877" i="5"/>
  <c r="W877" i="5"/>
  <c r="V882" i="5"/>
  <c r="T892" i="5"/>
  <c r="W895" i="5"/>
  <c r="P926" i="5"/>
  <c r="N926" i="5"/>
  <c r="O930" i="5"/>
  <c r="N930" i="5"/>
  <c r="P930" i="5"/>
  <c r="N853" i="5"/>
  <c r="O853" i="5"/>
  <c r="N854" i="5"/>
  <c r="V858" i="5"/>
  <c r="W865" i="5"/>
  <c r="W873" i="5"/>
  <c r="N885" i="5"/>
  <c r="O885" i="5"/>
  <c r="U887" i="5"/>
  <c r="O890" i="5"/>
  <c r="P890" i="5"/>
  <c r="U892" i="5"/>
  <c r="U896" i="5"/>
  <c r="V896" i="5"/>
  <c r="W896" i="5"/>
  <c r="U904" i="5"/>
  <c r="V904" i="5"/>
  <c r="P912" i="5"/>
  <c r="N912" i="5"/>
  <c r="N913" i="5"/>
  <c r="O913" i="5"/>
  <c r="O914" i="5"/>
  <c r="P914" i="5"/>
  <c r="V917" i="5"/>
  <c r="W917" i="5"/>
  <c r="T920" i="5"/>
  <c r="P934" i="5"/>
  <c r="O934" i="5"/>
  <c r="N934" i="5"/>
  <c r="U778" i="5"/>
  <c r="U786" i="5"/>
  <c r="U794" i="5"/>
  <c r="U802" i="5"/>
  <c r="U810" i="5"/>
  <c r="U818" i="5"/>
  <c r="P829" i="5"/>
  <c r="W837" i="5"/>
  <c r="U841" i="5"/>
  <c r="P843" i="5"/>
  <c r="T845" i="5"/>
  <c r="U848" i="5"/>
  <c r="U855" i="5"/>
  <c r="N858" i="5"/>
  <c r="P861" i="5"/>
  <c r="O865" i="5"/>
  <c r="V869" i="5"/>
  <c r="W869" i="5"/>
  <c r="P872" i="5"/>
  <c r="O873" i="5"/>
  <c r="V874" i="5"/>
  <c r="P877" i="5"/>
  <c r="T879" i="5"/>
  <c r="N882" i="5"/>
  <c r="W887" i="5"/>
  <c r="T888" i="5"/>
  <c r="P891" i="5"/>
  <c r="T893" i="5"/>
  <c r="U898" i="5"/>
  <c r="P902" i="5"/>
  <c r="N902" i="5"/>
  <c r="T909" i="5"/>
  <c r="W920" i="5"/>
  <c r="P928" i="5"/>
  <c r="N928" i="5"/>
  <c r="P942" i="5"/>
  <c r="O942" i="5"/>
  <c r="N942" i="5"/>
  <c r="U827" i="5"/>
  <c r="U835" i="5"/>
  <c r="U843" i="5"/>
  <c r="U851" i="5"/>
  <c r="U859" i="5"/>
  <c r="U867" i="5"/>
  <c r="U875" i="5"/>
  <c r="U883" i="5"/>
  <c r="U891" i="5"/>
  <c r="U899" i="5"/>
  <c r="O901" i="5"/>
  <c r="U907" i="5"/>
  <c r="O909" i="5"/>
  <c r="U915" i="5"/>
  <c r="O917" i="5"/>
  <c r="U923" i="5"/>
  <c r="O925" i="5"/>
  <c r="V928" i="5"/>
  <c r="U931" i="5"/>
  <c r="O933" i="5"/>
  <c r="N936" i="5"/>
  <c r="V936" i="5"/>
  <c r="P938" i="5"/>
  <c r="U939" i="5"/>
  <c r="O941" i="5"/>
  <c r="N944" i="5"/>
  <c r="V944" i="5"/>
  <c r="P946" i="5"/>
  <c r="U947" i="5"/>
  <c r="O949" i="5"/>
  <c r="N952" i="5"/>
  <c r="V952" i="5"/>
  <c r="P954" i="5"/>
  <c r="W955" i="5"/>
  <c r="V955" i="5"/>
  <c r="U955" i="5"/>
  <c r="O957" i="5"/>
  <c r="P957" i="5"/>
  <c r="N958" i="5"/>
  <c r="W958" i="5"/>
  <c r="T959" i="5"/>
  <c r="P961" i="5"/>
  <c r="V962" i="5"/>
  <c r="T966" i="5"/>
  <c r="P968" i="5"/>
  <c r="W972" i="5"/>
  <c r="U973" i="5"/>
  <c r="P975" i="5"/>
  <c r="V976" i="5"/>
  <c r="P980" i="5"/>
  <c r="U983" i="5"/>
  <c r="P993" i="5"/>
  <c r="O993" i="5"/>
  <c r="N998" i="5"/>
  <c r="W952" i="5"/>
  <c r="T956" i="5"/>
  <c r="U959" i="5"/>
  <c r="W962" i="5"/>
  <c r="V973" i="5"/>
  <c r="W977" i="5"/>
  <c r="U977" i="5"/>
  <c r="V983" i="5"/>
  <c r="W989" i="5"/>
  <c r="U989" i="5"/>
  <c r="T991" i="5"/>
  <c r="P996" i="5"/>
  <c r="O996" i="5"/>
  <c r="N996" i="5"/>
  <c r="U897" i="5"/>
  <c r="U905" i="5"/>
  <c r="O907" i="5"/>
  <c r="U913" i="5"/>
  <c r="O915" i="5"/>
  <c r="U921" i="5"/>
  <c r="O923" i="5"/>
  <c r="U929" i="5"/>
  <c r="O931" i="5"/>
  <c r="U937" i="5"/>
  <c r="O939" i="5"/>
  <c r="U945" i="5"/>
  <c r="O947" i="5"/>
  <c r="N950" i="5"/>
  <c r="U953" i="5"/>
  <c r="O955" i="5"/>
  <c r="U956" i="5"/>
  <c r="V959" i="5"/>
  <c r="T960" i="5"/>
  <c r="W963" i="5"/>
  <c r="V963" i="5"/>
  <c r="U963" i="5"/>
  <c r="O965" i="5"/>
  <c r="P965" i="5"/>
  <c r="N966" i="5"/>
  <c r="T967" i="5"/>
  <c r="P969" i="5"/>
  <c r="T974" i="5"/>
  <c r="P976" i="5"/>
  <c r="T979" i="5"/>
  <c r="P981" i="5"/>
  <c r="O981" i="5"/>
  <c r="O982" i="5"/>
  <c r="T985" i="5"/>
  <c r="P988" i="5"/>
  <c r="U991" i="5"/>
  <c r="P997" i="5"/>
  <c r="O997" i="5"/>
  <c r="O950" i="5"/>
  <c r="N956" i="5"/>
  <c r="V956" i="5"/>
  <c r="T957" i="5"/>
  <c r="N959" i="5"/>
  <c r="U960" i="5"/>
  <c r="T964" i="5"/>
  <c r="O966" i="5"/>
  <c r="U967" i="5"/>
  <c r="N978" i="5"/>
  <c r="U979" i="5"/>
  <c r="N990" i="5"/>
  <c r="V991" i="5"/>
  <c r="P1002" i="5"/>
  <c r="O1002" i="5"/>
  <c r="N1002" i="5"/>
  <c r="U903" i="5"/>
  <c r="T906" i="5"/>
  <c r="U911" i="5"/>
  <c r="T914" i="5"/>
  <c r="U919" i="5"/>
  <c r="T922" i="5"/>
  <c r="U927" i="5"/>
  <c r="O929" i="5"/>
  <c r="T930" i="5"/>
  <c r="U935" i="5"/>
  <c r="O937" i="5"/>
  <c r="T938" i="5"/>
  <c r="U943" i="5"/>
  <c r="O945" i="5"/>
  <c r="U951" i="5"/>
  <c r="O953" i="5"/>
  <c r="U957" i="5"/>
  <c r="P959" i="5"/>
  <c r="V960" i="5"/>
  <c r="N963" i="5"/>
  <c r="V967" i="5"/>
  <c r="T968" i="5"/>
  <c r="W971" i="5"/>
  <c r="V971" i="5"/>
  <c r="U971" i="5"/>
  <c r="O973" i="5"/>
  <c r="P973" i="5"/>
  <c r="T975" i="5"/>
  <c r="P977" i="5"/>
  <c r="O977" i="5"/>
  <c r="V979" i="5"/>
  <c r="O984" i="5"/>
  <c r="W985" i="5"/>
  <c r="U985" i="5"/>
  <c r="T987" i="5"/>
  <c r="P989" i="5"/>
  <c r="O989" i="5"/>
  <c r="O990" i="5"/>
  <c r="T995" i="5"/>
  <c r="P1003" i="5"/>
  <c r="O1003" i="5"/>
  <c r="V957" i="5"/>
  <c r="W961" i="5"/>
  <c r="T961" i="5"/>
  <c r="V961" i="5"/>
  <c r="U968" i="5"/>
  <c r="T972" i="5"/>
  <c r="U975" i="5"/>
  <c r="U925" i="5"/>
  <c r="T928" i="5"/>
  <c r="U933" i="5"/>
  <c r="T936" i="5"/>
  <c r="N938" i="5"/>
  <c r="U941" i="5"/>
  <c r="T944" i="5"/>
  <c r="N946" i="5"/>
  <c r="U949" i="5"/>
  <c r="T952" i="5"/>
  <c r="T958" i="5"/>
  <c r="T962" i="5"/>
  <c r="V968" i="5"/>
  <c r="U972" i="5"/>
  <c r="V975" i="5"/>
  <c r="V987" i="5"/>
  <c r="V995" i="5"/>
  <c r="P1010" i="5"/>
  <c r="O1010" i="5"/>
  <c r="N1010" i="5"/>
  <c r="W925" i="5"/>
  <c r="W933" i="5"/>
  <c r="W941" i="5"/>
  <c r="W949" i="5"/>
  <c r="V958" i="5"/>
  <c r="N961" i="5"/>
  <c r="V965" i="5"/>
  <c r="N968" i="5"/>
  <c r="W969" i="5"/>
  <c r="T969" i="5"/>
  <c r="V969" i="5"/>
  <c r="T973" i="5"/>
  <c r="N975" i="5"/>
  <c r="U976" i="5"/>
  <c r="T977" i="5"/>
  <c r="O980" i="5"/>
  <c r="W981" i="5"/>
  <c r="U981" i="5"/>
  <c r="T983" i="5"/>
  <c r="P985" i="5"/>
  <c r="O985" i="5"/>
  <c r="T989" i="5"/>
  <c r="P992" i="5"/>
  <c r="N992" i="5"/>
  <c r="P1011" i="5"/>
  <c r="O1011" i="5"/>
  <c r="P1019" i="5"/>
  <c r="O1019" i="5"/>
  <c r="P1027" i="5"/>
  <c r="O1027" i="5"/>
  <c r="P1035" i="5"/>
  <c r="O1035" i="5"/>
  <c r="P1043" i="5"/>
  <c r="O1043" i="5"/>
  <c r="P1051" i="5"/>
  <c r="O1051" i="5"/>
  <c r="N1006" i="5"/>
  <c r="N1014" i="5"/>
  <c r="N1022" i="5"/>
  <c r="N1030" i="5"/>
  <c r="N1038" i="5"/>
  <c r="N1046" i="5"/>
  <c r="N1054" i="5"/>
  <c r="P1005" i="5"/>
  <c r="O1005" i="5"/>
  <c r="O1006" i="5"/>
  <c r="P1013" i="5"/>
  <c r="O1013" i="5"/>
  <c r="O1014" i="5"/>
  <c r="P1021" i="5"/>
  <c r="O1021" i="5"/>
  <c r="O1022" i="5"/>
  <c r="P1029" i="5"/>
  <c r="O1029" i="5"/>
  <c r="O1030" i="5"/>
  <c r="P1037" i="5"/>
  <c r="O1037" i="5"/>
  <c r="O1038" i="5"/>
  <c r="P1045" i="5"/>
  <c r="O1045" i="5"/>
  <c r="O1046" i="5"/>
  <c r="P1053" i="5"/>
  <c r="O1053" i="5"/>
  <c r="O1054" i="5"/>
  <c r="P979" i="5"/>
  <c r="O979" i="5"/>
  <c r="P983" i="5"/>
  <c r="O983" i="5"/>
  <c r="P987" i="5"/>
  <c r="O987" i="5"/>
  <c r="P991" i="5"/>
  <c r="O991" i="5"/>
  <c r="U993" i="5"/>
  <c r="P995" i="5"/>
  <c r="O995" i="5"/>
  <c r="U997" i="5"/>
  <c r="P999" i="5"/>
  <c r="O999" i="5"/>
  <c r="O1000" i="5"/>
  <c r="P1007" i="5"/>
  <c r="O1007" i="5"/>
  <c r="O1008" i="5"/>
  <c r="P1015" i="5"/>
  <c r="O1015" i="5"/>
  <c r="O1016" i="5"/>
  <c r="P1023" i="5"/>
  <c r="O1023" i="5"/>
  <c r="O1024" i="5"/>
  <c r="P1031" i="5"/>
  <c r="O1031" i="5"/>
  <c r="O1032" i="5"/>
  <c r="P1039" i="5"/>
  <c r="O1039" i="5"/>
  <c r="O1040" i="5"/>
  <c r="P1047" i="5"/>
  <c r="O1047" i="5"/>
  <c r="O1048" i="5"/>
  <c r="P1055" i="5"/>
  <c r="O1055" i="5"/>
  <c r="V993" i="5"/>
  <c r="V997" i="5"/>
  <c r="N1018" i="5"/>
  <c r="N1026" i="5"/>
  <c r="N1034" i="5"/>
  <c r="N1042" i="5"/>
  <c r="N1050" i="5"/>
  <c r="P1001" i="5"/>
  <c r="O1001" i="5"/>
  <c r="P1009" i="5"/>
  <c r="O1009" i="5"/>
  <c r="P1017" i="5"/>
  <c r="O1017" i="5"/>
  <c r="O1018" i="5"/>
  <c r="P1025" i="5"/>
  <c r="O1025" i="5"/>
  <c r="O1026" i="5"/>
  <c r="P1033" i="5"/>
  <c r="O1033" i="5"/>
  <c r="O1034" i="5"/>
  <c r="P1041" i="5"/>
  <c r="O1041" i="5"/>
  <c r="O1042" i="5"/>
  <c r="P1049" i="5"/>
  <c r="O1049" i="5"/>
  <c r="O1050" i="5"/>
  <c r="N1043" i="5"/>
  <c r="N1051" i="5"/>
  <c r="T999" i="5"/>
  <c r="T1001" i="5"/>
  <c r="T1003" i="5"/>
  <c r="T1005" i="5"/>
  <c r="T1007" i="5"/>
  <c r="T1009" i="5"/>
  <c r="T1011" i="5"/>
  <c r="T1013" i="5"/>
  <c r="T1015" i="5"/>
  <c r="T1017" i="5"/>
  <c r="T1019" i="5"/>
  <c r="T1021" i="5"/>
  <c r="T1023" i="5"/>
  <c r="T1025" i="5"/>
  <c r="T1027" i="5"/>
  <c r="T1029" i="5"/>
  <c r="T1031" i="5"/>
  <c r="T1033" i="5"/>
  <c r="T1035" i="5"/>
  <c r="T1037" i="5"/>
  <c r="T1039" i="5"/>
  <c r="T1041" i="5"/>
  <c r="T1043" i="5"/>
  <c r="T1045" i="5"/>
  <c r="T1047" i="5"/>
  <c r="T1049" i="5"/>
  <c r="T1051" i="5"/>
  <c r="T1053" i="5"/>
  <c r="T1055" i="5"/>
  <c r="L75" i="17" l="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K394" i="17" s="1"/>
  <c r="N377" i="17"/>
  <c r="S366" i="17"/>
  <c r="N366" i="17"/>
  <c r="S381" i="17"/>
  <c r="N381" i="17"/>
  <c r="N379" i="17"/>
  <c r="S379" i="17"/>
  <c r="S385" i="17"/>
  <c r="N385" i="17"/>
  <c r="N383" i="17"/>
  <c r="S383" i="17"/>
  <c r="S389" i="17"/>
  <c r="N389" i="17"/>
  <c r="N387" i="17"/>
  <c r="S387" i="17"/>
  <c r="S393" i="17"/>
  <c r="N393" i="17"/>
  <c r="S391" i="17"/>
  <c r="N391" i="17"/>
  <c r="L75" i="3"/>
  <c r="L15" i="3"/>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AF470" i="17"/>
  <c r="L40" i="17"/>
  <c r="J12" i="17"/>
  <c r="L12" i="17"/>
  <c r="AF496" i="3"/>
  <c r="AF495" i="17"/>
  <c r="AF495" i="3"/>
  <c r="AF492" i="17"/>
  <c r="AF492" i="3"/>
  <c r="AF493" i="17"/>
  <c r="AF493" i="3"/>
  <c r="AF496" i="17"/>
  <c r="AF494" i="17"/>
  <c r="AF494" i="3"/>
  <c r="L12" i="3"/>
  <c r="S12" i="3" s="1"/>
  <c r="L76" i="3"/>
  <c r="J12" i="3"/>
  <c r="K12" i="3" s="1"/>
  <c r="Z474" i="3"/>
  <c r="AL478" i="3"/>
  <c r="AO478" i="3" s="1"/>
  <c r="AL477" i="3"/>
  <c r="AO477" i="3" s="1"/>
  <c r="AL474" i="3"/>
  <c r="AO474" i="3" s="1"/>
  <c r="AC475" i="3"/>
  <c r="AL473" i="3"/>
  <c r="AO473" i="3" s="1"/>
  <c r="AC473" i="3"/>
  <c r="AC474" i="3"/>
  <c r="AL479" i="3"/>
  <c r="Z475" i="3"/>
  <c r="Z473" i="3"/>
  <c r="AL476" i="3"/>
  <c r="AL475" i="3"/>
  <c r="AO475" i="3" s="1"/>
  <c r="AL448" i="3"/>
  <c r="AL449" i="3"/>
  <c r="AL450" i="3"/>
  <c r="AL425" i="3"/>
  <c r="AL415" i="3"/>
  <c r="AL426" i="3"/>
  <c r="AL424" i="3"/>
  <c r="Z414" i="3"/>
  <c r="E66" i="19" s="1"/>
  <c r="AL414" i="3"/>
  <c r="F66" i="19" s="1"/>
  <c r="AC414" i="3"/>
  <c r="D66" i="19" s="1"/>
  <c r="AL417" i="3"/>
  <c r="AL416" i="3"/>
  <c r="F6" i="3"/>
  <c r="E6" i="3" s="1"/>
  <c r="D15" i="3"/>
  <c r="E15" i="3" s="1"/>
  <c r="D23" i="3"/>
  <c r="E23" i="3" s="1"/>
  <c r="P17" i="3"/>
  <c r="I40" i="3"/>
  <c r="N40" i="3" s="1"/>
  <c r="F40" i="3"/>
  <c r="D12" i="3"/>
  <c r="E12" i="3" s="1"/>
  <c r="F12" i="3"/>
  <c r="G12" i="3"/>
  <c r="H12" i="3" s="1"/>
  <c r="I12" i="3"/>
  <c r="AL472" i="3"/>
  <c r="Q54" i="3"/>
  <c r="G19" i="3"/>
  <c r="H19" i="3" s="1"/>
  <c r="I19" i="3"/>
  <c r="F45" i="3"/>
  <c r="I45" i="3"/>
  <c r="I15" i="3"/>
  <c r="G15" i="3"/>
  <c r="F55" i="3"/>
  <c r="Z433" i="3" s="1"/>
  <c r="I55" i="3"/>
  <c r="F49" i="3"/>
  <c r="I49" i="3"/>
  <c r="AC427" i="3" s="1"/>
  <c r="I17" i="3"/>
  <c r="G17" i="3"/>
  <c r="F32" i="3"/>
  <c r="E11" i="19" s="1"/>
  <c r="I32" i="3"/>
  <c r="F42" i="3"/>
  <c r="Z420" i="3" s="1"/>
  <c r="I42" i="3"/>
  <c r="AC420" i="3" s="1"/>
  <c r="F52" i="3"/>
  <c r="Z430" i="3" s="1"/>
  <c r="I52" i="3"/>
  <c r="F59" i="3"/>
  <c r="Z437" i="3" s="1"/>
  <c r="I59" i="3"/>
  <c r="AC437" i="3" s="1"/>
  <c r="F34" i="3"/>
  <c r="Z411" i="3" s="1"/>
  <c r="I34" i="3"/>
  <c r="AC411" i="3" s="1"/>
  <c r="F66" i="3"/>
  <c r="Z445" i="3" s="1"/>
  <c r="I66" i="3"/>
  <c r="AC445" i="3" s="1"/>
  <c r="AL471" i="3"/>
  <c r="AO471" i="3" s="1"/>
  <c r="Q41" i="3"/>
  <c r="F13" i="19" s="1"/>
  <c r="F44" i="3"/>
  <c r="Z422" i="3" s="1"/>
  <c r="I44" i="3"/>
  <c r="AC422" i="3" s="1"/>
  <c r="F19" i="3"/>
  <c r="F78" i="3"/>
  <c r="I78" i="3"/>
  <c r="AC469" i="3" s="1"/>
  <c r="F35" i="3"/>
  <c r="Z412" i="3" s="1"/>
  <c r="I35" i="3"/>
  <c r="Q13" i="3"/>
  <c r="F5" i="19" s="1"/>
  <c r="F8" i="19" s="1"/>
  <c r="Q83" i="3"/>
  <c r="F15" i="19" s="1"/>
  <c r="F58" i="3"/>
  <c r="Z436" i="3" s="1"/>
  <c r="I58" i="3"/>
  <c r="AC436" i="3" s="1"/>
  <c r="F36" i="3"/>
  <c r="Z413" i="3" s="1"/>
  <c r="I36" i="3"/>
  <c r="AC413" i="3" s="1"/>
  <c r="F31" i="3"/>
  <c r="E7" i="19" s="1"/>
  <c r="I31" i="3"/>
  <c r="I22" i="3"/>
  <c r="G22" i="3"/>
  <c r="H22" i="3" s="1"/>
  <c r="F51" i="3"/>
  <c r="Z429" i="3" s="1"/>
  <c r="I51" i="3"/>
  <c r="AC429" i="3" s="1"/>
  <c r="F64" i="3"/>
  <c r="Z443" i="3" s="1"/>
  <c r="I64" i="3"/>
  <c r="AC443" i="3" s="1"/>
  <c r="O13" i="3"/>
  <c r="F4" i="19" s="1"/>
  <c r="P6" i="3"/>
  <c r="F76" i="3"/>
  <c r="Z471" i="3" s="1"/>
  <c r="I76" i="3"/>
  <c r="AC471" i="3" s="1"/>
  <c r="F33" i="3"/>
  <c r="Z410" i="3" s="1"/>
  <c r="I33" i="3"/>
  <c r="AC410" i="3" s="1"/>
  <c r="F65" i="3"/>
  <c r="Z444" i="3" s="1"/>
  <c r="I65" i="3"/>
  <c r="AC444" i="3" s="1"/>
  <c r="G6" i="3"/>
  <c r="I6" i="3"/>
  <c r="F62" i="3"/>
  <c r="I62" i="3"/>
  <c r="AC441" i="3" s="1"/>
  <c r="F61" i="3"/>
  <c r="Z440" i="3" s="1"/>
  <c r="I61" i="3"/>
  <c r="AC440" i="3" s="1"/>
  <c r="I23" i="3"/>
  <c r="G23" i="3"/>
  <c r="H23" i="3" s="1"/>
  <c r="F50" i="3"/>
  <c r="Z428" i="3" s="1"/>
  <c r="I50" i="3"/>
  <c r="AC428" i="3" s="1"/>
  <c r="P15" i="3"/>
  <c r="F63" i="3"/>
  <c r="Z442" i="3" s="1"/>
  <c r="I63" i="3"/>
  <c r="AC442" i="3" s="1"/>
  <c r="F5" i="3"/>
  <c r="I5" i="3"/>
  <c r="Q24" i="3"/>
  <c r="F9" i="19" s="1"/>
  <c r="F56" i="3"/>
  <c r="Z434" i="3" s="1"/>
  <c r="I56" i="3"/>
  <c r="AC434" i="3" s="1"/>
  <c r="F57" i="3"/>
  <c r="Z435" i="3" s="1"/>
  <c r="I57" i="3"/>
  <c r="AC435" i="3" s="1"/>
  <c r="F43" i="3"/>
  <c r="Z421" i="3" s="1"/>
  <c r="I43" i="3"/>
  <c r="AC421" i="3" s="1"/>
  <c r="Z470" i="3"/>
  <c r="F53" i="3"/>
  <c r="I53" i="3"/>
  <c r="F60" i="3"/>
  <c r="Z438" i="3" s="1"/>
  <c r="I60" i="3"/>
  <c r="AC438" i="3" s="1"/>
  <c r="F70" i="3"/>
  <c r="Z446" i="3" s="1"/>
  <c r="I70" i="3"/>
  <c r="AC446" i="3" s="1"/>
  <c r="G21" i="3"/>
  <c r="H21" i="3" s="1"/>
  <c r="I21"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F24" i="3"/>
  <c r="E9" i="19" s="1"/>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C24" i="19" s="1"/>
  <c r="L138" i="3"/>
  <c r="L146" i="3"/>
  <c r="L130" i="3"/>
  <c r="L115" i="3"/>
  <c r="L132" i="3"/>
  <c r="L139" i="3"/>
  <c r="L147" i="3"/>
  <c r="L131" i="3"/>
  <c r="L116" i="3"/>
  <c r="L120" i="3"/>
  <c r="L140" i="3"/>
  <c r="L133" i="3"/>
  <c r="L141" i="3"/>
  <c r="L135" i="3"/>
  <c r="L142" i="3"/>
  <c r="L123" i="3"/>
  <c r="L122" i="3"/>
  <c r="L125" i="3"/>
  <c r="L145" i="3"/>
  <c r="L114" i="3"/>
  <c r="L143" i="3"/>
  <c r="L124" i="3"/>
  <c r="S124" i="3" s="1"/>
  <c r="L112" i="3"/>
  <c r="C28" i="19" s="1"/>
  <c r="L144" i="3"/>
  <c r="L113" i="3"/>
  <c r="L95" i="3"/>
  <c r="AL408" i="3"/>
  <c r="AL440" i="3"/>
  <c r="F396" i="3"/>
  <c r="F250" i="3"/>
  <c r="Z441" i="3"/>
  <c r="AL427" i="3"/>
  <c r="Z469" i="3"/>
  <c r="E17" i="3"/>
  <c r="AC470" i="3"/>
  <c r="AL412" i="3"/>
  <c r="L64" i="3"/>
  <c r="L57" i="3"/>
  <c r="L59" i="3"/>
  <c r="L70" i="3"/>
  <c r="L60" i="3"/>
  <c r="L61" i="3"/>
  <c r="L62" i="3"/>
  <c r="L58" i="3"/>
  <c r="L63" i="3"/>
  <c r="L56" i="3"/>
  <c r="L55" i="3"/>
  <c r="L65" i="3"/>
  <c r="L66" i="3"/>
  <c r="L43" i="3"/>
  <c r="L33" i="3"/>
  <c r="L44" i="3"/>
  <c r="L53" i="3"/>
  <c r="L36" i="3"/>
  <c r="L45" i="3"/>
  <c r="L35" i="3"/>
  <c r="L34" i="3"/>
  <c r="L52" i="3"/>
  <c r="L42" i="3"/>
  <c r="S42" i="3" s="1"/>
  <c r="Z472" i="3"/>
  <c r="Z423" i="3"/>
  <c r="AL409" i="3"/>
  <c r="AL469" i="3"/>
  <c r="F107" i="3"/>
  <c r="E134" i="3" s="1"/>
  <c r="AL423" i="3"/>
  <c r="S247" i="3"/>
  <c r="R302" i="3"/>
  <c r="R301" i="3"/>
  <c r="K180" i="3"/>
  <c r="M180" i="3" s="1"/>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C40" i="19" s="1"/>
  <c r="K190" i="3"/>
  <c r="J302" i="3"/>
  <c r="K302" i="3" s="1"/>
  <c r="K243" i="3"/>
  <c r="K240" i="3"/>
  <c r="M240" i="3" s="1"/>
  <c r="J296" i="3"/>
  <c r="K177" i="3"/>
  <c r="M177" i="3" s="1"/>
  <c r="J311" i="3"/>
  <c r="J297" i="3"/>
  <c r="R297" i="3" s="1"/>
  <c r="J307" i="3"/>
  <c r="R307" i="3" s="1"/>
  <c r="K174" i="3"/>
  <c r="J306" i="3"/>
  <c r="J299" i="3"/>
  <c r="J294" i="3"/>
  <c r="J301" i="3"/>
  <c r="K301" i="3" s="1"/>
  <c r="K246" i="3"/>
  <c r="M246" i="3" s="1"/>
  <c r="AL420" i="3"/>
  <c r="AL441" i="3"/>
  <c r="AL436" i="3"/>
  <c r="AL430" i="3"/>
  <c r="AC472" i="3"/>
  <c r="AL433" i="3"/>
  <c r="E120" i="3"/>
  <c r="D104" i="3"/>
  <c r="E104" i="3" s="1"/>
  <c r="AL443" i="3"/>
  <c r="AC430"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L32" i="3"/>
  <c r="C11" i="19" s="1"/>
  <c r="L31" i="3"/>
  <c r="C7" i="19" s="1"/>
  <c r="L78" i="3"/>
  <c r="J17" i="3"/>
  <c r="L23" i="3"/>
  <c r="L21" i="3"/>
  <c r="L22" i="3"/>
  <c r="L19" i="3"/>
  <c r="L17" i="3"/>
  <c r="J6" i="3"/>
  <c r="AL428" i="3"/>
  <c r="AL429" i="3"/>
  <c r="AL431" i="3"/>
  <c r="F154" i="3"/>
  <c r="J243" i="3"/>
  <c r="J246" i="3"/>
  <c r="F350" i="3"/>
  <c r="E350" i="3" s="1"/>
  <c r="E329" i="3"/>
  <c r="F230" i="3"/>
  <c r="C41" i="19" l="1"/>
  <c r="L280" i="17"/>
  <c r="L68" i="17"/>
  <c r="N68" i="17" s="1"/>
  <c r="L224" i="17"/>
  <c r="F64" i="19"/>
  <c r="C53" i="19"/>
  <c r="H53" i="19" s="1"/>
  <c r="K53" i="19" s="1"/>
  <c r="C54" i="19"/>
  <c r="H54" i="19" s="1"/>
  <c r="K54" i="19" s="1"/>
  <c r="S394" i="17"/>
  <c r="M436" i="17"/>
  <c r="N394" i="17"/>
  <c r="N359" i="17"/>
  <c r="L361" i="17"/>
  <c r="S359" i="17"/>
  <c r="E64" i="19"/>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E12" i="19"/>
  <c r="D11" i="19"/>
  <c r="D7" i="19"/>
  <c r="I7" i="19"/>
  <c r="L7" i="19" s="1"/>
  <c r="H7" i="19"/>
  <c r="K7" i="19" s="1"/>
  <c r="I42" i="19"/>
  <c r="L42" i="19" s="1"/>
  <c r="H42" i="19"/>
  <c r="K42" i="19" s="1"/>
  <c r="G42" i="19"/>
  <c r="J42" i="19" s="1"/>
  <c r="C57" i="19"/>
  <c r="C51" i="19"/>
  <c r="C52" i="19"/>
  <c r="C58" i="19"/>
  <c r="I28" i="19"/>
  <c r="L28" i="19" s="1"/>
  <c r="H28" i="19"/>
  <c r="K28" i="19" s="1"/>
  <c r="G28" i="19"/>
  <c r="J28" i="19" s="1"/>
  <c r="I11" i="19"/>
  <c r="L11" i="19" s="1"/>
  <c r="H11" i="19"/>
  <c r="K11" i="19" s="1"/>
  <c r="G53" i="19"/>
  <c r="J53" i="19" s="1"/>
  <c r="H40" i="19"/>
  <c r="K40" i="19" s="1"/>
  <c r="I40" i="19"/>
  <c r="L40" i="19" s="1"/>
  <c r="G40" i="19"/>
  <c r="J40" i="19" s="1"/>
  <c r="N197" i="3"/>
  <c r="C44" i="19"/>
  <c r="I47" i="19"/>
  <c r="L47" i="19" s="1"/>
  <c r="H47" i="19"/>
  <c r="K47" i="19" s="1"/>
  <c r="G47" i="19"/>
  <c r="J47" i="19" s="1"/>
  <c r="I59" i="19"/>
  <c r="L59" i="19" s="1"/>
  <c r="H59" i="19"/>
  <c r="K59" i="19" s="1"/>
  <c r="G59" i="19"/>
  <c r="J59" i="19" s="1"/>
  <c r="C45" i="19"/>
  <c r="I41" i="19"/>
  <c r="L41" i="19" s="1"/>
  <c r="H41" i="19"/>
  <c r="K41" i="19" s="1"/>
  <c r="G41" i="19"/>
  <c r="J41" i="19" s="1"/>
  <c r="I24" i="19"/>
  <c r="L24" i="19" s="1"/>
  <c r="H24" i="19"/>
  <c r="K24" i="19" s="1"/>
  <c r="G24" i="19"/>
  <c r="J24" i="19" s="1"/>
  <c r="G11" i="19"/>
  <c r="J11" i="19" s="1"/>
  <c r="G7" i="19"/>
  <c r="J7" i="19" s="1"/>
  <c r="D64" i="19"/>
  <c r="H17" i="3"/>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95" i="3"/>
  <c r="AO495" i="3" s="1"/>
  <c r="AH495"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4" i="3"/>
  <c r="AO494" i="3" s="1"/>
  <c r="AH494" i="3"/>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AH496" i="3"/>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S68" i="17"/>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I83" i="3"/>
  <c r="D15" i="19" s="1"/>
  <c r="AF478" i="3"/>
  <c r="AN478" i="3" s="1"/>
  <c r="AN475" i="3"/>
  <c r="AH473" i="3"/>
  <c r="AI473" i="3" s="1"/>
  <c r="AH474" i="3"/>
  <c r="AI474" i="3" s="1"/>
  <c r="AN474" i="3"/>
  <c r="AC478" i="3"/>
  <c r="AC477" i="3"/>
  <c r="AC476" i="3"/>
  <c r="F83" i="3"/>
  <c r="E15" i="19" s="1"/>
  <c r="I13" i="3"/>
  <c r="AF478" i="17"/>
  <c r="AF477" i="17"/>
  <c r="AF476" i="17"/>
  <c r="Z477" i="3"/>
  <c r="Z476" i="3"/>
  <c r="Z478" i="3"/>
  <c r="AF476" i="3"/>
  <c r="AN476" i="3" s="1"/>
  <c r="AO476" i="3" s="1"/>
  <c r="AF477" i="3"/>
  <c r="AH474" i="17"/>
  <c r="AI474" i="17" s="1"/>
  <c r="AN474" i="17"/>
  <c r="AF449" i="3"/>
  <c r="AN449" i="3" s="1"/>
  <c r="AO449" i="3" s="1"/>
  <c r="AF426" i="3"/>
  <c r="AN426" i="3" s="1"/>
  <c r="AO426" i="3" s="1"/>
  <c r="AF449" i="17"/>
  <c r="AF450" i="17"/>
  <c r="AF448" i="17"/>
  <c r="AC448" i="3"/>
  <c r="AI448" i="3" s="1"/>
  <c r="AC449" i="3"/>
  <c r="AI449" i="3" s="1"/>
  <c r="AC450" i="3"/>
  <c r="AI450" i="3" s="1"/>
  <c r="AF448" i="3"/>
  <c r="Z448" i="3"/>
  <c r="Z449" i="3"/>
  <c r="Z450" i="3"/>
  <c r="AF450" i="3"/>
  <c r="AC424" i="3"/>
  <c r="AI424" i="3" s="1"/>
  <c r="AC426" i="3"/>
  <c r="AI426" i="3" s="1"/>
  <c r="AC425" i="3"/>
  <c r="AI425" i="3" s="1"/>
  <c r="AF426" i="17"/>
  <c r="AF424" i="17"/>
  <c r="AF425" i="17"/>
  <c r="Z424" i="3"/>
  <c r="Z426" i="3"/>
  <c r="Z425" i="3"/>
  <c r="AF415" i="3"/>
  <c r="AE415" i="3" s="1"/>
  <c r="AF425" i="3"/>
  <c r="AC431" i="3"/>
  <c r="AL432" i="3"/>
  <c r="AF424" i="3"/>
  <c r="AN419" i="3"/>
  <c r="AO419" i="3" s="1"/>
  <c r="AF416" i="3"/>
  <c r="AK417" i="3"/>
  <c r="AF417" i="17"/>
  <c r="AF415" i="17"/>
  <c r="AF416" i="17"/>
  <c r="N12" i="3"/>
  <c r="AC415" i="3"/>
  <c r="AC416" i="3"/>
  <c r="AC417" i="3"/>
  <c r="AK414" i="3"/>
  <c r="AF417" i="3"/>
  <c r="F13" i="3"/>
  <c r="E5" i="19" s="1"/>
  <c r="Z415" i="3"/>
  <c r="Z416" i="3"/>
  <c r="Z417" i="3"/>
  <c r="AK416" i="3"/>
  <c r="S156" i="17"/>
  <c r="N156" i="17"/>
  <c r="N156" i="3"/>
  <c r="S156" i="3"/>
  <c r="D13" i="3"/>
  <c r="E4" i="19" s="1"/>
  <c r="E10" i="19" s="1"/>
  <c r="Z431" i="3"/>
  <c r="I24" i="3"/>
  <c r="D9" i="19" s="1"/>
  <c r="AK412" i="3"/>
  <c r="M12" i="3"/>
  <c r="N6" i="3"/>
  <c r="F54" i="3"/>
  <c r="F72" i="3"/>
  <c r="I72" i="3"/>
  <c r="H6" i="3"/>
  <c r="G13" i="3"/>
  <c r="P13" i="3"/>
  <c r="O27" i="3"/>
  <c r="P21" i="3"/>
  <c r="P23" i="3"/>
  <c r="P22" i="3"/>
  <c r="K173" i="3"/>
  <c r="Z427" i="3"/>
  <c r="F41" i="3"/>
  <c r="E13" i="19" s="1"/>
  <c r="H15" i="3"/>
  <c r="AC412" i="3"/>
  <c r="O24" i="3"/>
  <c r="P37" i="3" s="1"/>
  <c r="I41" i="3"/>
  <c r="D13" i="19" s="1"/>
  <c r="I54" i="3"/>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L284"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224" i="17"/>
  <c r="N224" i="17"/>
  <c r="S341" i="17"/>
  <c r="N341" i="17"/>
  <c r="S174" i="17"/>
  <c r="L175" i="17"/>
  <c r="N174" i="17"/>
  <c r="L303" i="17"/>
  <c r="S294" i="17"/>
  <c r="N294" i="17"/>
  <c r="R17" i="17"/>
  <c r="K17" i="17"/>
  <c r="M17" i="17"/>
  <c r="S295" i="17"/>
  <c r="N295" i="17"/>
  <c r="S280" i="17"/>
  <c r="N280"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L228"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L72"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H429" i="3" s="1"/>
  <c r="AI429" i="3" s="1"/>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C38" i="19"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L41" i="3"/>
  <c r="S31" i="3"/>
  <c r="S34" i="3"/>
  <c r="R17" i="3"/>
  <c r="M17" i="3"/>
  <c r="N22" i="3"/>
  <c r="S22" i="3"/>
  <c r="S21" i="3"/>
  <c r="L24" i="3"/>
  <c r="C9" i="19" s="1"/>
  <c r="N21" i="3"/>
  <c r="N23" i="3"/>
  <c r="S23" i="3"/>
  <c r="N19" i="3"/>
  <c r="S19" i="3"/>
  <c r="N17" i="3"/>
  <c r="S17" i="3"/>
  <c r="K17" i="3"/>
  <c r="N15" i="3"/>
  <c r="S15" i="3"/>
  <c r="K6" i="3"/>
  <c r="J13" i="3"/>
  <c r="R6" i="3"/>
  <c r="M6" i="3"/>
  <c r="S6" i="3"/>
  <c r="J184" i="3"/>
  <c r="R184" i="3" s="1"/>
  <c r="N361" i="3"/>
  <c r="S361" i="3"/>
  <c r="F232" i="3"/>
  <c r="G54" i="19" l="1"/>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5" i="19"/>
  <c r="D8" i="19" s="1"/>
  <c r="W19" i="3"/>
  <c r="D4" i="19"/>
  <c r="D6" i="19" s="1"/>
  <c r="V19" i="3"/>
  <c r="C4" i="19"/>
  <c r="I4" i="19" s="1"/>
  <c r="L4" i="19" s="1"/>
  <c r="V20" i="3"/>
  <c r="C22" i="19"/>
  <c r="I22" i="19" s="1"/>
  <c r="L22" i="19" s="1"/>
  <c r="C5" i="19"/>
  <c r="C8" i="19" s="1"/>
  <c r="H8" i="19" s="1"/>
  <c r="K8" i="19" s="1"/>
  <c r="W20" i="3"/>
  <c r="G31" i="3"/>
  <c r="G32"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C46" i="19"/>
  <c r="H43" i="19"/>
  <c r="K43" i="19" s="1"/>
  <c r="G43" i="19"/>
  <c r="J43" i="19" s="1"/>
  <c r="I38" i="19"/>
  <c r="L38" i="19" s="1"/>
  <c r="H38" i="19"/>
  <c r="K38" i="19" s="1"/>
  <c r="G38" i="19"/>
  <c r="J38" i="19" s="1"/>
  <c r="C12" i="19"/>
  <c r="H9" i="19"/>
  <c r="K9" i="19" s="1"/>
  <c r="I9" i="19"/>
  <c r="L9"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4" i="19"/>
  <c r="G9" i="19"/>
  <c r="J9" i="19" s="1"/>
  <c r="D12" i="19"/>
  <c r="I27" i="3"/>
  <c r="AC406" i="3" s="1"/>
  <c r="AA465" i="3" s="1"/>
  <c r="W33" i="3"/>
  <c r="W35" i="3" s="1"/>
  <c r="AH470" i="3"/>
  <c r="AI470" i="3" s="1"/>
  <c r="F27" i="3"/>
  <c r="E54" i="3" s="1"/>
  <c r="AH414" i="3"/>
  <c r="AI414" i="3" s="1"/>
  <c r="J31" i="3"/>
  <c r="G24" i="3"/>
  <c r="H40" i="3" s="1"/>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AH478" i="3"/>
  <c r="AI478" i="3" s="1"/>
  <c r="Y417" i="3"/>
  <c r="AE414" i="3"/>
  <c r="S209" i="3"/>
  <c r="AF431" i="3"/>
  <c r="AF432" i="3" s="1"/>
  <c r="Z480" i="3"/>
  <c r="E67" i="19" s="1"/>
  <c r="AH476" i="17"/>
  <c r="AI476" i="17" s="1"/>
  <c r="AN476" i="17"/>
  <c r="AH477" i="17"/>
  <c r="AI477" i="17" s="1"/>
  <c r="AN477" i="17"/>
  <c r="AC432" i="3"/>
  <c r="AH478" i="17"/>
  <c r="AI478" i="17" s="1"/>
  <c r="AN478" i="17"/>
  <c r="AO478" i="17" s="1"/>
  <c r="AH477" i="3"/>
  <c r="AI477" i="3" s="1"/>
  <c r="AN477" i="3"/>
  <c r="AH476" i="3"/>
  <c r="AI476" i="3" s="1"/>
  <c r="AH448" i="17"/>
  <c r="AI448" i="17" s="1"/>
  <c r="AN448" i="17"/>
  <c r="AO448" i="17" s="1"/>
  <c r="AH450" i="17"/>
  <c r="AI450" i="17" s="1"/>
  <c r="AN450" i="17"/>
  <c r="AO450" i="17" s="1"/>
  <c r="AH448" i="3"/>
  <c r="AN448" i="3"/>
  <c r="AO448" i="3" s="1"/>
  <c r="AH449" i="17"/>
  <c r="AI449" i="17" s="1"/>
  <c r="AN449" i="17"/>
  <c r="AO449" i="17" s="1"/>
  <c r="AF432" i="17"/>
  <c r="AH432" i="17" s="1"/>
  <c r="AI432" i="17" s="1"/>
  <c r="AH450" i="3"/>
  <c r="AN450" i="3"/>
  <c r="AO450" i="3" s="1"/>
  <c r="AH449" i="3"/>
  <c r="AH425" i="3"/>
  <c r="AN425" i="3"/>
  <c r="AO425" i="3" s="1"/>
  <c r="AH426" i="17"/>
  <c r="AI426" i="17" s="1"/>
  <c r="AN426" i="17"/>
  <c r="AO426" i="17" s="1"/>
  <c r="AH424" i="17"/>
  <c r="AI424" i="17" s="1"/>
  <c r="AN424" i="17"/>
  <c r="AO424" i="17" s="1"/>
  <c r="AN415" i="3"/>
  <c r="AO415" i="3" s="1"/>
  <c r="AH424" i="3"/>
  <c r="AN424" i="3"/>
  <c r="AO424" i="3" s="1"/>
  <c r="Y416" i="3"/>
  <c r="AH426" i="3"/>
  <c r="Z418" i="3"/>
  <c r="E70" i="19" s="1"/>
  <c r="AH425" i="17"/>
  <c r="AI425" i="17" s="1"/>
  <c r="AN425" i="17"/>
  <c r="AO425" i="17" s="1"/>
  <c r="Z432" i="3"/>
  <c r="D27"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F74" i="3"/>
  <c r="E74" i="3" s="1"/>
  <c r="Y408" i="3"/>
  <c r="D24" i="3"/>
  <c r="E37" i="3" s="1"/>
  <c r="E13" i="3"/>
  <c r="Y410" i="3"/>
  <c r="Y409" i="3"/>
  <c r="Y413" i="3"/>
  <c r="Y412" i="3"/>
  <c r="P117" i="3"/>
  <c r="P119" i="3"/>
  <c r="P118" i="3"/>
  <c r="K118" i="3"/>
  <c r="K119" i="3"/>
  <c r="K117" i="3"/>
  <c r="P118" i="17"/>
  <c r="P119" i="17"/>
  <c r="K119" i="17"/>
  <c r="P117" i="17"/>
  <c r="K117" i="17"/>
  <c r="K118" i="17"/>
  <c r="N41" i="3"/>
  <c r="AC418" i="3"/>
  <c r="D70" i="19" s="1"/>
  <c r="Y411" i="3"/>
  <c r="H37" i="3"/>
  <c r="H33" i="3"/>
  <c r="P54" i="3"/>
  <c r="P24" i="3"/>
  <c r="P31" i="3"/>
  <c r="P34" i="3"/>
  <c r="P32" i="3"/>
  <c r="P33" i="3"/>
  <c r="P36" i="3"/>
  <c r="P35" i="3"/>
  <c r="I74" i="3"/>
  <c r="H74" i="3" s="1"/>
  <c r="H54" i="3"/>
  <c r="P27" i="3"/>
  <c r="H13" i="3"/>
  <c r="G27" i="3"/>
  <c r="H27" i="3" s="1"/>
  <c r="N348" i="17"/>
  <c r="L27" i="17"/>
  <c r="S27" i="17" s="1"/>
  <c r="S28" i="17" s="1"/>
  <c r="N54" i="17"/>
  <c r="AH410" i="17"/>
  <c r="AI410" i="17" s="1"/>
  <c r="AN410" i="17"/>
  <c r="AO410" i="17" s="1"/>
  <c r="AE410" i="17"/>
  <c r="AN434" i="17"/>
  <c r="AO434" i="17" s="1"/>
  <c r="AH434" i="17"/>
  <c r="AI434" i="17" s="1"/>
  <c r="AN423" i="17"/>
  <c r="AO423" i="17" s="1"/>
  <c r="AH423" i="17"/>
  <c r="AI423" i="17" s="1"/>
  <c r="S41" i="17"/>
  <c r="N41" i="17"/>
  <c r="L74"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S228" i="17"/>
  <c r="N22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L230"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184" i="17"/>
  <c r="AN446" i="17"/>
  <c r="AO446" i="17" s="1"/>
  <c r="AH446" i="17"/>
  <c r="AI446" i="17" s="1"/>
  <c r="AN422" i="17"/>
  <c r="AO422" i="17" s="1"/>
  <c r="AH422" i="17"/>
  <c r="AI422" i="17" s="1"/>
  <c r="S72" i="17"/>
  <c r="N284" i="17"/>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AH465" i="3"/>
  <c r="AI465" i="3" s="1"/>
  <c r="L250" i="3"/>
  <c r="M249" i="3" s="1"/>
  <c r="R311" i="3"/>
  <c r="L27" i="3"/>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C26" i="19" s="1"/>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K37" i="3" s="1"/>
  <c r="J27" i="3"/>
  <c r="K22" i="3"/>
  <c r="R22" i="3" s="1"/>
  <c r="K23" i="3"/>
  <c r="R23" i="3" s="1"/>
  <c r="K21" i="3"/>
  <c r="R21" i="3" s="1"/>
  <c r="K13" i="3"/>
  <c r="N13" i="3"/>
  <c r="N14" i="3" s="1"/>
  <c r="H72" i="3" l="1"/>
  <c r="H41" i="3"/>
  <c r="E72" i="3"/>
  <c r="E27" i="3"/>
  <c r="H13" i="19"/>
  <c r="K13" i="19" s="1"/>
  <c r="E41" i="3"/>
  <c r="G13" i="19"/>
  <c r="J13" i="19" s="1"/>
  <c r="J407" i="17"/>
  <c r="J410" i="17" s="1"/>
  <c r="K407" i="17" s="1"/>
  <c r="O418" i="17" s="1"/>
  <c r="P418" i="17" s="1"/>
  <c r="Q418" i="17" s="1"/>
  <c r="S418" i="17" s="1"/>
  <c r="S398" i="17"/>
  <c r="N398" i="17"/>
  <c r="I5" i="19"/>
  <c r="L5" i="19" s="1"/>
  <c r="C10" i="19"/>
  <c r="I10" i="19" s="1"/>
  <c r="L10" i="19" s="1"/>
  <c r="C14" i="19"/>
  <c r="H4" i="19"/>
  <c r="K4" i="19" s="1"/>
  <c r="N423" i="17"/>
  <c r="N410" i="17"/>
  <c r="N405" i="17"/>
  <c r="S415" i="17"/>
  <c r="N418" i="17"/>
  <c r="N433" i="17"/>
  <c r="O438" i="17"/>
  <c r="G4" i="19"/>
  <c r="J4" i="19" s="1"/>
  <c r="G8" i="19"/>
  <c r="J8" i="19" s="1"/>
  <c r="G5" i="19"/>
  <c r="J5" i="19" s="1"/>
  <c r="C6" i="19"/>
  <c r="G6" i="19" s="1"/>
  <c r="J6" i="19" s="1"/>
  <c r="H5" i="19"/>
  <c r="K5" i="19" s="1"/>
  <c r="I8" i="19"/>
  <c r="L8" i="19" s="1"/>
  <c r="C25" i="19"/>
  <c r="I25" i="19" s="1"/>
  <c r="L25" i="19" s="1"/>
  <c r="D10" i="19"/>
  <c r="H22" i="19"/>
  <c r="K22" i="19" s="1"/>
  <c r="C23" i="19"/>
  <c r="I23" i="19" s="1"/>
  <c r="L23" i="19" s="1"/>
  <c r="X20" i="3"/>
  <c r="G14" i="19"/>
  <c r="J14" i="19" s="1"/>
  <c r="G22" i="19"/>
  <c r="J22" i="19" s="1"/>
  <c r="E72" i="19"/>
  <c r="X19" i="3"/>
  <c r="I64" i="19"/>
  <c r="L64" i="19" s="1"/>
  <c r="H64" i="19"/>
  <c r="K64" i="19" s="1"/>
  <c r="H24" i="3"/>
  <c r="H31" i="3"/>
  <c r="H35" i="3"/>
  <c r="H32" i="3"/>
  <c r="H36" i="3"/>
  <c r="H38" i="3"/>
  <c r="H34" i="3"/>
  <c r="H39" i="3"/>
  <c r="G12" i="19"/>
  <c r="J12" i="19" s="1"/>
  <c r="H31" i="19"/>
  <c r="K31" i="19" s="1"/>
  <c r="I31" i="19"/>
  <c r="L31" i="19" s="1"/>
  <c r="G31" i="19"/>
  <c r="J31" i="19" s="1"/>
  <c r="I26" i="19"/>
  <c r="L26" i="19" s="1"/>
  <c r="H26" i="19"/>
  <c r="K26" i="19" s="1"/>
  <c r="G26" i="19"/>
  <c r="J26" i="19" s="1"/>
  <c r="C29" i="19"/>
  <c r="I39" i="19"/>
  <c r="L39" i="19" s="1"/>
  <c r="H39" i="19"/>
  <c r="K39" i="19" s="1"/>
  <c r="G39" i="19"/>
  <c r="J39" i="19" s="1"/>
  <c r="I12" i="19"/>
  <c r="L12" i="19" s="1"/>
  <c r="H12" i="19"/>
  <c r="K12" i="19" s="1"/>
  <c r="C27" i="19"/>
  <c r="H14" i="19"/>
  <c r="K14" i="19" s="1"/>
  <c r="I14" i="19"/>
  <c r="L14" i="19" s="1"/>
  <c r="H46" i="19"/>
  <c r="K46" i="19" s="1"/>
  <c r="I46" i="19"/>
  <c r="L46" i="19" s="1"/>
  <c r="G46" i="19"/>
  <c r="J46" i="19" s="1"/>
  <c r="I70" i="19"/>
  <c r="L70" i="19" s="1"/>
  <c r="H70" i="19"/>
  <c r="K70" i="19" s="1"/>
  <c r="C72" i="19"/>
  <c r="D71" i="19"/>
  <c r="G70" i="19"/>
  <c r="J70" i="19" s="1"/>
  <c r="D62" i="19"/>
  <c r="D72" i="19"/>
  <c r="AA480" i="3"/>
  <c r="AA451" i="3"/>
  <c r="AA432" i="3"/>
  <c r="AA418" i="3"/>
  <c r="L82" i="3"/>
  <c r="AF479" i="3" s="1"/>
  <c r="AH479" i="3" s="1"/>
  <c r="AI479" i="3" s="1"/>
  <c r="S158" i="3"/>
  <c r="S162" i="3" s="1"/>
  <c r="N158" i="3"/>
  <c r="W112" i="3"/>
  <c r="W114" i="3" s="1"/>
  <c r="W117" i="3" s="1"/>
  <c r="J112" i="3"/>
  <c r="AG414" i="3"/>
  <c r="F85" i="3"/>
  <c r="AM414" i="3"/>
  <c r="AH432" i="3"/>
  <c r="AI432" i="3" s="1"/>
  <c r="K32" i="17"/>
  <c r="K37" i="17"/>
  <c r="K209" i="3"/>
  <c r="K34" i="17"/>
  <c r="K36" i="17"/>
  <c r="K33" i="17"/>
  <c r="L107" i="3"/>
  <c r="M24" i="17"/>
  <c r="Z467" i="3"/>
  <c r="K24" i="17"/>
  <c r="K31" i="17"/>
  <c r="E31" i="3"/>
  <c r="AM416" i="3"/>
  <c r="E34" i="3"/>
  <c r="E38" i="3"/>
  <c r="E39" i="3"/>
  <c r="E36" i="3"/>
  <c r="AG416" i="3"/>
  <c r="E35" i="3"/>
  <c r="E32" i="3"/>
  <c r="E24" i="3"/>
  <c r="AG417" i="3"/>
  <c r="AM417" i="3"/>
  <c r="AG417" i="17"/>
  <c r="AM417" i="17"/>
  <c r="AM414" i="17"/>
  <c r="AG414" i="17"/>
  <c r="AM416" i="17"/>
  <c r="AG416" i="17"/>
  <c r="AM415" i="17"/>
  <c r="AG415" i="17"/>
  <c r="E40" i="3"/>
  <c r="E33" i="3"/>
  <c r="AC467" i="3"/>
  <c r="AA467" i="3" s="1"/>
  <c r="AH418" i="3"/>
  <c r="AI418" i="3" s="1"/>
  <c r="N27" i="17"/>
  <c r="N28" i="17" s="1"/>
  <c r="K54" i="17"/>
  <c r="K41" i="17"/>
  <c r="U41" i="17" s="1"/>
  <c r="K72" i="17"/>
  <c r="I85" i="3"/>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L232" i="17"/>
  <c r="N193" i="17"/>
  <c r="N194" i="17" s="1"/>
  <c r="AG412" i="17"/>
  <c r="AM412" i="17"/>
  <c r="S350" i="17"/>
  <c r="N350" i="17"/>
  <c r="S230" i="17"/>
  <c r="K230" i="17"/>
  <c r="N23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C56" i="19"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41" i="3"/>
  <c r="K27" i="3"/>
  <c r="S27" i="3"/>
  <c r="S28" i="3" s="1"/>
  <c r="N27" i="3"/>
  <c r="N28" i="3" s="1"/>
  <c r="K54" i="3"/>
  <c r="R27" i="3"/>
  <c r="R28" i="3" s="1"/>
  <c r="M27" i="3"/>
  <c r="M28" i="3" s="1"/>
  <c r="M24" i="3"/>
  <c r="K24" i="3"/>
  <c r="H10" i="19" l="1"/>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I29" i="19"/>
  <c r="L29" i="19" s="1"/>
  <c r="H29" i="19"/>
  <c r="K29" i="19" s="1"/>
  <c r="G29" i="19"/>
  <c r="J29" i="19" s="1"/>
  <c r="C55" i="19"/>
  <c r="I50" i="19"/>
  <c r="L50" i="19" s="1"/>
  <c r="G50" i="19"/>
  <c r="J50" i="19" s="1"/>
  <c r="H32" i="19"/>
  <c r="K32" i="19" s="1"/>
  <c r="I32" i="19"/>
  <c r="L32" i="19" s="1"/>
  <c r="G32" i="19"/>
  <c r="J32" i="19" s="1"/>
  <c r="I27" i="19"/>
  <c r="L27" i="19" s="1"/>
  <c r="H27" i="19"/>
  <c r="K27" i="19" s="1"/>
  <c r="G27" i="19"/>
  <c r="J27"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S232" i="17"/>
  <c r="N232"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Q410" i="17" l="1"/>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Q404" i="17" l="1"/>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22" i="17" l="1"/>
  <c r="Q409" i="17"/>
  <c r="AE488" i="17"/>
  <c r="AF497" i="17"/>
  <c r="AN488" i="17"/>
  <c r="AO488" i="17" s="1"/>
  <c r="AH488" i="17"/>
  <c r="AI488" i="17" s="1"/>
  <c r="D313" i="3"/>
  <c r="E50" i="19" s="1"/>
  <c r="E308" i="3"/>
  <c r="E303" i="3"/>
  <c r="E55" i="19" l="1"/>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Z405" i="3" l="1"/>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c r="N230" i="3"/>
  <c r="L232" i="3"/>
  <c r="C75" i="19" l="1"/>
  <c r="H74" i="19"/>
  <c r="K74" i="19" s="1"/>
  <c r="G74" i="19"/>
  <c r="J74" i="19" s="1"/>
  <c r="AH482" i="3"/>
  <c r="AI482" i="3" s="1"/>
  <c r="AE482" i="3"/>
  <c r="AF488" i="3"/>
  <c r="N352" i="3"/>
  <c r="S352" i="3"/>
  <c r="K154" i="3"/>
  <c r="L164" i="3"/>
  <c r="N154" i="3"/>
  <c r="S154" i="3"/>
  <c r="S286" i="3"/>
  <c r="N286" i="3"/>
  <c r="L288" i="3"/>
  <c r="S232" i="3"/>
  <c r="N232" i="3"/>
  <c r="L85" i="3"/>
  <c r="K74" i="3"/>
  <c r="N74" i="3"/>
  <c r="H75" i="19" l="1"/>
  <c r="K75" i="19" s="1"/>
  <c r="G75" i="19"/>
  <c r="J75" i="19" s="1"/>
  <c r="AF497" i="3"/>
  <c r="C76" i="19" s="1"/>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Q85" i="3"/>
  <c r="AN447" i="3"/>
  <c r="AN451" i="3" s="1"/>
  <c r="S74" i="3"/>
  <c r="AL451" i="3"/>
  <c r="AO447" i="3" l="1"/>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<sst xmlns="http://schemas.openxmlformats.org/spreadsheetml/2006/main" count="14935" uniqueCount="2964">
  <si>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</si>
  <si>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</si>
  <si>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</si>
  <si>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</si>
  <si>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</si>
  <si>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</si>
  <si>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</si>
  <si>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</si>
  <si>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</si>
  <si>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</si>
  <si>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</si>
  <si>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</si>
  <si>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</si>
  <si>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</si>
  <si>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</si>
  <si>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</si>
  <si>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</si>
  <si>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</si>
  <si>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</si>
  <si>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</si>
  <si>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</si>
  <si>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</si>
  <si>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</si>
  <si>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</si>
  <si>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</si>
  <si>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</si>
  <si>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</si>
  <si>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</si>
  <si>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</si>
  <si>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</si>
  <si>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</si>
  <si>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</si>
  <si>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</si>
  <si>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</si>
  <si>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</si>
  <si>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</si>
  <si>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</si>
  <si>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</si>
  <si>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</si>
  <si>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</si>
  <si>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</si>
  <si>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</si>
  <si>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</si>
  <si>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</si>
  <si>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</si>
  <si>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</si>
  <si>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</si>
  <si>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</si>
  <si>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</si>
  <si>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</si>
  <si>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</si>
  <si>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</si>
  <si>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</si>
  <si>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</si>
  <si>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</si>
  <si>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</si>
  <si>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</si>
  <si>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</si>
  <si>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</si>
  <si>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</si>
  <si>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</si>
  <si>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</si>
  <si>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</si>
  <si>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</si>
  <si>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</si>
  <si>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</si>
  <si>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</si>
  <si>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</si>
  <si>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</si>
  <si>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</si>
  <si>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</si>
  <si>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</si>
  <si>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</si>
  <si>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</si>
  <si>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</si>
  <si>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</si>
  <si>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</si>
  <si>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</si>
  <si>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</si>
  <si>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</si>
  <si>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</si>
  <si>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</si>
  <si>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</si>
  <si>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</si>
  <si>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</si>
  <si>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</si>
  <si>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</si>
  <si>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</si>
  <si>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</si>
  <si>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</si>
  <si>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</si>
  <si>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</si>
  <si>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</si>
  <si>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</si>
  <si>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</si>
  <si>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</si>
  <si>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</si>
  <si>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</si>
  <si>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</si>
  <si>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</si>
  <si>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</si>
  <si>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</si>
  <si>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</si>
  <si>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</si>
  <si>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</si>
  <si>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</si>
  <si>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</si>
  <si>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</si>
  <si>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</si>
  <si>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</si>
  <si>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</si>
  <si>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</si>
  <si>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</si>
  <si>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</si>
  <si>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</si>
  <si>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</si>
  <si>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</si>
  <si>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</si>
  <si>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</si>
  <si>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</si>
  <si>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</si>
  <si>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</si>
  <si>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</si>
  <si>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</si>
  <si>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</si>
  <si>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</si>
  <si>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</si>
  <si>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</si>
  <si>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</si>
  <si>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</si>
  <si>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</si>
  <si>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</si>
  <si>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</si>
  <si>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</si>
  <si>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</si>
  <si>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</si>
  <si>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</si>
  <si>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</si>
  <si>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</si>
  <si>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</si>
  <si>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</si>
  <si>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</si>
  <si>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</si>
  <si>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</si>
  <si>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</si>
  <si>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</si>
  <si>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</si>
  <si>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</si>
  <si>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</si>
  <si>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</si>
  <si>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</si>
  <si>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</si>
  <si>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</si>
  <si>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</si>
  <si>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</si>
  <si>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</si>
  <si>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</si>
  <si>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</si>
  <si>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</si>
  <si>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</si>
  <si>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</si>
  <si>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</si>
  <si>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</si>
  <si>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</si>
  <si>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</si>
  <si>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</si>
  <si>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</si>
  <si>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</si>
  <si>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</si>
  <si>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</si>
  <si>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</si>
  <si>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</si>
  <si>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</si>
  <si>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</si>
  <si>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</si>
  <si>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</si>
  <si>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</si>
  <si>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</si>
  <si>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</si>
  <si>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</si>
  <si>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</si>
  <si>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</si>
  <si>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</si>
  <si>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</si>
  <si>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</si>
  <si>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</si>
  <si>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</si>
  <si>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</si>
  <si>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</si>
  <si>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</si>
  <si>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</si>
  <si>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</si>
  <si>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</si>
  <si>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</si>
  <si>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</si>
  <si>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</si>
  <si>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</si>
  <si>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</si>
  <si>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</si>
  <si>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</si>
  <si>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</si>
  <si>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</si>
  <si>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</si>
  <si>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</si>
  <si>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</si>
  <si>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</si>
  <si>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</si>
  <si>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</si>
  <si>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</si>
  <si>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</si>
  <si>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</si>
  <si>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</si>
  <si>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</si>
  <si>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</si>
  <si>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</si>
  <si>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</si>
  <si>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</si>
  <si>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</si>
  <si>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</si>
  <si>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</si>
  <si>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</si>
  <si>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</si>
  <si>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</si>
  <si>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</si>
  <si>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</si>
  <si>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</si>
  <si>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</si>
  <si>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</si>
  <si>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</si>
  <si>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</si>
  <si>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</si>
  <si>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</si>
  <si>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</si>
  <si>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</si>
  <si>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</si>
  <si>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</si>
  <si>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</si>
  <si>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</si>
  <si>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</si>
  <si>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</si>
  <si>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</si>
  <si>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</si>
  <si>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</si>
  <si>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</si>
  <si>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</si>
  <si>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</si>
  <si>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</si>
  <si>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</si>
  <si>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</si>
  <si>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</si>
  <si>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</si>
  <si>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</si>
  <si>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</si>
  <si>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</si>
  <si>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</si>
  <si>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</si>
  <si>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</si>
  <si>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</si>
  <si>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</si>
  <si>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</si>
  <si>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</si>
  <si>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</si>
  <si>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</si>
  <si>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</si>
  <si>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</si>
  <si>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</si>
  <si>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</si>
  <si>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</si>
  <si>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</si>
  <si>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</si>
  <si>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</si>
  <si>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</si>
  <si>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</si>
  <si>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</si>
  <si>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</si>
  <si>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</si>
  <si>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</si>
  <si>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</si>
  <si>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</si>
  <si>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</si>
  <si>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</si>
  <si>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</si>
  <si>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</si>
  <si>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</si>
  <si>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</si>
  <si>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</si>
  <si>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</si>
  <si>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</si>
  <si>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</si>
  <si>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</si>
  <si>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</si>
  <si>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</si>
  <si>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</si>
  <si>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</si>
  <si>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</si>
  <si>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</si>
  <si>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</si>
  <si>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</si>
  <si>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</si>
  <si>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</si>
  <si>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</si>
  <si>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</si>
  <si>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</si>
  <si>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</si>
  <si>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</si>
  <si>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</si>
  <si>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</si>
  <si>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</si>
  <si>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</si>
  <si>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</si>
  <si>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</si>
  <si>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</si>
  <si>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</si>
  <si>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</si>
  <si>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</si>
  <si>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</si>
  <si>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</si>
  <si>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</si>
  <si>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</si>
  <si>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</si>
  <si>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</si>
  <si>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</si>
  <si>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</si>
  <si>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</si>
  <si>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</si>
  <si>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</si>
  <si>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</si>
  <si>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</si>
  <si>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</si>
  <si>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</si>
  <si>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</si>
  <si>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</si>
  <si>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</si>
  <si>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</si>
  <si>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</si>
  <si>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</si>
  <si>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</si>
  <si>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</si>
  <si>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</si>
  <si>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</si>
  <si>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</si>
  <si>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</si>
  <si>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</si>
  <si>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</si>
  <si>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</si>
  <si>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</si>
  <si>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</si>
  <si>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</si>
  <si>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</si>
  <si>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</si>
  <si>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</si>
  <si>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</si>
  <si>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</si>
  <si>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</si>
  <si>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</si>
  <si>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</si>
  <si>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</si>
  <si>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</si>
  <si>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</si>
  <si>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</si>
  <si>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</si>
  <si>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</si>
  <si>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</si>
  <si>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</si>
  <si>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</si>
  <si>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</si>
  <si>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</si>
  <si>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</si>
  <si>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</si>
  <si>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</si>
  <si>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</si>
  <si>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</si>
  <si>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</si>
  <si>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</si>
  <si>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</si>
  <si>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</si>
  <si>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</si>
  <si>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</si>
  <si>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</si>
  <si>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</si>
  <si>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</si>
  <si>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</si>
  <si>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</si>
  <si>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</si>
  <si>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</si>
  <si>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</si>
  <si>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</si>
  <si>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</si>
  <si>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</si>
  <si>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</si>
  <si>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</si>
  <si>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</si>
  <si>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</si>
  <si>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</si>
  <si>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</si>
  <si>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</si>
  <si>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</si>
  <si>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</si>
  <si>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</si>
  <si>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</si>
  <si>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</si>
  <si>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</si>
  <si>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</si>
  <si>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</si>
  <si>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</si>
  <si>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</si>
  <si>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</si>
  <si>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</si>
  <si>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</si>
  <si>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</si>
  <si>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</si>
  <si>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</si>
  <si>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</si>
  <si>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</si>
  <si>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</si>
  <si>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</si>
  <si>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</si>
  <si>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</si>
  <si>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</si>
  <si>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</si>
  <si>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</si>
  <si>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</si>
  <si>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</si>
  <si>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</si>
  <si>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</si>
  <si>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</si>
  <si>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</si>
  <si>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</si>
  <si>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</si>
  <si>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</si>
  <si>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</si>
  <si>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</si>
  <si>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</si>
  <si>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</si>
  <si>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</si>
  <si>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</si>
  <si>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</si>
  <si>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</si>
  <si>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</si>
  <si>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</si>
  <si>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</si>
  <si>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</si>
  <si>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</si>
  <si>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</si>
  <si>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</si>
  <si>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</si>
  <si>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</si>
  <si>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</si>
  <si>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</si>
  <si>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</si>
  <si>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</si>
  <si>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</si>
  <si>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</si>
  <si>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</si>
  <si>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</si>
  <si>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</si>
  <si>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</si>
  <si>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</si>
  <si>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</si>
  <si>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</si>
  <si>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</si>
  <si>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</si>
  <si>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</si>
  <si>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</si>
  <si>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</si>
  <si>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</si>
  <si>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</si>
  <si>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</si>
  <si>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</si>
  <si>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</si>
  <si>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</si>
  <si>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</si>
  <si>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</si>
  <si>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</si>
  <si>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</si>
  <si>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</si>
  <si>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</si>
  <si>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</si>
  <si>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</si>
  <si>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</si>
  <si>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</si>
  <si>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</si>
  <si>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</si>
  <si>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</si>
  <si>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</si>
  <si>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</si>
  <si>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</si>
  <si>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</si>
  <si>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</si>
  <si>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</si>
  <si>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</si>
  <si>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</si>
  <si>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</si>
  <si>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</si>
  <si>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</si>
  <si>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</si>
  <si>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</si>
  <si>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</si>
  <si>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</si>
  <si>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</si>
  <si>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</si>
  <si>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</si>
  <si>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</si>
  <si>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</si>
  <si>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</si>
  <si>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</si>
  <si>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</si>
  <si>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</si>
  <si>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</si>
  <si>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</si>
  <si>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</si>
  <si>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</si>
  <si>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</si>
  <si>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</si>
  <si>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</si>
  <si>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</si>
  <si>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</si>
  <si>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</si>
  <si>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</si>
  <si>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</si>
  <si>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</si>
  <si>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</si>
  <si>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</si>
  <si>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</si>
  <si>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</si>
  <si>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</si>
  <si>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</si>
  <si>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</si>
  <si>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</si>
  <si>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</si>
  <si>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</si>
  <si>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</si>
  <si>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</si>
  <si>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</si>
  <si>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</si>
  <si>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</si>
  <si>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</si>
  <si>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</si>
  <si>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</si>
  <si>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</si>
  <si>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</si>
  <si>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</si>
  <si>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</si>
  <si>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</si>
  <si>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</si>
  <si>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</si>
  <si>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</si>
  <si>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</si>
  <si>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</si>
  <si>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</si>
  <si>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</si>
  <si>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</si>
  <si>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</si>
  <si>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</si>
  <si>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</si>
  <si>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</si>
  <si>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</si>
  <si>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</si>
  <si>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</si>
  <si>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</si>
  <si>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</si>
  <si>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</si>
  <si>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</si>
  <si>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</si>
  <si>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</si>
  <si>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</si>
  <si>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</si>
  <si>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</si>
  <si>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</si>
  <si>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</si>
  <si>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</si>
  <si>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</si>
  <si>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</si>
  <si>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</si>
  <si>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</si>
  <si>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</si>
  <si>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</si>
  <si>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</si>
  <si>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</si>
  <si>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</si>
  <si>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</si>
  <si>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</si>
  <si>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</si>
  <si>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</si>
  <si>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</si>
  <si>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</si>
  <si>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</si>
  <si>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</si>
  <si>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</si>
  <si>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</si>
  <si>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</si>
  <si>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</si>
  <si>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</si>
  <si>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</si>
  <si>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</si>
  <si>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</si>
  <si>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</si>
  <si>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</si>
  <si>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</si>
  <si>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</si>
  <si>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</si>
  <si>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</si>
  <si>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</si>
  <si>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</si>
  <si>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</si>
  <si>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</si>
  <si>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</si>
  <si>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</si>
  <si>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</si>
  <si>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</si>
  <si>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</si>
  <si>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</si>
  <si>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</si>
  <si>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</si>
  <si>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</si>
  <si>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</si>
  <si>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</si>
  <si>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</si>
  <si>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</si>
  <si>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</si>
  <si>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</si>
  <si>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</si>
  <si>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</si>
  <si>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</si>
  <si>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</si>
  <si>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</si>
  <si>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</si>
  <si>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</si>
  <si>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</si>
  <si>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</si>
  <si>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</si>
  <si>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</si>
  <si>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</si>
  <si>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</si>
  <si>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</si>
  <si>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</si>
  <si>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</si>
  <si>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</si>
  <si>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</si>
  <si>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</si>
  <si>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</si>
  <si>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</si>
  <si>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</si>
  <si>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</si>
  <si>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</si>
  <si>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</si>
  <si>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</si>
  <si>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</si>
  <si>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</si>
  <si>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</si>
  <si>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</si>
  <si>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</si>
  <si>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</si>
  <si>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</si>
  <si>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</si>
  <si>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</si>
  <si>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</si>
  <si>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</si>
  <si>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</si>
  <si>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</si>
  <si>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</si>
  <si>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</si>
  <si>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</si>
  <si>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</si>
  <si>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</si>
  <si>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</si>
  <si>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</si>
  <si>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</si>
  <si>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</si>
  <si>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</si>
  <si>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</si>
  <si>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</si>
  <si>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</si>
  <si>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</si>
  <si>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</si>
  <si>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</si>
  <si>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</si>
  <si>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</si>
  <si>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</si>
  <si>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</si>
  <si>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</si>
  <si>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</si>
  <si>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</si>
  <si>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</si>
  <si>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</si>
  <si>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</si>
  <si>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</si>
  <si>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</si>
  <si>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</si>
  <si>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</si>
  <si>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</si>
  <si>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</si>
  <si>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</si>
  <si>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</si>
  <si>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</si>
  <si>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</si>
  <si>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</si>
  <si>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</si>
  <si>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</si>
  <si>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</si>
  <si>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</si>
  <si>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</si>
  <si>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</si>
  <si>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</si>
  <si>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</si>
  <si>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</si>
  <si>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</si>
  <si>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</si>
  <si>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</si>
  <si>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</si>
  <si>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</si>
  <si>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</si>
  <si>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</si>
  <si>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</si>
  <si>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</si>
  <si>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</si>
  <si>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</si>
  <si>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</si>
  <si>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</si>
  <si>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</si>
  <si>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</si>
  <si>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</si>
  <si>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</si>
  <si>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</si>
  <si>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</si>
  <si>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</si>
  <si>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</si>
  <si>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</si>
  <si>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</si>
  <si>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</si>
  <si>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</si>
  <si>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</si>
  <si>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</si>
  <si>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</si>
  <si>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</si>
  <si>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</si>
  <si>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</si>
  <si>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</si>
  <si>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</si>
  <si>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</si>
  <si>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</si>
  <si>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</si>
  <si>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</si>
  <si>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</si>
  <si>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</si>
  <si>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</si>
  <si>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</si>
  <si>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</si>
  <si>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</si>
  <si>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</si>
  <si>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</si>
  <si>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</si>
  <si>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</si>
  <si>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</si>
  <si>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</si>
  <si>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</si>
  <si>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</si>
  <si>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</si>
  <si>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</si>
  <si>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</si>
  <si>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</si>
  <si>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</si>
  <si>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</si>
  <si>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</si>
  <si>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</si>
  <si>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</si>
  <si>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</si>
  <si>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</si>
  <si>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</si>
  <si>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</si>
  <si>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</si>
  <si>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</si>
  <si>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</si>
  <si>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</si>
  <si>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</si>
  <si>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</si>
  <si>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</si>
  <si>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</si>
  <si>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</si>
  <si>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</si>
  <si>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</si>
  <si>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</si>
  <si>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</si>
  <si>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</si>
  <si>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</si>
  <si>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</si>
  <si>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</si>
  <si>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</si>
  <si>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</si>
  <si>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</si>
  <si>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</si>
  <si>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</si>
  <si>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</si>
  <si>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</si>
  <si>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</si>
  <si>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</si>
  <si>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</si>
  <si>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</si>
  <si>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</si>
  <si>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</si>
  <si>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</si>
  <si>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</si>
  <si>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</si>
  <si>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</si>
  <si>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</si>
  <si>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</si>
  <si>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</si>
  <si>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</si>
  <si>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</si>
  <si>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</si>
  <si>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</si>
  <si>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</si>
  <si>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</si>
  <si>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</si>
  <si>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</si>
  <si>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</si>
  <si>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</si>
  <si>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</si>
  <si>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</si>
  <si>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</si>
  <si>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</si>
  <si>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</si>
  <si>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</si>
  <si>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</si>
  <si>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</si>
  <si>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</si>
  <si>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</si>
  <si>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</si>
  <si>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</si>
  <si>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</si>
  <si>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</si>
  <si>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</si>
  <si>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</si>
  <si>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</si>
  <si>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</si>
  <si>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</si>
  <si>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</si>
  <si>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</si>
  <si>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</si>
  <si>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</si>
  <si>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</si>
  <si>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</si>
  <si>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</si>
  <si>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</si>
  <si>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</si>
  <si>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</si>
  <si>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</si>
  <si>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</si>
  <si>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</si>
  <si>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</si>
  <si>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</si>
  <si>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</si>
  <si>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</si>
  <si>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</si>
  <si>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</si>
  <si>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</si>
  <si>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</si>
  <si>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</si>
  <si>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</si>
  <si>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</si>
  <si>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</si>
  <si>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</si>
  <si>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</si>
  <si>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</si>
  <si>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</si>
  <si>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</si>
  <si>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</si>
  <si>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</si>
  <si>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</si>
  <si>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</si>
  <si>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</si>
  <si>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</si>
  <si>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</si>
  <si>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</si>
  <si>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</si>
  <si>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</si>
  <si>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</si>
  <si>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</si>
  <si>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</si>
  <si>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</si>
  <si>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</si>
  <si>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</si>
  <si>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</si>
  <si>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</si>
  <si>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</si>
  <si>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</si>
  <si>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</si>
  <si>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</si>
  <si>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</si>
  <si>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</si>
  <si>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</si>
  <si>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</si>
  <si>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</si>
  <si>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</si>
  <si>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</si>
  <si>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</si>
  <si>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</si>
  <si>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</si>
  <si>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</si>
  <si>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</si>
  <si>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</si>
  <si>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</si>
  <si>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</si>
  <si>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</si>
  <si>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</si>
  <si>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</si>
  <si>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</si>
  <si>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</si>
  <si>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</si>
  <si>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</si>
  <si>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</si>
  <si>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</si>
  <si>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</si>
  <si>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</si>
  <si>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</si>
  <si>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</si>
  <si>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</si>
  <si>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</si>
  <si>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</si>
  <si>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</si>
  <si>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</si>
  <si>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</si>
  <si>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</si>
  <si>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</si>
  <si>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</si>
  <si>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</si>
  <si>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</si>
  <si>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</si>
  <si>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</si>
  <si>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</si>
  <si>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</si>
  <si>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</si>
  <si>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</si>
  <si>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</si>
  <si>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</si>
  <si>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</si>
  <si>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</si>
  <si>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</si>
  <si>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</si>
  <si>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</si>
  <si>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</si>
  <si>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</si>
  <si>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</si>
  <si>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</si>
  <si>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</si>
  <si>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</si>
  <si>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</si>
  <si>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</si>
  <si>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</si>
  <si>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</si>
  <si>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</si>
  <si>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</si>
  <si>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</si>
  <si>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</si>
  <si>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</si>
  <si>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</si>
  <si>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</si>
  <si>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</si>
  <si>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</si>
  <si>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</si>
  <si>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</si>
  <si>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</si>
  <si>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</si>
  <si>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</si>
  <si>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</si>
  <si>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</si>
  <si>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</si>
  <si>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</si>
  <si>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</si>
  <si>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</si>
  <si>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</si>
  <si>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</si>
  <si>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</si>
  <si>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</si>
  <si>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</si>
  <si>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</si>
  <si>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</si>
  <si>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</si>
  <si>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</si>
  <si>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</si>
  <si>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</si>
  <si>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</si>
  <si>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</si>
  <si>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</si>
  <si>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</si>
  <si>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</si>
  <si>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</si>
  <si>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</si>
  <si>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</si>
  <si>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</si>
  <si>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</si>
  <si>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</si>
  <si>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</si>
  <si>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</si>
  <si>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</si>
  <si>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</si>
  <si>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</si>
  <si>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</si>
  <si>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</si>
  <si>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</si>
  <si>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</si>
  <si>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</si>
  <si>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</si>
  <si>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</si>
  <si>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</si>
  <si>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</si>
  <si>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</si>
  <si>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</si>
  <si>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</si>
  <si>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</si>
  <si>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</si>
  <si>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</si>
  <si>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</si>
  <si>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</si>
  <si>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</si>
  <si>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</si>
  <si>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</si>
  <si>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</si>
  <si>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</si>
  <si>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</si>
  <si>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</si>
  <si>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</si>
  <si>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</si>
  <si>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</si>
  <si>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</si>
  <si>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</si>
  <si>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</si>
  <si>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</si>
  <si>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</si>
  <si>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</si>
  <si>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</si>
  <si>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</si>
  <si>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</si>
  <si>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</si>
  <si>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</si>
  <si>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</si>
  <si>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</si>
  <si>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</si>
  <si>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</si>
  <si>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</si>
  <si>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</si>
  <si>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</si>
  <si>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</si>
  <si>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</si>
  <si>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</si>
  <si>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</si>
  <si>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</si>
  <si>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</si>
  <si>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</si>
  <si>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</si>
  <si>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</si>
  <si>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</si>
  <si>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</si>
  <si>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</si>
  <si>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</si>
  <si>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</si>
  <si>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</si>
  <si>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</si>
  <si>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</si>
  <si>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</si>
  <si>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</si>
  <si>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</si>
  <si>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</si>
  <si>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</si>
  <si>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</si>
  <si>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</si>
  <si>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</si>
  <si>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</si>
  <si>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</si>
  <si>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</si>
  <si>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</si>
  <si>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</si>
  <si>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</si>
  <si>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</si>
  <si>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</si>
  <si>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</si>
  <si>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</si>
  <si>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</si>
  <si>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</si>
  <si>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</si>
  <si>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</si>
  <si>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</si>
  <si>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</si>
  <si>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</si>
  <si>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</si>
  <si>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</si>
  <si>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</si>
  <si>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</si>
  <si>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</si>
  <si>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</si>
  <si>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</si>
  <si>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</si>
  <si>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</si>
  <si>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</si>
  <si>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</si>
  <si>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</si>
  <si>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</si>
  <si>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</si>
  <si>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</si>
  <si>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</si>
  <si>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</si>
  <si>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</si>
  <si>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</si>
  <si>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</si>
  <si>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</si>
  <si>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</si>
  <si>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</si>
  <si>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</si>
  <si>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</si>
  <si>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</si>
  <si>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</si>
  <si>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</si>
  <si>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</si>
  <si>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</si>
  <si>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</si>
  <si>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</si>
  <si>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</si>
  <si>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</si>
  <si>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</si>
  <si>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</si>
  <si>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</si>
  <si>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</si>
  <si>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</si>
  <si>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</si>
  <si>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</si>
  <si>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</si>
  <si>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</si>
  <si>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</si>
  <si>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</si>
  <si>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</si>
  <si>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</si>
  <si>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</si>
  <si>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</si>
  <si>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</si>
  <si>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</si>
  <si>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</si>
  <si>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</si>
  <si>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</si>
  <si>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</si>
  <si>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</si>
  <si>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</si>
  <si>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</si>
  <si>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</si>
  <si>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</si>
  <si>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</si>
  <si>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</si>
  <si>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</si>
  <si>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</si>
  <si>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</si>
  <si>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</si>
  <si>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</si>
  <si>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</si>
  <si>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</si>
  <si>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</si>
  <si>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</si>
  <si>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</si>
  <si>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</si>
  <si>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</si>
  <si>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</si>
  <si>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</si>
  <si>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</si>
  <si>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</si>
  <si>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</si>
  <si>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</si>
  <si>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</si>
  <si>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</si>
  <si>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</si>
  <si>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</si>
  <si>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</si>
  <si>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</si>
  <si>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</si>
  <si>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</si>
  <si>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</si>
  <si>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</si>
  <si>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</si>
  <si>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</si>
  <si>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</si>
  <si>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</si>
  <si>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</si>
  <si>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</si>
  <si>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</si>
  <si>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</si>
  <si>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</si>
  <si>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</si>
  <si>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</si>
  <si>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</si>
  <si>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</si>
  <si>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</si>
  <si>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</si>
  <si>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</si>
  <si>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</si>
  <si>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</si>
  <si>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</si>
  <si>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</si>
  <si>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</si>
  <si>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</si>
  <si>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</si>
  <si>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</si>
  <si>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</si>
  <si>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</si>
  <si>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</si>
  <si>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</si>
  <si>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</si>
  <si>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</si>
  <si>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</si>
  <si>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</si>
  <si>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</si>
  <si>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</si>
  <si>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</si>
  <si>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</si>
  <si>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</si>
  <si>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</si>
  <si>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</si>
  <si>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</si>
  <si>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</si>
  <si>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</si>
  <si>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</si>
  <si>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</si>
  <si>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</si>
  <si>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</si>
  <si>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</si>
  <si>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</si>
  <si>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</si>
  <si>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</si>
  <si>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</si>
  <si>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</si>
  <si>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</si>
  <si>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</si>
  <si>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</si>
  <si>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</si>
  <si>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</si>
  <si>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</si>
  <si>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</si>
  <si>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</si>
  <si>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</si>
  <si>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</si>
  <si>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</si>
  <si>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</si>
  <si>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</si>
  <si>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</si>
  <si>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</si>
  <si>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</si>
  <si>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</si>
  <si>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</si>
  <si>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</si>
  <si>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</si>
  <si>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</si>
  <si>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</si>
  <si>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</si>
  <si>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</si>
  <si>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</si>
  <si>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</si>
  <si>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</si>
  <si>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</si>
  <si>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</si>
  <si>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</si>
  <si>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</si>
  <si>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</si>
  <si>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</si>
  <si>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</si>
  <si>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</si>
  <si>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</si>
  <si>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</si>
  <si>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</si>
  <si>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</si>
  <si>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</si>
  <si>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</si>
  <si>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</si>
  <si>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</si>
  <si>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</si>
  <si>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</si>
  <si>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</si>
  <si>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</si>
  <si>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</si>
  <si>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</si>
  <si>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</si>
  <si>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</si>
  <si>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</si>
  <si>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</si>
  <si>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</si>
  <si>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</si>
  <si>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</si>
  <si>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</si>
  <si>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</si>
  <si>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</si>
  <si>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</si>
  <si>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</si>
  <si>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</si>
  <si>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</si>
  <si>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</si>
  <si>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</si>
  <si>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</si>
  <si>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</si>
  <si>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</si>
  <si>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</si>
  <si>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</si>
  <si>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</si>
  <si>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</si>
  <si>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</si>
  <si>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</si>
  <si>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</si>
  <si>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</si>
  <si>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</si>
  <si>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</si>
  <si>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</si>
  <si>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</si>
  <si>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</si>
  <si>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</si>
  <si>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</si>
  <si>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</si>
  <si>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</si>
  <si>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</si>
  <si>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</si>
  <si>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</si>
  <si>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</si>
  <si>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</si>
  <si>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</si>
  <si>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</si>
  <si>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</si>
  <si>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</si>
  <si>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</si>
  <si>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</si>
  <si>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</si>
  <si>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</si>
  <si>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</si>
  <si>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</si>
  <si>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</si>
  <si>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</si>
  <si>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</si>
  <si>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</si>
  <si>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</si>
  <si>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</si>
  <si>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</si>
  <si>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</si>
  <si>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</si>
  <si>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</si>
  <si>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</si>
  <si>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</si>
  <si>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</si>
  <si>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</si>
  <si>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</si>
  <si>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</si>
  <si>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</si>
  <si>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</si>
  <si>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</si>
  <si>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</si>
  <si>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</si>
  <si>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</si>
  <si>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</si>
  <si>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</si>
  <si>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</si>
  <si>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</si>
  <si>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</si>
  <si>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</si>
  <si>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</si>
  <si>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</si>
  <si>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</si>
  <si>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</si>
  <si>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</si>
  <si>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</si>
  <si>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</si>
  <si>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</si>
  <si>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</si>
  <si>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</si>
  <si>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</si>
  <si>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</si>
  <si>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</si>
  <si>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</si>
  <si>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</si>
  <si>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</si>
  <si>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</si>
  <si>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</si>
  <si>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</si>
  <si>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</si>
  <si>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</si>
  <si>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</si>
  <si>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</si>
  <si>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</si>
  <si>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</si>
  <si>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</si>
  <si>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</si>
  <si>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</si>
  <si>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</si>
  <si>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</si>
  <si>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</si>
  <si>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</si>
  <si>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</si>
  <si>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</si>
  <si>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</si>
  <si>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</si>
  <si>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</si>
  <si>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</si>
  <si>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</si>
  <si>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</si>
  <si>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</si>
  <si>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</si>
  <si>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</si>
  <si>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</si>
  <si>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</si>
  <si>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</si>
  <si>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</si>
  <si>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</si>
  <si>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</si>
  <si>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</si>
  <si>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</si>
  <si>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</si>
  <si>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</si>
  <si>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</si>
  <si>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</si>
  <si>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</si>
  <si>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</si>
  <si>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</si>
  <si>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</si>
  <si>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</si>
  <si>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</si>
  <si>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</si>
  <si>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</si>
  <si>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</si>
  <si>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</si>
  <si>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</si>
  <si>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</si>
  <si>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</si>
  <si>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</si>
  <si>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</si>
  <si>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</si>
  <si>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</si>
  <si>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</si>
  <si>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</si>
  <si>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</si>
  <si>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</si>
  <si>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</si>
  <si>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</si>
  <si>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</si>
  <si>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</si>
  <si>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</si>
  <si>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</si>
  <si>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</si>
  <si>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</si>
  <si>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</si>
  <si>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</si>
  <si>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</si>
  <si>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</si>
  <si>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</si>
  <si>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</si>
  <si>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</si>
  <si>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</si>
  <si>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</si>
  <si>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</si>
  <si>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</si>
  <si>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</si>
  <si>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</si>
  <si>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</si>
  <si>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</si>
  <si>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</si>
  <si>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</si>
  <si>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</si>
  <si>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</si>
  <si>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</si>
  <si>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</si>
  <si>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</si>
  <si>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</si>
  <si>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</si>
  <si>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</si>
  <si>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</si>
  <si>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</si>
  <si>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</si>
  <si>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</si>
  <si>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</si>
  <si>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</si>
  <si>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</si>
  <si>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</si>
  <si>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</si>
  <si>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</si>
  <si>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</si>
  <si>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</si>
  <si>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</si>
  <si>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</si>
  <si>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</si>
  <si>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</si>
  <si>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</si>
  <si>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</si>
  <si>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</si>
  <si>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</si>
  <si>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</si>
  <si>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</si>
  <si>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</si>
  <si>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</si>
  <si>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</si>
  <si>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</si>
  <si>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</si>
  <si>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</si>
  <si>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</si>
  <si>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</si>
  <si>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</si>
  <si>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</si>
  <si>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</si>
  <si>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</si>
  <si>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</si>
  <si>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</si>
  <si>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</si>
  <si>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</si>
  <si>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</si>
  <si>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</si>
  <si>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</si>
  <si>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</si>
  <si>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</si>
  <si>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</si>
  <si>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</si>
  <si>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</si>
  <si>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</si>
  <si>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</si>
  <si>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</si>
  <si>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</si>
  <si>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</si>
  <si>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</si>
  <si>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</si>
  <si>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</si>
  <si>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</si>
  <si>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</si>
  <si>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</si>
  <si>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</si>
  <si>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</si>
  <si>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</si>
  <si>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</si>
  <si>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</si>
  <si>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</si>
  <si>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</si>
  <si>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</si>
  <si>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</si>
  <si>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</si>
  <si>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</si>
  <si>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</si>
  <si>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</si>
  <si>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</si>
  <si>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</si>
  <si>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</si>
  <si>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</si>
  <si>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</si>
  <si>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</si>
  <si>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</si>
  <si>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</si>
  <si>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</si>
  <si>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</si>
  <si>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</si>
  <si>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</si>
  <si>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</si>
  <si>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</si>
  <si>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</si>
  <si>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</si>
  <si>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</si>
  <si>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</si>
  <si>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</si>
  <si>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</si>
  <si>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</si>
  <si>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</si>
  <si>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</si>
  <si>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</si>
  <si>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</si>
  <si>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</si>
  <si>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</si>
  <si>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</si>
  <si>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</si>
  <si>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</si>
  <si>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</si>
  <si>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</si>
  <si>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</si>
  <si>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</si>
  <si>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</si>
  <si>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</si>
  <si>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</si>
  <si>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</si>
  <si>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</si>
  <si>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</si>
  <si>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</si>
  <si>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</si>
  <si>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</si>
  <si>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</si>
  <si>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</si>
  <si>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</si>
  <si>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</si>
  <si>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</si>
  <si>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</si>
  <si>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</si>
  <si>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</si>
  <si>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</si>
  <si>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</si>
  <si>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</si>
  <si>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</si>
  <si>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</si>
  <si>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</si>
  <si>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</si>
  <si>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</si>
  <si>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</si>
  <si>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</si>
  <si>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</si>
  <si>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</si>
  <si>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</si>
  <si>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</si>
  <si>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</si>
  <si>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</si>
  <si>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</si>
  <si>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</si>
  <si>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</si>
  <si>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</si>
  <si>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</si>
  <si>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</si>
  <si>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</si>
  <si>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</si>
  <si>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</si>
  <si>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</si>
  <si>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</si>
  <si>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</si>
  <si>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</si>
  <si>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</si>
  <si>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</si>
  <si>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</si>
  <si>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</si>
  <si>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</si>
  <si>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</si>
  <si>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</si>
  <si>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</si>
  <si>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</si>
  <si>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</si>
  <si>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</si>
  <si>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</si>
  <si>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</si>
  <si>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</si>
  <si>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</si>
  <si>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</si>
  <si>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</si>
  <si>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</si>
  <si>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</si>
  <si>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</si>
  <si>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</si>
  <si>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</si>
  <si>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</si>
  <si>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</si>
  <si>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</si>
  <si>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</si>
  <si>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</si>
  <si>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</si>
  <si>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</si>
  <si>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</si>
  <si>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</si>
  <si>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</si>
  <si>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</si>
  <si>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</si>
  <si>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</si>
  <si>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</si>
  <si>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</si>
  <si>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</si>
  <si>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</si>
  <si>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</si>
  <si>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</si>
  <si>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</si>
  <si>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</si>
  <si>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</si>
  <si>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</si>
  <si>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</si>
  <si>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</si>
  <si>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</si>
  <si>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</si>
  <si>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</si>
  <si>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</si>
  <si>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</si>
  <si>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</si>
  <si>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</si>
  <si>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</si>
  <si>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</si>
  <si>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</si>
  <si>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</si>
  <si>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</si>
  <si>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</si>
  <si>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</si>
  <si>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</si>
  <si>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</si>
  <si>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</si>
  <si>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</si>
  <si>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</si>
  <si>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</si>
  <si>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</si>
  <si>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</si>
  <si>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</si>
  <si>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</si>
  <si>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</si>
  <si>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</si>
  <si>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</si>
  <si>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</si>
  <si>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</si>
  <si>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</si>
  <si>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</si>
  <si>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</si>
  <si>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</si>
  <si>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</si>
  <si>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</si>
  <si>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</si>
  <si>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</si>
  <si>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</si>
  <si>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</si>
  <si>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</si>
  <si>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</si>
  <si>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</si>
  <si>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</si>
  <si>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</si>
  <si>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</si>
  <si>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</si>
  <si>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</si>
  <si>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</si>
  <si>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</si>
  <si>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</si>
  <si>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</si>
  <si>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</si>
  <si>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</si>
  <si>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</si>
  <si>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</si>
  <si>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</si>
  <si>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</si>
  <si>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</si>
  <si>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</si>
  <si>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</si>
  <si>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</si>
  <si>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</si>
  <si>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</si>
  <si>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</si>
  <si>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</si>
  <si>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</si>
  <si>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</si>
  <si>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</si>
  <si>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</si>
  <si>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</si>
  <si>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</si>
  <si>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</si>
  <si>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</si>
  <si>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</si>
  <si>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</si>
  <si>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</si>
  <si>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</si>
  <si>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</si>
  <si>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</si>
  <si>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</si>
  <si>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</si>
  <si>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</si>
  <si>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</si>
  <si>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</si>
  <si>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</si>
  <si>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</si>
  <si>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</si>
  <si>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</si>
  <si>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</si>
  <si>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</si>
  <si>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</si>
  <si>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</si>
  <si>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</si>
  <si>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</si>
  <si>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</si>
  <si>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</si>
  <si>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</si>
  <si>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</si>
  <si>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</si>
  <si>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</si>
  <si>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</si>
  <si>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</si>
  <si>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</si>
  <si>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</si>
  <si>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</si>
  <si>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</si>
  <si>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</si>
  <si>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</si>
  <si>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</si>
  <si>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</si>
  <si>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</si>
  <si>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</si>
  <si>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</si>
  <si>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</si>
  <si>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</si>
  <si>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</si>
  <si>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</si>
  <si>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</si>
  <si>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</si>
  <si>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</si>
  <si>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</si>
  <si>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</si>
  <si>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</si>
  <si>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</si>
  <si>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</si>
  <si>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</si>
  <si>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</si>
  <si>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</si>
  <si>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</si>
  <si>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</si>
  <si>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</si>
  <si>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</si>
  <si>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</si>
  <si>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</si>
  <si>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</si>
  <si>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</si>
  <si>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</si>
  <si>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</si>
  <si>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</si>
  <si>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</si>
  <si>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</si>
  <si>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</si>
  <si>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</si>
  <si>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</si>
  <si>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</si>
  <si>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</si>
  <si>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</si>
  <si>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</si>
  <si>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</si>
  <si>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</si>
  <si>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</si>
  <si>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</si>
  <si>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</si>
  <si>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</si>
  <si>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</si>
  <si>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</si>
  <si>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</si>
  <si>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</si>
  <si>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</si>
  <si>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</si>
  <si>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</si>
  <si>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</si>
  <si>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</si>
  <si>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</si>
  <si>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</si>
  <si>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</si>
  <si>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</si>
  <si>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</si>
  <si>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</si>
  <si>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</si>
  <si>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</si>
  <si>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</si>
  <si>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</si>
  <si>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</si>
  <si>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</si>
  <si>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</si>
  <si>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</si>
  <si>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</si>
  <si>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</si>
  <si>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</si>
  <si>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</si>
  <si>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</si>
  <si>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</si>
  <si>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</si>
  <si>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</si>
  <si>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</si>
  <si>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</si>
  <si>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</si>
  <si>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</si>
  <si>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</si>
  <si>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</si>
  <si>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</si>
  <si>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</si>
  <si>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</si>
  <si>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</si>
  <si>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</si>
  <si>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</si>
  <si>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</si>
  <si>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</si>
  <si>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</si>
  <si>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</si>
  <si>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</si>
  <si>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</si>
  <si>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</si>
  <si>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</si>
  <si>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</si>
  <si>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</si>
  <si>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</si>
  <si>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</si>
  <si>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</si>
  <si>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</si>
  <si>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</si>
  <si>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</si>
  <si>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</si>
  <si>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</si>
  <si>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</si>
  <si>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</si>
  <si>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</si>
  <si>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</si>
  <si>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</si>
  <si>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</si>
  <si>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</si>
  <si>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</si>
  <si>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</si>
  <si>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</si>
  <si>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</si>
  <si>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</si>
  <si>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</si>
  <si>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</si>
  <si>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</si>
  <si>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</si>
  <si>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</si>
  <si>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</si>
  <si>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</si>
  <si>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</si>
  <si>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</si>
  <si>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</si>
  <si>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</si>
  <si>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</si>
  <si>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</si>
  <si>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</si>
  <si>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</si>
  <si>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</si>
  <si>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</si>
  <si>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</si>
  <si>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</si>
  <si>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</si>
  <si>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</si>
  <si>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</si>
  <si>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</si>
  <si>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</si>
  <si>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</si>
  <si>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</si>
  <si>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</si>
  <si>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</si>
  <si>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</si>
  <si>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</si>
  <si>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</si>
  <si>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</si>
  <si>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</si>
  <si>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</si>
  <si>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</si>
  <si>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</si>
  <si>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</si>
  <si>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</si>
  <si>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</si>
  <si>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</si>
  <si>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</si>
  <si>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</si>
  <si>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</si>
  <si>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</si>
  <si>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</si>
  <si>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</si>
  <si>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</si>
  <si>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</si>
  <si>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</si>
  <si>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</si>
  <si>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</si>
  <si>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</si>
  <si>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</si>
  <si>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</si>
  <si>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</si>
  <si>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</si>
  <si>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</si>
  <si>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</si>
  <si>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</si>
  <si>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</si>
  <si>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</si>
  <si>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</si>
  <si>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</si>
  <si>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</si>
  <si>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</si>
  <si>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</si>
  <si>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</si>
  <si>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</si>
  <si>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</si>
  <si>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</si>
  <si>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</si>
  <si>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</si>
  <si>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</si>
  <si>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</si>
  <si>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</si>
  <si>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</si>
  <si>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</si>
  <si>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</si>
  <si>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</si>
  <si>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</si>
  <si>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</si>
  <si>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</si>
  <si>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</si>
  <si>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</si>
  <si>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</si>
  <si>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</si>
  <si>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</si>
  <si>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</si>
  <si>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</si>
  <si>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</si>
  <si>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</si>
  <si>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</si>
  <si>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</si>
  <si>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</si>
  <si>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</si>
  <si>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</si>
  <si>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</si>
  <si>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</si>
  <si>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</si>
  <si>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</si>
  <si>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</si>
  <si>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</si>
  <si>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</si>
  <si>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</si>
  <si>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</si>
  <si>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</si>
  <si>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</si>
  <si>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</si>
  <si>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</si>
  <si>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</si>
  <si>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</si>
  <si>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</si>
  <si>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</si>
  <si>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</si>
  <si>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</si>
  <si>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</si>
  <si>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</si>
  <si>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</si>
  <si>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</si>
  <si>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</si>
  <si>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</si>
  <si>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</si>
  <si>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</si>
  <si>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</si>
  <si>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</si>
  <si>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</si>
  <si>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</si>
  <si>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</si>
  <si>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</si>
  <si>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</si>
  <si>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</si>
  <si>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</si>
  <si>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</si>
  <si>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</si>
  <si>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</si>
  <si>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</si>
  <si>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</si>
  <si>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</si>
  <si>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</si>
  <si>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</si>
  <si>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</si>
  <si>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</si>
  <si>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</si>
  <si>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</si>
  <si>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</si>
  <si>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</si>
  <si>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</si>
  <si>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</si>
  <si>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</si>
  <si>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</si>
  <si>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</si>
  <si>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</si>
  <si>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</si>
  <si>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</si>
  <si>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</si>
  <si>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</si>
  <si>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</si>
  <si>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</si>
  <si>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</si>
  <si>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</si>
  <si>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</si>
  <si>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</si>
  <si>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</si>
  <si>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</si>
  <si>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</si>
  <si>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</si>
  <si>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</si>
  <si>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</si>
  <si>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</si>
  <si>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</si>
  <si>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</si>
  <si>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</si>
  <si>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</si>
  <si>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</si>
  <si>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</si>
  <si>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</si>
  <si>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</si>
  <si>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</si>
  <si>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</si>
  <si>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</si>
  <si>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</si>
  <si>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</si>
  <si>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</si>
  <si>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</si>
  <si>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</si>
  <si>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</si>
  <si>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</si>
  <si>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</si>
  <si>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</si>
  <si>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</si>
  <si>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</si>
  <si>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</si>
  <si>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</si>
  <si>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</si>
  <si>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</si>
  <si>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</si>
  <si>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</si>
  <si>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</si>
  <si>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</si>
  <si>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</si>
  <si>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</si>
  <si>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</si>
  <si>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</si>
  <si>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</si>
  <si>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</si>
  <si>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</si>
  <si>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</si>
  <si>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</si>
  <si>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</si>
  <si>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</si>
  <si>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</si>
  <si>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</si>
  <si>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</si>
  <si>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</si>
  <si>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</si>
  <si>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</si>
  <si>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</si>
  <si>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</si>
  <si>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</si>
  <si>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</si>
  <si>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</si>
  <si>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</si>
  <si>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</si>
  <si>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</si>
  <si>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</si>
  <si>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</si>
  <si>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</si>
  <si>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</si>
  <si>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</si>
  <si>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</si>
  <si>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</si>
  <si>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</si>
  <si>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</si>
  <si>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</si>
  <si>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</si>
  <si>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</si>
  <si>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</si>
  <si>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</si>
  <si>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</si>
  <si>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</si>
  <si>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</si>
  <si>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</si>
  <si>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</si>
  <si>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</si>
  <si>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</si>
  <si>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</si>
  <si>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</si>
  <si>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</si>
  <si>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</si>
  <si>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</si>
  <si>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</si>
  <si>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</si>
  <si>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</si>
  <si>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</si>
  <si>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</si>
  <si>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</si>
  <si>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</si>
  <si>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</si>
  <si>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</si>
  <si>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</si>
  <si>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</si>
  <si>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</si>
  <si>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</si>
  <si>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</si>
  <si>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</si>
  <si>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</si>
  <si>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</si>
  <si>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</si>
  <si>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</si>
  <si>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</si>
  <si>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</si>
  <si>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</si>
  <si>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</si>
  <si>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</si>
  <si>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</si>
  <si>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</si>
  <si>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</si>
  <si>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</si>
  <si>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</si>
  <si>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</si>
  <si>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</si>
  <si>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</si>
  <si>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</si>
  <si>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</si>
  <si>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</si>
  <si>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</si>
  <si>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</si>
  <si>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</si>
  <si>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</si>
  <si>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</si>
  <si>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</si>
  <si>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</si>
  <si>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</si>
  <si>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</si>
  <si>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</si>
  <si>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</si>
  <si>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</si>
  <si>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</si>
  <si>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</si>
  <si>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</si>
  <si>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</si>
  <si>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</si>
  <si>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</si>
  <si>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</si>
  <si>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</si>
  <si>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</si>
  <si>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</si>
  <si>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</si>
  <si>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</si>
  <si>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</si>
  <si>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</si>
  <si>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</si>
  <si>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</si>
  <si>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</si>
  <si>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</si>
  <si>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</si>
  <si>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</si>
  <si>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</si>
  <si>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</si>
  <si>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</si>
  <si>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</si>
  <si>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</si>
  <si>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</si>
  <si>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</si>
  <si>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</si>
  <si>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</si>
  <si>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</si>
  <si>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</si>
  <si>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</si>
  <si>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</si>
  <si>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</si>
  <si>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</si>
  <si>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</si>
  <si>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</si>
  <si>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</si>
  <si>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</si>
  <si>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</si>
  <si>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</si>
  <si>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</si>
  <si>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</si>
  <si>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</si>
  <si>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</si>
  <si>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</si>
  <si>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</si>
  <si>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</si>
  <si>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</si>
  <si>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</si>
  <si>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</si>
  <si>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</si>
  <si>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</si>
  <si>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</si>
  <si>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</si>
  <si>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</si>
  <si>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</si>
  <si>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</si>
  <si>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</si>
  <si>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</si>
  <si>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</si>
  <si>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</si>
  <si>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</si>
  <si>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</si>
  <si>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</si>
  <si>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</si>
  <si>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</si>
  <si>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</si>
  <si>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</si>
  <si>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</si>
  <si>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</si>
  <si>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</si>
  <si>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</si>
  <si>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</si>
  <si>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</si>
  <si>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</si>
  <si>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</si>
  <si>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</si>
  <si>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</si>
  <si>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</si>
  <si>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</si>
  <si>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</si>
  <si>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</si>
  <si>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</si>
  <si>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</si>
  <si>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</si>
  <si>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</si>
  <si>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</si>
  <si>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</si>
  <si>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</si>
  <si>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</si>
  <si>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</si>
  <si>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</si>
  <si>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</si>
  <si>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</si>
  <si>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</si>
  <si>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</si>
  <si>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</si>
  <si>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</si>
  <si>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</si>
  <si>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</si>
  <si>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</si>
  <si>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</si>
  <si>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</si>
  <si>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</si>
  <si>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</si>
  <si>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</si>
  <si>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</si>
  <si>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</si>
  <si>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</si>
  <si>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</si>
  <si>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</si>
  <si>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</si>
  <si>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</si>
  <si>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</si>
  <si>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</si>
  <si>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</si>
  <si>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</si>
  <si>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</si>
  <si>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</si>
  <si>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</si>
  <si>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</si>
  <si>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</si>
  <si>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</si>
  <si>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</si>
  <si>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</si>
  <si>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</si>
  <si>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</si>
  <si>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</si>
  <si>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</si>
  <si>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</si>
  <si>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</si>
  <si>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</si>
  <si>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</si>
  <si>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</si>
  <si>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</si>
  <si>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</si>
  <si>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</si>
  <si>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</si>
  <si>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</si>
  <si>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</si>
  <si>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</si>
  <si>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</si>
  <si>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</si>
  <si>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</si>
  <si>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</si>
  <si>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</si>
  <si>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</si>
  <si>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</si>
  <si>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</si>
  <si>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</si>
  <si>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</si>
  <si>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</si>
  <si>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</si>
  <si>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</si>
  <si>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</si>
  <si>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</si>
  <si>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</si>
  <si>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</si>
  <si>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</si>
  <si>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</si>
  <si>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</si>
  <si>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</si>
  <si>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</si>
  <si>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</si>
  <si>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</si>
  <si>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</si>
  <si>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</si>
  <si>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</si>
  <si>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</si>
  <si>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</si>
  <si>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</si>
  <si>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</si>
  <si>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</si>
  <si>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</si>
  <si>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</si>
  <si>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</si>
  <si>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</si>
  <si>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</si>
  <si>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</si>
  <si>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</si>
  <si>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</si>
  <si>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</si>
  <si>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</si>
  <si>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</si>
  <si>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</si>
  <si>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</si>
  <si>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</si>
  <si>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</si>
  <si>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</si>
  <si>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</si>
  <si>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</si>
  <si>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</si>
  <si>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</si>
  <si>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</si>
  <si>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</si>
  <si>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</si>
  <si>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</si>
  <si>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</si>
  <si>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</si>
  <si>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</si>
  <si>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</si>
  <si>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</si>
  <si>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</si>
  <si>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</si>
  <si>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</si>
  <si>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</si>
  <si>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</si>
  <si>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</si>
  <si>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</si>
  <si>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</si>
  <si>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</si>
  <si>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</si>
  <si>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</si>
  <si>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</si>
  <si>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</si>
  <si>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</si>
  <si>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</si>
  <si>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</si>
  <si>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</si>
  <si>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</si>
  <si>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</si>
  <si>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</si>
  <si>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</si>
  <si>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</si>
  <si>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</si>
  <si>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</si>
  <si>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</si>
  <si>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</si>
  <si>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</si>
  <si>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</si>
  <si>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</si>
  <si>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</si>
  <si>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</si>
  <si>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</si>
  <si>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</si>
  <si>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</si>
  <si>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</si>
  <si>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</si>
  <si>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</si>
  <si>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</si>
  <si>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</si>
  <si>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</si>
  <si>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</si>
  <si>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</si>
  <si>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</si>
  <si>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</si>
  <si>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</si>
  <si>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</si>
  <si>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</si>
  <si>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</si>
  <si>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</si>
  <si>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</si>
  <si>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</si>
  <si>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</si>
  <si>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</si>
  <si>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</si>
  <si>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</si>
  <si>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</si>
  <si>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</si>
  <si>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</si>
  <si>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</si>
  <si>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</si>
  <si>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</si>
  <si>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</si>
  <si>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</si>
  <si>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</si>
  <si>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</si>
  <si>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</si>
  <si>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</si>
  <si>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</si>
  <si>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</si>
  <si>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</si>
  <si>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</si>
  <si>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</si>
  <si>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</si>
  <si>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</si>
  <si>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</si>
  <si>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</si>
  <si>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</si>
  <si>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</si>
  <si>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</si>
  <si>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</si>
  <si>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</si>
  <si>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</si>
  <si>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</si>
  <si>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</si>
  <si>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</si>
  <si>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</si>
  <si>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</si>
  <si>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</si>
  <si>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</si>
  <si>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</si>
  <si>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</si>
  <si>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</si>
  <si>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</si>
  <si>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</si>
  <si>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</si>
  <si>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</si>
  <si>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</si>
  <si>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</si>
  <si>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</si>
  <si>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</si>
  <si>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</si>
  <si>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</si>
  <si>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</si>
  <si>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</si>
  <si>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</si>
  <si>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</si>
  <si>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</si>
  <si>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</si>
  <si>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</si>
  <si>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</si>
  <si>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</si>
  <si>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</si>
  <si>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</si>
  <si>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</si>
  <si>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</si>
  <si>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</si>
  <si>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</si>
  <si>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</si>
  <si>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</si>
  <si>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</si>
  <si>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</si>
  <si>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</si>
  <si>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</si>
  <si>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</si>
  <si>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</si>
  <si>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</si>
  <si>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</si>
  <si>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</si>
  <si>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</si>
  <si>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</si>
  <si>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</si>
  <si>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</si>
  <si>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</si>
  <si>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</si>
  <si>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</si>
  <si>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</si>
  <si>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</si>
  <si>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</si>
  <si>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</si>
  <si>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</si>
  <si>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</si>
  <si>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</si>
  <si>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</si>
  <si>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</si>
  <si>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</si>
  <si>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</si>
  <si>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</si>
  <si>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</si>
  <si>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</si>
  <si>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</si>
  <si>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</si>
  <si>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</si>
  <si>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</si>
  <si>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</si>
  <si>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</si>
  <si>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</si>
  <si>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</si>
  <si>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</si>
  <si>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</si>
  <si>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</si>
  <si>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</si>
  <si>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</si>
  <si>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</si>
  <si>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</si>
  <si>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</si>
  <si>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</si>
  <si>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</si>
  <si>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</si>
  <si>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</si>
  <si>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</si>
  <si>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</si>
  <si>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</si>
  <si>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</si>
  <si>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</si>
  <si>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</si>
  <si>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</si>
  <si>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</si>
  <si>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</si>
  <si>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</si>
  <si>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</si>
  <si>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</si>
  <si>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</si>
  <si>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</si>
  <si>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</si>
  <si>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</si>
  <si>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</si>
  <si>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</si>
  <si>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</si>
  <si>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</si>
  <si>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</si>
  <si>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</si>
  <si>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</si>
  <si>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</si>
  <si>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</si>
  <si>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</si>
  <si>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</si>
  <si>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</si>
  <si>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</si>
  <si>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</si>
  <si>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</si>
  <si>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</si>
  <si>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</si>
  <si>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</si>
  <si>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</si>
  <si>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</si>
  <si>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</si>
  <si>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</si>
  <si>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</si>
  <si>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</si>
  <si>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</si>
  <si>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</si>
  <si>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</si>
  <si>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</si>
  <si>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</si>
  <si>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</si>
  <si>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</si>
  <si>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</si>
  <si>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</si>
  <si>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</si>
  <si>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</si>
  <si>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</si>
  <si>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</si>
  <si>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</si>
  <si>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</si>
  <si>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</si>
  <si>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</si>
  <si>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</si>
  <si>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</si>
  <si>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</si>
  <si>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</si>
  <si>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</si>
  <si>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</si>
  <si>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</si>
  <si>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</si>
  <si>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</si>
  <si>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</si>
  <si>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</si>
  <si>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</si>
  <si>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</si>
  <si>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</si>
  <si>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</si>
  <si>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</si>
  <si>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</si>
  <si>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</si>
  <si>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</si>
  <si>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</si>
  <si>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</si>
  <si>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</si>
  <si>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</si>
  <si>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</si>
  <si>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</si>
  <si>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</si>
  <si>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</si>
  <si>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</si>
  <si>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</si>
  <si>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</si>
  <si>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</si>
  <si>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</si>
  <si>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</si>
  <si>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</si>
  <si>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</si>
  <si>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</si>
  <si>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</si>
  <si>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</si>
  <si>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</si>
  <si>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</si>
  <si>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</si>
  <si>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</si>
  <si>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</si>
  <si>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</si>
  <si>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</si>
  <si>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</si>
  <si>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</si>
  <si>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</si>
  <si>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</si>
  <si>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</si>
  <si>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</si>
  <si>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</si>
  <si>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</si>
  <si>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</si>
  <si>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</si>
  <si>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</si>
  <si>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</si>
  <si>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</si>
  <si>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</si>
  <si>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</si>
  <si>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</si>
  <si>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</si>
  <si>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</si>
  <si>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</si>
  <si>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</si>
  <si>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</si>
  <si>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</si>
  <si>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</si>
  <si>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</si>
  <si>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</si>
  <si>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</si>
  <si>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</si>
  <si>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</si>
  <si>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</si>
  <si>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</si>
  <si>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</si>
  <si>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</si>
  <si>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</si>
  <si>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</si>
  <si>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</si>
  <si>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</si>
  <si>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</si>
  <si>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</si>
  <si>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</si>
  <si>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</si>
  <si>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</si>
  <si>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</si>
  <si>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</si>
  <si>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</si>
  <si>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</si>
  <si>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</si>
  <si>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</si>
  <si>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</si>
  <si>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</si>
  <si>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</si>
  <si>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</si>
  <si>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</si>
  <si>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</si>
  <si>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</si>
  <si>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</si>
  <si>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</si>
  <si>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</si>
  <si>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</si>
  <si>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</si>
  <si>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</si>
  <si>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</si>
  <si>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</si>
  <si>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</si>
  <si>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</si>
  <si>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</si>
  <si>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</si>
  <si>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</si>
  <si>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</si>
  <si>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</si>
  <si>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</si>
  <si>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</si>
  <si>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</si>
  <si>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</si>
  <si>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</si>
  <si>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</si>
  <si>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</si>
  <si>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</si>
  <si>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</si>
  <si>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</si>
  <si>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</si>
  <si>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</si>
  <si>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</si>
  <si>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</si>
  <si>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</si>
  <si>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</si>
  <si>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</si>
  <si>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</si>
  <si>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</si>
  <si>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</si>
  <si>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</si>
  <si>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</si>
  <si>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</si>
  <si>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</si>
  <si>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</si>
  <si>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</si>
  <si>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</si>
  <si>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</si>
  <si>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</si>
  <si>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</si>
  <si>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</si>
  <si>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</si>
  <si>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</si>
  <si>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</si>
  <si>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</si>
  <si>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</si>
  <si>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</si>
  <si>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</si>
  <si>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</si>
  <si>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</si>
  <si>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</si>
  <si>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</si>
  <si>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</si>
  <si>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</si>
  <si>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</si>
  <si>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</si>
  <si>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</si>
  <si>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</si>
  <si>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</si>
  <si>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</si>
  <si>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</si>
  <si>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</si>
  <si>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</si>
  <si>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</si>
  <si>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</si>
  <si>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</si>
  <si>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</si>
  <si>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</si>
  <si>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</si>
  <si>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</si>
  <si>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</si>
  <si>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</si>
  <si>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</si>
  <si>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</si>
  <si>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</si>
  <si>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</si>
  <si>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</si>
  <si>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</si>
  <si>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</si>
  <si>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</si>
  <si>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</si>
  <si>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</si>
  <si>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</si>
  <si>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</si>
  <si>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</si>
  <si>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</si>
  <si>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</si>
  <si>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</si>
  <si>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</si>
  <si>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</si>
  <si>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</si>
  <si>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</si>
  <si>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</si>
  <si>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</si>
  <si>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</si>
  <si>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</si>
  <si>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</si>
  <si>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</si>
  <si>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</si>
  <si>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</si>
  <si>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</si>
  <si>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</si>
  <si>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</si>
  <si>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</si>
  <si>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</si>
  <si>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</si>
  <si>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</si>
  <si>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</si>
  <si>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</si>
  <si>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</si>
  <si>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</si>
  <si>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</si>
  <si>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</si>
  <si>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</si>
  <si>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</si>
  <si>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</si>
  <si>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</si>
  <si>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</si>
  <si>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</si>
  <si>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</si>
  <si>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</si>
  <si>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</si>
  <si>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</si>
  <si>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</si>
  <si>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</si>
  <si>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</si>
  <si>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</si>
  <si>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</si>
  <si>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</si>
  <si>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</si>
  <si>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</si>
  <si>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</si>
  <si>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</si>
  <si>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</si>
  <si>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</si>
  <si>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</si>
  <si>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</si>
  <si>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</si>
  <si>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</si>
  <si>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</si>
  <si>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</si>
  <si>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</si>
  <si>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</si>
  <si>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</si>
  <si>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</si>
  <si>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</si>
  <si>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</si>
  <si>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</si>
  <si>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</si>
  <si>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</si>
  <si>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</si>
  <si>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</si>
  <si>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</si>
  <si>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</si>
  <si>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</si>
  <si>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</si>
  <si>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</si>
  <si>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</si>
  <si>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bonis only</t>
  </si>
  <si>
    <t>Pierre Charles -67%</t>
  </si>
  <si>
    <t>Pierre Charles +67%.5 - 100% x .5</t>
  </si>
  <si>
    <t>moin 3 versus budget</t>
  </si>
  <si>
    <t>3 commis en moin</t>
  </si>
  <si>
    <t>Productif en retour progressif</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</si>
  <si>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</si>
  <si>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</si>
  <si>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</si>
  <si>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</si>
  <si>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</si>
  <si>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</si>
  <si>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</si>
  <si>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</si>
  <si>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</si>
  <si>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</si>
  <si>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</si>
  <si>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</si>
  <si>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</si>
  <si>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</si>
  <si>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</si>
  <si>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</si>
  <si>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</si>
  <si>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</si>
  <si>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</si>
  <si>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</si>
  <si>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</si>
  <si>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</si>
  <si>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</si>
  <si>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</si>
  <si>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</si>
  <si>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</si>
  <si>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</si>
  <si>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</si>
  <si>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</si>
  <si>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</si>
  <si>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</si>
  <si>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</si>
  <si>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</si>
  <si>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</si>
  <si>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</si>
  <si>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</si>
  <si>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</si>
  <si>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</si>
  <si>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</si>
  <si>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</si>
  <si>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</si>
  <si>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 xml:space="preserve">mois de location pas de financement </t>
  </si>
  <si>
    <t>donc plus plus dificile</t>
  </si>
  <si>
    <t>ad</t>
  </si>
  <si>
    <t>Media 360 set up , javier et feb</t>
  </si>
  <si>
    <t>39 unité au budget vs 102 actual et mix</t>
  </si>
  <si>
    <t>correction 2 mois</t>
  </si>
  <si>
    <t>3.5 vs 5 au budget au target bonis pas atteint a 100%</t>
  </si>
  <si>
    <t>2 mois kijiji, trader (vauto) et SM 360</t>
  </si>
  <si>
    <t>pas de bonis</t>
  </si>
  <si>
    <t>UNITES NEUVES-VW EN INV.</t>
  </si>
  <si>
    <t>320</t>
  </si>
  <si>
    <t>32</t>
  </si>
  <si>
    <t>UNITES NEUVES-A.M. EN INV.</t>
  </si>
  <si>
    <t>329</t>
  </si>
  <si>
    <t>new CSI selon volume arrivae</t>
  </si>
  <si>
    <t>16 COURTO EN MARS</t>
  </si>
  <si>
    <t>5 DEMOS EN MARS</t>
  </si>
  <si>
    <t>Avantage plus Q1 front loaded vs Budget spread</t>
  </si>
  <si>
    <t>subv salariale true up (nov, dec, janv. Feb)</t>
  </si>
  <si>
    <t>CCAM (janv feb mars) et unipiece (janv feb mars)</t>
  </si>
  <si>
    <t>Neuf</t>
  </si>
  <si>
    <t>corr</t>
  </si>
  <si>
    <t>DAS</t>
  </si>
  <si>
    <t>BM</t>
  </si>
  <si>
    <t>Masse salariale</t>
  </si>
  <si>
    <t>Carosserie</t>
  </si>
  <si>
    <t>Piece</t>
  </si>
  <si>
    <t>Ben Marginaux</t>
  </si>
  <si>
    <t>CORRECTION ENTRE DEPT</t>
  </si>
  <si>
    <t>MOINS DE SALAIRE</t>
  </si>
  <si>
    <t>touchette laissé tous dans mars</t>
  </si>
  <si>
    <t>touchette mars tous dans mars &amp; fev et sept sous investigation</t>
  </si>
  <si>
    <t xml:space="preserve">Excellente moyenne en ligne avec V3. Volume aussi au RV pour février.
Salaire et commission encore légèrement élevé. mais depenses variable bien en controle pour mars!!
F&amp;I aussi difficile chez VW. Moyenne plus tough depuis le début d'année. plan d'action en place.
Other incomes au budget </t>
  </si>
  <si>
    <t>Front margin over budget mais encore légèrement trop bas VS trendance de marché. 
Volume très fort. Il faut continuer de travailler la moyenne chez VW dans le used
Salaire et commissions en ligne cependant, ratio F&amp;I semble élevé... à creuser. 2% no big deal, mais quand meme!
Frais variable par unités en ligne! Preuve que volume + $/un = absorbtion!
autre revenus. ok!</t>
  </si>
  <si>
    <t xml:space="preserve">Belle réalisation avec une équipe de nouveau aviseur. Bravo
Moyenne par bon légèrement sous la cible. à suivre de près sans over sale. 
Bonne gestion des salaires. À niveau, pas d'abus.
Véhicule de compagnie en lien avec le budget
Bonne gestion du lost time
</t>
  </si>
  <si>
    <t>Bel équilibre en Pieces/MO 
Retard majeur en garantie. Bonnne et mauvaise nouvelle du coup!
Le reste des ratio tiens la route!</t>
  </si>
  <si>
    <t xml:space="preserve">Bonne gestion du personnel en place. 
Pas d'over staffing. Bon team less people!
</t>
  </si>
  <si>
    <t>excellent bas de page, très bon % D' EBITDA 
#proud again!</t>
  </si>
  <si>
    <t>Caroline en maladie</t>
  </si>
  <si>
    <t xml:space="preserve">erreur pneu 2019 vendu mais cleint ont appelé apres pour avoir mais $10k vente de pneu en réserve - </t>
  </si>
  <si>
    <t>pneu/veh aad</t>
  </si>
  <si>
    <t>bonification vendeur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</si>
</sst>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9" fontId="42" fillId="0" borderId="0" applyFont="0" applyFill="0" applyBorder="0" applyAlignment="0" applyProtection="0"/>
    <xf numFmtId="0" fontId="6" fillId="0" borderId="1"/>
    <xf numFmtId="0" fontId="5" fillId="0" borderId="1"/>
    <xf numFmtId="9" fontId="5" fillId="0" borderId="1" applyFont="0" applyFill="0" applyBorder="0" applyAlignment="0" applyProtection="0"/>
    <xf numFmtId="43" fontId="72" fillId="0" borderId="0" applyFont="0" applyFill="0" applyBorder="0" applyAlignment="0" applyProtection="0"/>
    <xf numFmtId="0" fontId="4" fillId="0" borderId="1"/>
    <xf numFmtId="0" fontId="3" fillId="0" borderId="1"/>
    <xf numFmtId="0" fontId="2" fillId="0" borderId="1"/>
  </cellStyleXfs>
  <cellXfs count="1144">
    <xf numFmtId="0" fontId="0" fillId="0" borderId="0" xfId="0" applyFont="1" applyAlignment="1"/>
    <xf numFmtId="0" fontId="7" fillId="0" borderId="0" xfId="0" applyFont="1"/>
    <xf numFmtId="0" fontId="8" fillId="0" borderId="0" xfId="0" applyFont="1"/>
    <xf numFmtId="0" fontId="8" fillId="2" borderId="1" xfId="0" applyFont="1" applyFill="1" applyBorder="1" applyAlignment="1">
      <alignment horizontal="center"/>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9" fillId="0" borderId="0" xfId="0" applyFont="1"/>
    <xf numFmtId="0" fontId="11" fillId="0" borderId="2" xfId="0" applyFont="1" applyBorder="1"/>
    <xf numFmtId="0" fontId="13" fillId="0" borderId="4" xfId="0" applyFont="1" applyBorder="1"/>
    <xf numFmtId="0" fontId="11" fillId="0" borderId="6" xfId="0" applyFont="1" applyBorder="1"/>
    <xf numFmtId="0" fontId="13" fillId="0" borderId="6" xfId="0" applyFont="1" applyBorder="1"/>
    <xf numFmtId="0" fontId="13" fillId="3" borderId="8" xfId="0" applyFont="1" applyFill="1" applyBorder="1"/>
    <xf numFmtId="0" fontId="13" fillId="3" borderId="10" xfId="0" applyFont="1" applyFill="1" applyBorder="1"/>
    <xf numFmtId="0" fontId="12" fillId="0" borderId="6" xfId="0" applyFont="1" applyBorder="1"/>
    <xf numFmtId="166" fontId="8" fillId="0" borderId="0" xfId="0" applyNumberFormat="1" applyFont="1"/>
    <xf numFmtId="0" fontId="8" fillId="0" borderId="6" xfId="0" applyFont="1" applyBorder="1"/>
    <xf numFmtId="167" fontId="8" fillId="0" borderId="0" xfId="0" applyNumberFormat="1" applyFont="1"/>
    <xf numFmtId="0" fontId="10" fillId="0" borderId="0" xfId="0" applyFont="1"/>
    <xf numFmtId="0" fontId="15" fillId="0" borderId="0" xfId="0" applyFont="1" applyAlignment="1">
      <alignment horizontal="center" vertical="center"/>
    </xf>
    <xf numFmtId="3" fontId="10" fillId="0" borderId="0" xfId="0" applyNumberFormat="1" applyFont="1"/>
    <xf numFmtId="0" fontId="15" fillId="0" borderId="0" xfId="0" applyFont="1"/>
    <xf numFmtId="168" fontId="16" fillId="0" borderId="0" xfId="0" applyNumberFormat="1" applyFont="1" applyAlignment="1">
      <alignment horizontal="left"/>
    </xf>
    <xf numFmtId="0" fontId="16" fillId="0" borderId="0" xfId="0" applyFont="1"/>
    <xf numFmtId="0" fontId="17" fillId="0" borderId="0" xfId="0" applyFont="1"/>
    <xf numFmtId="0" fontId="18" fillId="0" borderId="0" xfId="0" applyFont="1"/>
    <xf numFmtId="37" fontId="19" fillId="3" borderId="14" xfId="0" applyNumberFormat="1" applyFont="1" applyFill="1" applyBorder="1"/>
    <xf numFmtId="3" fontId="19" fillId="3" borderId="14" xfId="0" applyNumberFormat="1" applyFont="1" applyFill="1" applyBorder="1"/>
    <xf numFmtId="37" fontId="19" fillId="3" borderId="9" xfId="0" applyNumberFormat="1" applyFont="1" applyFill="1" applyBorder="1"/>
    <xf numFmtId="37" fontId="19" fillId="3" borderId="8" xfId="0" applyNumberFormat="1" applyFont="1" applyFill="1" applyBorder="1"/>
    <xf numFmtId="170" fontId="19" fillId="3" borderId="14" xfId="0" applyNumberFormat="1" applyFont="1" applyFill="1" applyBorder="1"/>
    <xf numFmtId="0" fontId="19" fillId="3" borderId="10" xfId="0" applyFont="1" applyFill="1" applyBorder="1"/>
    <xf numFmtId="0" fontId="19" fillId="3" borderId="11" xfId="0" applyFont="1" applyFill="1" applyBorder="1"/>
    <xf numFmtId="169" fontId="19" fillId="3" borderId="10" xfId="0" applyNumberFormat="1" applyFont="1" applyFill="1" applyBorder="1"/>
    <xf numFmtId="169" fontId="19" fillId="3" borderId="11" xfId="0" applyNumberFormat="1" applyFont="1" applyFill="1" applyBorder="1"/>
    <xf numFmtId="0" fontId="19" fillId="4" borderId="1" xfId="0" applyFont="1" applyFill="1" applyBorder="1"/>
    <xf numFmtId="0" fontId="18" fillId="0" borderId="0" xfId="0" applyFont="1" applyAlignment="1">
      <alignment horizontal="right"/>
    </xf>
    <xf numFmtId="37" fontId="18" fillId="0" borderId="0" xfId="0" applyNumberFormat="1" applyFont="1"/>
    <xf numFmtId="0" fontId="19" fillId="3" borderId="16" xfId="0" applyFont="1" applyFill="1" applyBorder="1"/>
    <xf numFmtId="0" fontId="19" fillId="3" borderId="17" xfId="0" applyFont="1" applyFill="1" applyBorder="1" applyAlignment="1">
      <alignment horizontal="center"/>
    </xf>
    <xf numFmtId="169" fontId="19" fillId="3" borderId="17" xfId="0" applyNumberFormat="1" applyFont="1" applyFill="1" applyBorder="1"/>
    <xf numFmtId="37" fontId="19" fillId="3" borderId="18" xfId="0" applyNumberFormat="1" applyFont="1" applyFill="1" applyBorder="1"/>
    <xf numFmtId="0" fontId="19" fillId="3" borderId="16" xfId="0" applyFont="1" applyFill="1" applyBorder="1" applyAlignment="1">
      <alignment horizontal="center"/>
    </xf>
    <xf numFmtId="0" fontId="18" fillId="3" borderId="13" xfId="0" applyFont="1" applyFill="1" applyBorder="1"/>
    <xf numFmtId="0" fontId="18" fillId="3" borderId="16" xfId="0" applyFont="1" applyFill="1" applyBorder="1"/>
    <xf numFmtId="37" fontId="19" fillId="0" borderId="0" xfId="0" applyNumberFormat="1" applyFont="1"/>
    <xf numFmtId="37" fontId="19" fillId="3" borderId="19" xfId="0" applyNumberFormat="1" applyFont="1" applyFill="1" applyBorder="1"/>
    <xf numFmtId="0" fontId="18" fillId="4" borderId="1" xfId="0" applyFont="1" applyFill="1" applyBorder="1"/>
    <xf numFmtId="37" fontId="19" fillId="4" borderId="15" xfId="0" applyNumberFormat="1" applyFont="1" applyFill="1" applyBorder="1"/>
    <xf numFmtId="0" fontId="18" fillId="4" borderId="12" xfId="0" applyFont="1" applyFill="1" applyBorder="1"/>
    <xf numFmtId="0" fontId="18" fillId="4" borderId="13" xfId="0" applyFont="1" applyFill="1" applyBorder="1"/>
    <xf numFmtId="0" fontId="18" fillId="4" borderId="22" xfId="0" applyFont="1" applyFill="1" applyBorder="1"/>
    <xf numFmtId="37" fontId="19" fillId="4" borderId="19" xfId="0" applyNumberFormat="1" applyFont="1" applyFill="1" applyBorder="1"/>
    <xf numFmtId="0" fontId="22" fillId="0" borderId="0" xfId="0" applyFont="1"/>
    <xf numFmtId="0" fontId="23" fillId="0" borderId="0" xfId="0" applyFont="1"/>
    <xf numFmtId="37" fontId="23" fillId="0" borderId="0" xfId="0" applyNumberFormat="1" applyFont="1"/>
    <xf numFmtId="0" fontId="19" fillId="0" borderId="0" xfId="0" applyFont="1"/>
    <xf numFmtId="37" fontId="16" fillId="0" borderId="0" xfId="0" applyNumberFormat="1" applyFont="1"/>
    <xf numFmtId="37" fontId="19" fillId="4" borderId="14" xfId="0" applyNumberFormat="1" applyFont="1" applyFill="1" applyBorder="1"/>
    <xf numFmtId="37" fontId="19" fillId="4" borderId="9" xfId="0" applyNumberFormat="1" applyFont="1" applyFill="1" applyBorder="1"/>
    <xf numFmtId="37" fontId="19" fillId="4" borderId="8" xfId="0" applyNumberFormat="1" applyFont="1" applyFill="1" applyBorder="1"/>
    <xf numFmtId="169" fontId="19" fillId="4" borderId="8" xfId="0" applyNumberFormat="1" applyFont="1" applyFill="1" applyBorder="1"/>
    <xf numFmtId="37" fontId="19" fillId="4" borderId="22" xfId="0" applyNumberFormat="1" applyFont="1" applyFill="1" applyBorder="1"/>
    <xf numFmtId="169" fontId="19" fillId="4" borderId="19" xfId="0" applyNumberFormat="1" applyFont="1" applyFill="1" applyBorder="1"/>
    <xf numFmtId="37" fontId="19" fillId="4" borderId="13" xfId="0" applyNumberFormat="1" applyFont="1" applyFill="1" applyBorder="1"/>
    <xf numFmtId="39" fontId="19" fillId="4" borderId="22" xfId="0" applyNumberFormat="1" applyFont="1" applyFill="1" applyBorder="1"/>
    <xf numFmtId="37" fontId="19" fillId="4" borderId="24" xfId="0" applyNumberFormat="1" applyFont="1" applyFill="1" applyBorder="1"/>
    <xf numFmtId="170" fontId="19" fillId="4" borderId="24" xfId="0" applyNumberFormat="1" applyFont="1" applyFill="1" applyBorder="1"/>
    <xf numFmtId="37" fontId="19" fillId="4" borderId="25" xfId="0" applyNumberFormat="1" applyFont="1" applyFill="1" applyBorder="1"/>
    <xf numFmtId="37" fontId="19" fillId="4" borderId="23" xfId="0" applyNumberFormat="1" applyFont="1" applyFill="1" applyBorder="1"/>
    <xf numFmtId="169" fontId="19" fillId="3" borderId="8" xfId="0" applyNumberFormat="1" applyFont="1" applyFill="1" applyBorder="1"/>
    <xf numFmtId="169" fontId="19" fillId="3" borderId="14" xfId="0" applyNumberFormat="1" applyFont="1" applyFill="1" applyBorder="1"/>
    <xf numFmtId="169" fontId="19" fillId="3" borderId="26" xfId="0" applyNumberFormat="1" applyFont="1" applyFill="1" applyBorder="1"/>
    <xf numFmtId="37" fontId="19" fillId="3" borderId="27" xfId="0" applyNumberFormat="1" applyFont="1" applyFill="1" applyBorder="1"/>
    <xf numFmtId="37" fontId="19" fillId="3" borderId="29" xfId="0" applyNumberFormat="1" applyFont="1" applyFill="1" applyBorder="1"/>
    <xf numFmtId="170" fontId="19" fillId="3" borderId="29" xfId="0" applyNumberFormat="1" applyFont="1" applyFill="1" applyBorder="1"/>
    <xf numFmtId="37" fontId="19" fillId="3" borderId="30" xfId="0" applyNumberFormat="1" applyFont="1" applyFill="1" applyBorder="1"/>
    <xf numFmtId="37" fontId="19" fillId="3" borderId="28" xfId="0" applyNumberFormat="1" applyFont="1" applyFill="1" applyBorder="1"/>
    <xf numFmtId="0" fontId="18" fillId="3" borderId="10" xfId="0" applyFont="1" applyFill="1" applyBorder="1"/>
    <xf numFmtId="0" fontId="26" fillId="0" borderId="0" xfId="0" applyFont="1"/>
    <xf numFmtId="0" fontId="15" fillId="0" borderId="0" xfId="0" applyFont="1" applyAlignment="1">
      <alignment horizontal="right" vertical="center"/>
    </xf>
    <xf numFmtId="0" fontId="27" fillId="3" borderId="22" xfId="0" applyFont="1" applyFill="1" applyBorder="1"/>
    <xf numFmtId="37" fontId="27" fillId="3" borderId="32" xfId="0" applyNumberFormat="1" applyFont="1" applyFill="1" applyBorder="1"/>
    <xf numFmtId="37" fontId="27" fillId="3" borderId="33" xfId="0" applyNumberFormat="1" applyFont="1" applyFill="1" applyBorder="1"/>
    <xf numFmtId="37" fontId="27" fillId="3" borderId="22" xfId="0" applyNumberFormat="1" applyFont="1" applyFill="1" applyBorder="1"/>
    <xf numFmtId="169" fontId="27" fillId="3" borderId="22" xfId="0" applyNumberFormat="1" applyFont="1" applyFill="1" applyBorder="1"/>
    <xf numFmtId="37" fontId="27" fillId="3" borderId="34" xfId="0" applyNumberFormat="1" applyFont="1" applyFill="1" applyBorder="1"/>
    <xf numFmtId="37" fontId="21" fillId="0" borderId="35" xfId="0" applyNumberFormat="1" applyFont="1" applyBorder="1"/>
    <xf numFmtId="0" fontId="27" fillId="3" borderId="17" xfId="0" applyFont="1" applyFill="1" applyBorder="1"/>
    <xf numFmtId="169" fontId="27" fillId="3" borderId="17" xfId="0" applyNumberFormat="1" applyFont="1" applyFill="1" applyBorder="1"/>
    <xf numFmtId="37" fontId="27" fillId="3" borderId="21" xfId="0" applyNumberFormat="1" applyFont="1" applyFill="1" applyBorder="1"/>
    <xf numFmtId="169" fontId="27" fillId="3" borderId="20" xfId="0" applyNumberFormat="1" applyFont="1" applyFill="1" applyBorder="1"/>
    <xf numFmtId="0" fontId="27" fillId="3" borderId="20" xfId="0" applyFont="1" applyFill="1" applyBorder="1"/>
    <xf numFmtId="37" fontId="27" fillId="3" borderId="17" xfId="0" applyNumberFormat="1" applyFont="1" applyFill="1" applyBorder="1"/>
    <xf numFmtId="0" fontId="27" fillId="3" borderId="36" xfId="0" applyFont="1" applyFill="1" applyBorder="1"/>
    <xf numFmtId="43" fontId="16" fillId="0" borderId="0" xfId="0" applyNumberFormat="1" applyFont="1"/>
    <xf numFmtId="43" fontId="26" fillId="0" borderId="0" xfId="0" applyNumberFormat="1" applyFont="1"/>
    <xf numFmtId="169" fontId="21" fillId="0" borderId="35" xfId="0" applyNumberFormat="1" applyFont="1" applyBorder="1"/>
    <xf numFmtId="170" fontId="27" fillId="3" borderId="17" xfId="0" applyNumberFormat="1" applyFont="1" applyFill="1" applyBorder="1"/>
    <xf numFmtId="37" fontId="27" fillId="3" borderId="20" xfId="0" applyNumberFormat="1" applyFont="1" applyFill="1" applyBorder="1"/>
    <xf numFmtId="37" fontId="27" fillId="3" borderId="36" xfId="0" applyNumberFormat="1" applyFont="1" applyFill="1" applyBorder="1"/>
    <xf numFmtId="37" fontId="26" fillId="0" borderId="0" xfId="0" applyNumberFormat="1" applyFont="1"/>
    <xf numFmtId="167" fontId="26" fillId="0" borderId="0" xfId="0" applyNumberFormat="1" applyFont="1"/>
    <xf numFmtId="0" fontId="21" fillId="3" borderId="17" xfId="0" applyFont="1" applyFill="1" applyBorder="1"/>
    <xf numFmtId="0" fontId="26" fillId="4" borderId="1" xfId="0" applyFont="1" applyFill="1" applyBorder="1"/>
    <xf numFmtId="0" fontId="21" fillId="0" borderId="35" xfId="0" applyFont="1" applyBorder="1"/>
    <xf numFmtId="37" fontId="21" fillId="4" borderId="37" xfId="0" applyNumberFormat="1" applyFont="1" applyFill="1" applyBorder="1"/>
    <xf numFmtId="0" fontId="27" fillId="4" borderId="24" xfId="0" applyFont="1" applyFill="1" applyBorder="1"/>
    <xf numFmtId="37" fontId="27" fillId="4" borderId="24" xfId="0" applyNumberFormat="1" applyFont="1" applyFill="1" applyBorder="1"/>
    <xf numFmtId="169" fontId="21" fillId="3" borderId="20" xfId="0" applyNumberFormat="1" applyFont="1" applyFill="1" applyBorder="1"/>
    <xf numFmtId="169" fontId="21" fillId="3" borderId="17" xfId="0" applyNumberFormat="1" applyFont="1" applyFill="1" applyBorder="1"/>
    <xf numFmtId="37" fontId="21" fillId="3" borderId="36" xfId="0" applyNumberFormat="1" applyFont="1" applyFill="1" applyBorder="1"/>
    <xf numFmtId="0" fontId="21" fillId="4" borderId="24" xfId="0" applyFont="1" applyFill="1" applyBorder="1"/>
    <xf numFmtId="37" fontId="21" fillId="4" borderId="24" xfId="0" applyNumberFormat="1" applyFont="1" applyFill="1" applyBorder="1"/>
    <xf numFmtId="37" fontId="21" fillId="4" borderId="38" xfId="0" applyNumberFormat="1" applyFont="1" applyFill="1" applyBorder="1"/>
    <xf numFmtId="37" fontId="21" fillId="4" borderId="1" xfId="0" applyNumberFormat="1" applyFont="1" applyFill="1" applyBorder="1"/>
    <xf numFmtId="169" fontId="21" fillId="4" borderId="1" xfId="0" applyNumberFormat="1" applyFont="1" applyFill="1" applyBorder="1"/>
    <xf numFmtId="169" fontId="21" fillId="4" borderId="38" xfId="0" applyNumberFormat="1" applyFont="1" applyFill="1" applyBorder="1"/>
    <xf numFmtId="169" fontId="21" fillId="4" borderId="24" xfId="0" applyNumberFormat="1" applyFont="1" applyFill="1" applyBorder="1"/>
    <xf numFmtId="37" fontId="21" fillId="4" borderId="42" xfId="0" applyNumberFormat="1" applyFont="1" applyFill="1" applyBorder="1"/>
    <xf numFmtId="39" fontId="21" fillId="0" borderId="0" xfId="0" applyNumberFormat="1" applyFont="1"/>
    <xf numFmtId="37" fontId="26" fillId="0" borderId="35" xfId="0" applyNumberFormat="1" applyFont="1" applyBorder="1"/>
    <xf numFmtId="0" fontId="26" fillId="0" borderId="35" xfId="0" applyFont="1" applyBorder="1"/>
    <xf numFmtId="0" fontId="26" fillId="0" borderId="40" xfId="0" applyFont="1" applyBorder="1"/>
    <xf numFmtId="0" fontId="28" fillId="0" borderId="0" xfId="0" applyFont="1"/>
    <xf numFmtId="37" fontId="28" fillId="0" borderId="0" xfId="0" applyNumberFormat="1" applyFont="1"/>
    <xf numFmtId="37" fontId="27" fillId="0" borderId="0" xfId="0" applyNumberFormat="1" applyFont="1"/>
    <xf numFmtId="37" fontId="29" fillId="0" borderId="0" xfId="0" applyNumberFormat="1" applyFont="1"/>
    <xf numFmtId="0" fontId="28" fillId="4" borderId="1" xfId="0" applyFont="1" applyFill="1" applyBorder="1"/>
    <xf numFmtId="37" fontId="26" fillId="4" borderId="1" xfId="0" applyNumberFormat="1" applyFont="1" applyFill="1" applyBorder="1"/>
    <xf numFmtId="0" fontId="30" fillId="4" borderId="1" xfId="0" applyFont="1" applyFill="1" applyBorder="1"/>
    <xf numFmtId="37" fontId="28" fillId="4" borderId="1" xfId="0" applyNumberFormat="1" applyFont="1" applyFill="1" applyBorder="1"/>
    <xf numFmtId="0" fontId="31" fillId="4" borderId="1" xfId="0" applyFont="1" applyFill="1" applyBorder="1" applyAlignment="1">
      <alignment horizontal="center" vertical="center"/>
    </xf>
    <xf numFmtId="0" fontId="26" fillId="4" borderId="1" xfId="0" applyFont="1" applyFill="1" applyBorder="1" applyAlignment="1">
      <alignment horizontal="center" vertical="center"/>
    </xf>
    <xf numFmtId="168" fontId="32" fillId="4" borderId="1" xfId="0" applyNumberFormat="1" applyFont="1" applyFill="1" applyBorder="1" applyAlignment="1">
      <alignment horizontal="right"/>
    </xf>
    <xf numFmtId="0" fontId="28" fillId="4" borderId="1" xfId="0" applyFont="1" applyFill="1" applyBorder="1" applyAlignment="1">
      <alignment horizontal="center"/>
    </xf>
    <xf numFmtId="0" fontId="26" fillId="4" borderId="1" xfId="0" applyFont="1" applyFill="1" applyBorder="1" applyAlignment="1">
      <alignment horizontal="center"/>
    </xf>
    <xf numFmtId="0" fontId="32" fillId="4" borderId="1" xfId="0" applyFont="1" applyFill="1" applyBorder="1" applyAlignment="1">
      <alignment horizontal="center"/>
    </xf>
    <xf numFmtId="0" fontId="32" fillId="4" borderId="1" xfId="0" applyFont="1" applyFill="1" applyBorder="1"/>
    <xf numFmtId="169" fontId="26" fillId="4" borderId="1" xfId="0" applyNumberFormat="1" applyFont="1" applyFill="1" applyBorder="1"/>
    <xf numFmtId="9" fontId="26" fillId="4" borderId="1" xfId="0" applyNumberFormat="1" applyFont="1" applyFill="1" applyBorder="1"/>
    <xf numFmtId="169" fontId="28" fillId="4" borderId="1" xfId="0" applyNumberFormat="1" applyFont="1" applyFill="1" applyBorder="1"/>
    <xf numFmtId="0" fontId="33" fillId="4" borderId="1" xfId="0" applyFont="1" applyFill="1" applyBorder="1"/>
    <xf numFmtId="0" fontId="31" fillId="4" borderId="1" xfId="0" applyFont="1" applyFill="1" applyBorder="1" applyAlignment="1">
      <alignment horizontal="center"/>
    </xf>
    <xf numFmtId="168" fontId="26" fillId="4" borderId="1" xfId="0" applyNumberFormat="1" applyFont="1" applyFill="1" applyBorder="1" applyAlignment="1">
      <alignment horizontal="center"/>
    </xf>
    <xf numFmtId="0" fontId="34" fillId="4" borderId="1" xfId="0" applyFont="1" applyFill="1" applyBorder="1" applyAlignment="1">
      <alignment horizontal="center"/>
    </xf>
    <xf numFmtId="0" fontId="32" fillId="4" borderId="1" xfId="0" applyFont="1" applyFill="1" applyBorder="1" applyAlignment="1">
      <alignment horizontal="left"/>
    </xf>
    <xf numFmtId="0" fontId="35" fillId="4" borderId="1" xfId="0" applyFont="1" applyFill="1" applyBorder="1"/>
    <xf numFmtId="0" fontId="36" fillId="0" borderId="0" xfId="0" applyFont="1" applyAlignment="1">
      <alignment horizontal="center" vertical="top"/>
    </xf>
    <xf numFmtId="0" fontId="37" fillId="6" borderId="43" xfId="0" applyFont="1" applyFill="1" applyBorder="1" applyAlignment="1">
      <alignment horizontal="center" vertical="center" wrapText="1"/>
    </xf>
    <xf numFmtId="49" fontId="8" fillId="5" borderId="1" xfId="0" applyNumberFormat="1" applyFont="1" applyFill="1" applyBorder="1" applyAlignment="1">
      <alignment horizontal="left" vertical="center"/>
    </xf>
    <xf numFmtId="172" fontId="8" fillId="5" borderId="1" xfId="0" applyNumberFormat="1" applyFont="1" applyFill="1" applyBorder="1" applyAlignment="1">
      <alignment horizontal="right" vertical="center"/>
    </xf>
    <xf numFmtId="0" fontId="8" fillId="5" borderId="1" xfId="0" applyFont="1" applyFill="1" applyBorder="1"/>
    <xf numFmtId="1" fontId="8" fillId="0" borderId="0" xfId="0" applyNumberFormat="1" applyFont="1" applyAlignment="1">
      <alignment horizontal="left" vertical="top"/>
    </xf>
    <xf numFmtId="49" fontId="8" fillId="0" borderId="0" xfId="0" applyNumberFormat="1" applyFont="1" applyAlignment="1">
      <alignment horizontal="left" vertical="top"/>
    </xf>
    <xf numFmtId="4" fontId="8" fillId="0" borderId="0" xfId="0" applyNumberFormat="1" applyFont="1" applyAlignment="1">
      <alignment horizontal="center" vertical="top"/>
    </xf>
    <xf numFmtId="0" fontId="8" fillId="7" borderId="1" xfId="0" applyFont="1" applyFill="1" applyBorder="1" applyAlignment="1">
      <alignment horizontal="center"/>
    </xf>
    <xf numFmtId="0" fontId="8" fillId="5" borderId="1" xfId="0" applyFont="1" applyFill="1" applyBorder="1" applyAlignment="1">
      <alignment horizontal="left" vertical="top"/>
    </xf>
    <xf numFmtId="49" fontId="8" fillId="5" borderId="1" xfId="0" applyNumberFormat="1" applyFont="1" applyFill="1" applyBorder="1" applyAlignment="1">
      <alignment horizontal="left" vertical="top"/>
    </xf>
    <xf numFmtId="173" fontId="8" fillId="5" borderId="1" xfId="0" applyNumberFormat="1" applyFont="1" applyFill="1" applyBorder="1" applyAlignment="1">
      <alignment horizontal="right" vertical="top"/>
    </xf>
    <xf numFmtId="0" fontId="16" fillId="0" borderId="0" xfId="0" applyFont="1" applyAlignment="1">
      <alignment horizontal="center"/>
    </xf>
    <xf numFmtId="0" fontId="0" fillId="0" borderId="0" xfId="0" applyFont="1" applyAlignment="1">
      <alignment horizontal="center"/>
    </xf>
    <xf numFmtId="0" fontId="7" fillId="9" borderId="1" xfId="0" applyFont="1" applyFill="1" applyBorder="1"/>
    <xf numFmtId="0" fontId="38" fillId="0" borderId="0" xfId="0" applyFont="1"/>
    <xf numFmtId="0" fontId="8" fillId="9" borderId="1" xfId="0" applyFont="1" applyFill="1" applyBorder="1"/>
    <xf numFmtId="0" fontId="8" fillId="0" borderId="0" xfId="0" applyFont="1"/>
    <xf numFmtId="39" fontId="39" fillId="10" borderId="47" xfId="0" applyNumberFormat="1" applyFont="1" applyFill="1" applyBorder="1" applyAlignment="1">
      <alignment horizontal="left" vertical="top"/>
    </xf>
    <xf numFmtId="0" fontId="40" fillId="10" borderId="47" xfId="0" applyFont="1" applyFill="1" applyBorder="1" applyAlignment="1">
      <alignment horizontal="left" vertical="top"/>
    </xf>
    <xf numFmtId="1" fontId="40" fillId="10" borderId="47" xfId="0" applyNumberFormat="1" applyFont="1" applyFill="1" applyBorder="1" applyAlignment="1">
      <alignment horizontal="left" vertical="top"/>
    </xf>
    <xf numFmtId="49" fontId="39" fillId="10" borderId="47" xfId="0" applyNumberFormat="1" applyFont="1" applyFill="1" applyBorder="1" applyAlignment="1">
      <alignment horizontal="left" vertical="top"/>
    </xf>
    <xf numFmtId="49" fontId="39" fillId="10" borderId="44" xfId="0" applyNumberFormat="1" applyFont="1" applyFill="1" applyBorder="1" applyAlignment="1">
      <alignment horizontal="left" vertical="top"/>
    </xf>
    <xf numFmtId="0" fontId="39" fillId="10" borderId="47" xfId="0" applyFont="1" applyFill="1" applyBorder="1" applyAlignment="1">
      <alignment horizontal="left" vertical="top"/>
    </xf>
    <xf numFmtId="0" fontId="39" fillId="8" borderId="47" xfId="0" applyFont="1" applyFill="1" applyBorder="1" applyAlignment="1">
      <alignment horizontal="left" vertical="top"/>
    </xf>
    <xf numFmtId="0" fontId="40" fillId="5" borderId="47" xfId="0" applyFont="1" applyFill="1" applyBorder="1" applyAlignment="1">
      <alignment horizontal="left" vertical="top"/>
    </xf>
    <xf numFmtId="0" fontId="39" fillId="5" borderId="47" xfId="0" applyFont="1" applyFill="1" applyBorder="1" applyAlignment="1">
      <alignment horizontal="left" vertical="top"/>
    </xf>
    <xf numFmtId="0" fontId="39" fillId="5" borderId="1" xfId="0" applyFont="1" applyFill="1" applyBorder="1" applyAlignment="1">
      <alignment horizontal="left" vertical="top"/>
    </xf>
    <xf numFmtId="0" fontId="40" fillId="10" borderId="1" xfId="0" applyFont="1" applyFill="1" applyBorder="1" applyAlignment="1">
      <alignment horizontal="left" vertical="top"/>
    </xf>
    <xf numFmtId="3" fontId="18" fillId="0" borderId="50" xfId="0" applyNumberFormat="1" applyFont="1" applyBorder="1"/>
    <xf numFmtId="0" fontId="18" fillId="0" borderId="1" xfId="0" applyFont="1" applyBorder="1"/>
    <xf numFmtId="3" fontId="18" fillId="0" borderId="1" xfId="0" applyNumberFormat="1" applyFont="1" applyBorder="1"/>
    <xf numFmtId="3" fontId="18" fillId="0" borderId="15" xfId="0" applyNumberFormat="1" applyFont="1" applyBorder="1"/>
    <xf numFmtId="3" fontId="18" fillId="0" borderId="51" xfId="0" applyNumberFormat="1" applyFont="1" applyBorder="1"/>
    <xf numFmtId="3" fontId="18" fillId="0" borderId="12" xfId="0" applyNumberFormat="1" applyFont="1" applyBorder="1"/>
    <xf numFmtId="3" fontId="18" fillId="0" borderId="52" xfId="0" applyNumberFormat="1" applyFont="1" applyBorder="1"/>
    <xf numFmtId="3" fontId="18" fillId="0" borderId="53" xfId="0" applyNumberFormat="1" applyFont="1" applyBorder="1"/>
    <xf numFmtId="2" fontId="18" fillId="0" borderId="1" xfId="0" applyNumberFormat="1" applyFont="1" applyBorder="1"/>
    <xf numFmtId="3" fontId="18" fillId="0" borderId="54" xfId="0" applyNumberFormat="1" applyFont="1" applyBorder="1"/>
    <xf numFmtId="0" fontId="0" fillId="0" borderId="0" xfId="0" applyFont="1" applyAlignment="1"/>
    <xf numFmtId="0" fontId="8" fillId="0" borderId="0" xfId="0" applyFont="1" applyAlignment="1">
      <alignment horizontal="center"/>
    </xf>
    <xf numFmtId="0" fontId="0" fillId="0" borderId="0" xfId="0" applyFont="1" applyAlignment="1"/>
    <xf numFmtId="37" fontId="18" fillId="0" borderId="53" xfId="0" applyNumberFormat="1" applyFont="1" applyBorder="1"/>
    <xf numFmtId="170" fontId="18" fillId="0" borderId="53" xfId="0" applyNumberFormat="1" applyFont="1" applyBorder="1"/>
    <xf numFmtId="169" fontId="18" fillId="0" borderId="50" xfId="0" applyNumberFormat="1" applyFont="1" applyBorder="1"/>
    <xf numFmtId="0" fontId="18" fillId="0" borderId="53" xfId="0" applyFont="1" applyBorder="1" applyAlignment="1">
      <alignment horizontal="center"/>
    </xf>
    <xf numFmtId="0" fontId="18" fillId="0" borderId="50" xfId="0" applyFont="1" applyBorder="1" applyAlignment="1">
      <alignment horizontal="center"/>
    </xf>
    <xf numFmtId="169" fontId="18" fillId="0" borderId="53" xfId="0" applyNumberFormat="1" applyFont="1" applyBorder="1"/>
    <xf numFmtId="37" fontId="18" fillId="0" borderId="50" xfId="0" applyNumberFormat="1" applyFont="1" applyBorder="1"/>
    <xf numFmtId="37" fontId="18" fillId="0" borderId="1" xfId="0" applyNumberFormat="1" applyFont="1" applyBorder="1"/>
    <xf numFmtId="37" fontId="19" fillId="0" borderId="24" xfId="0" applyNumberFormat="1" applyFont="1" applyBorder="1"/>
    <xf numFmtId="37" fontId="18" fillId="0" borderId="55" xfId="0" applyNumberFormat="1" applyFont="1" applyBorder="1"/>
    <xf numFmtId="37" fontId="19" fillId="0" borderId="56" xfId="0" applyNumberFormat="1" applyFont="1" applyBorder="1"/>
    <xf numFmtId="37" fontId="18" fillId="0" borderId="56" xfId="0" applyNumberFormat="1" applyFont="1" applyBorder="1"/>
    <xf numFmtId="37" fontId="18" fillId="0" borderId="58" xfId="0" applyNumberFormat="1" applyFont="1" applyBorder="1"/>
    <xf numFmtId="37" fontId="18" fillId="11" borderId="1" xfId="0" applyNumberFormat="1" applyFont="1" applyFill="1" applyBorder="1"/>
    <xf numFmtId="169" fontId="19" fillId="3" borderId="1" xfId="0" applyNumberFormat="1" applyFont="1" applyFill="1" applyBorder="1"/>
    <xf numFmtId="0" fontId="18" fillId="0" borderId="60" xfId="0" applyFont="1" applyBorder="1" applyAlignment="1">
      <alignment horizontal="center"/>
    </xf>
    <xf numFmtId="0" fontId="18" fillId="0" borderId="59" xfId="0" applyFont="1" applyBorder="1" applyAlignment="1">
      <alignment horizontal="center"/>
    </xf>
    <xf numFmtId="0" fontId="18" fillId="0" borderId="61" xfId="0" applyFont="1" applyBorder="1" applyAlignment="1">
      <alignment horizontal="center"/>
    </xf>
    <xf numFmtId="37" fontId="18" fillId="11" borderId="62" xfId="0" applyNumberFormat="1" applyFont="1" applyFill="1" applyBorder="1"/>
    <xf numFmtId="37" fontId="18" fillId="0" borderId="61" xfId="0" applyNumberFormat="1" applyFont="1" applyBorder="1"/>
    <xf numFmtId="169" fontId="18" fillId="0" borderId="1" xfId="0" applyNumberFormat="1" applyFont="1" applyBorder="1"/>
    <xf numFmtId="37" fontId="18" fillId="0" borderId="52" xfId="0" applyNumberFormat="1" applyFont="1" applyBorder="1"/>
    <xf numFmtId="0" fontId="18" fillId="0" borderId="52" xfId="0" applyFont="1" applyBorder="1" applyAlignment="1">
      <alignment horizontal="center"/>
    </xf>
    <xf numFmtId="169" fontId="21" fillId="0" borderId="56" xfId="0" applyNumberFormat="1" applyFont="1" applyBorder="1"/>
    <xf numFmtId="169" fontId="21" fillId="0" borderId="55" xfId="0" applyNumberFormat="1" applyFont="1" applyBorder="1"/>
    <xf numFmtId="169" fontId="21" fillId="0" borderId="63" xfId="0" applyNumberFormat="1" applyFont="1" applyBorder="1"/>
    <xf numFmtId="169" fontId="47" fillId="0" borderId="55" xfId="0" applyNumberFormat="1" applyFont="1" applyBorder="1"/>
    <xf numFmtId="37" fontId="27" fillId="3" borderId="64" xfId="0" applyNumberFormat="1" applyFont="1" applyFill="1" applyBorder="1"/>
    <xf numFmtId="37" fontId="27" fillId="3" borderId="65" xfId="0" applyNumberFormat="1" applyFont="1" applyFill="1" applyBorder="1"/>
    <xf numFmtId="0" fontId="26" fillId="0" borderId="1" xfId="0" applyFont="1" applyBorder="1"/>
    <xf numFmtId="3" fontId="18" fillId="11" borderId="67" xfId="0" applyNumberFormat="1" applyFont="1" applyFill="1" applyBorder="1"/>
    <xf numFmtId="3" fontId="18" fillId="11" borderId="68" xfId="0" applyNumberFormat="1" applyFont="1" applyFill="1" applyBorder="1"/>
    <xf numFmtId="0" fontId="18" fillId="0" borderId="0" xfId="0" applyFont="1" applyFill="1"/>
    <xf numFmtId="37" fontId="19" fillId="0" borderId="24" xfId="0" applyNumberFormat="1" applyFont="1" applyFill="1" applyBorder="1"/>
    <xf numFmtId="170" fontId="19" fillId="0" borderId="24" xfId="0" applyNumberFormat="1" applyFont="1" applyFill="1" applyBorder="1"/>
    <xf numFmtId="37" fontId="19" fillId="0" borderId="25" xfId="0" applyNumberFormat="1" applyFont="1" applyFill="1" applyBorder="1"/>
    <xf numFmtId="37" fontId="19" fillId="0" borderId="23" xfId="0" applyNumberFormat="1" applyFont="1" applyFill="1" applyBorder="1"/>
    <xf numFmtId="0" fontId="18" fillId="0" borderId="12" xfId="0" applyFont="1" applyFill="1" applyBorder="1"/>
    <xf numFmtId="37" fontId="18" fillId="0" borderId="1" xfId="0" applyNumberFormat="1" applyFont="1" applyFill="1" applyBorder="1"/>
    <xf numFmtId="37" fontId="18" fillId="0" borderId="0" xfId="0" applyNumberFormat="1" applyFont="1" applyFill="1"/>
    <xf numFmtId="37" fontId="18" fillId="0" borderId="12" xfId="0" applyNumberFormat="1" applyFont="1" applyFill="1" applyBorder="1"/>
    <xf numFmtId="3" fontId="18" fillId="0" borderId="1" xfId="0" applyNumberFormat="1" applyFont="1" applyFill="1" applyBorder="1"/>
    <xf numFmtId="37" fontId="18" fillId="0" borderId="15" xfId="0" applyNumberFormat="1" applyFont="1" applyFill="1" applyBorder="1"/>
    <xf numFmtId="0" fontId="18" fillId="0" borderId="1" xfId="0" applyFont="1" applyFill="1" applyBorder="1"/>
    <xf numFmtId="170" fontId="18" fillId="0" borderId="1" xfId="0" applyNumberFormat="1" applyFont="1" applyFill="1" applyBorder="1"/>
    <xf numFmtId="169" fontId="18" fillId="0" borderId="15" xfId="0" applyNumberFormat="1" applyFont="1" applyFill="1" applyBorder="1"/>
    <xf numFmtId="37" fontId="19" fillId="0" borderId="12" xfId="0" applyNumberFormat="1" applyFont="1" applyFill="1" applyBorder="1"/>
    <xf numFmtId="170" fontId="19" fillId="0" borderId="1" xfId="0" applyNumberFormat="1" applyFont="1" applyFill="1" applyBorder="1"/>
    <xf numFmtId="37" fontId="19" fillId="0" borderId="15" xfId="0" applyNumberFormat="1" applyFont="1" applyFill="1" applyBorder="1"/>
    <xf numFmtId="37" fontId="19" fillId="0" borderId="1" xfId="0" applyNumberFormat="1" applyFont="1" applyFill="1" applyBorder="1"/>
    <xf numFmtId="0" fontId="19" fillId="0" borderId="12" xfId="0" applyFont="1" applyFill="1" applyBorder="1"/>
    <xf numFmtId="0" fontId="19" fillId="0" borderId="1" xfId="0" applyFont="1" applyFill="1" applyBorder="1"/>
    <xf numFmtId="169" fontId="19" fillId="0" borderId="15" xfId="0" applyNumberFormat="1" applyFont="1" applyFill="1" applyBorder="1"/>
    <xf numFmtId="169" fontId="19" fillId="0" borderId="12" xfId="0" applyNumberFormat="1" applyFont="1" applyFill="1" applyBorder="1"/>
    <xf numFmtId="3" fontId="18" fillId="0" borderId="50" xfId="0" applyNumberFormat="1" applyFont="1" applyFill="1" applyBorder="1"/>
    <xf numFmtId="3" fontId="18" fillId="0" borderId="51" xfId="0" applyNumberFormat="1" applyFont="1" applyFill="1" applyBorder="1"/>
    <xf numFmtId="37" fontId="44" fillId="0" borderId="1" xfId="0" applyNumberFormat="1" applyFont="1" applyFill="1" applyBorder="1"/>
    <xf numFmtId="0" fontId="27" fillId="0" borderId="1" xfId="0" applyFont="1" applyFill="1" applyBorder="1"/>
    <xf numFmtId="37" fontId="21" fillId="0" borderId="37" xfId="0" applyNumberFormat="1" applyFont="1" applyFill="1" applyBorder="1"/>
    <xf numFmtId="169" fontId="27" fillId="0" borderId="24" xfId="0" applyNumberFormat="1" applyFont="1" applyFill="1" applyBorder="1"/>
    <xf numFmtId="0" fontId="27" fillId="0" borderId="24" xfId="0" applyFont="1" applyFill="1" applyBorder="1"/>
    <xf numFmtId="37" fontId="27" fillId="0" borderId="38" xfId="0" applyNumberFormat="1" applyFont="1" applyFill="1" applyBorder="1"/>
    <xf numFmtId="169" fontId="27" fillId="0" borderId="38" xfId="0" applyNumberFormat="1" applyFont="1" applyFill="1" applyBorder="1"/>
    <xf numFmtId="37" fontId="27" fillId="0" borderId="24" xfId="0" applyNumberFormat="1" applyFont="1" applyFill="1" applyBorder="1"/>
    <xf numFmtId="37" fontId="21" fillId="0" borderId="35" xfId="0" applyNumberFormat="1" applyFont="1" applyFill="1" applyBorder="1"/>
    <xf numFmtId="169" fontId="27" fillId="0" borderId="1" xfId="0" applyNumberFormat="1" applyFont="1" applyFill="1" applyBorder="1"/>
    <xf numFmtId="37" fontId="27" fillId="0" borderId="39" xfId="0" applyNumberFormat="1" applyFont="1" applyFill="1" applyBorder="1"/>
    <xf numFmtId="169" fontId="21" fillId="0" borderId="35" xfId="0" applyNumberFormat="1" applyFont="1" applyFill="1" applyBorder="1"/>
    <xf numFmtId="169" fontId="27" fillId="0" borderId="39" xfId="0" applyNumberFormat="1" applyFont="1" applyFill="1" applyBorder="1"/>
    <xf numFmtId="37" fontId="21" fillId="0" borderId="40" xfId="0" applyNumberFormat="1" applyFont="1" applyFill="1" applyBorder="1"/>
    <xf numFmtId="37" fontId="27" fillId="0" borderId="1" xfId="0" applyNumberFormat="1" applyFont="1" applyFill="1" applyBorder="1"/>
    <xf numFmtId="169" fontId="21" fillId="0" borderId="55" xfId="0" applyNumberFormat="1" applyFont="1" applyFill="1" applyBorder="1"/>
    <xf numFmtId="0" fontId="18" fillId="0" borderId="1" xfId="0" applyFont="1" applyFill="1" applyBorder="1" applyAlignment="1">
      <alignment horizontal="right"/>
    </xf>
    <xf numFmtId="0" fontId="18" fillId="0" borderId="68" xfId="0" applyFont="1" applyBorder="1"/>
    <xf numFmtId="0" fontId="18" fillId="0" borderId="70" xfId="0" applyFont="1" applyBorder="1"/>
    <xf numFmtId="0" fontId="18" fillId="0" borderId="12" xfId="0" applyFont="1" applyBorder="1" applyAlignment="1">
      <alignment horizontal="center"/>
    </xf>
    <xf numFmtId="0" fontId="18" fillId="0" borderId="1" xfId="0" applyFont="1" applyBorder="1" applyAlignment="1">
      <alignment horizontal="center"/>
    </xf>
    <xf numFmtId="0" fontId="18" fillId="0" borderId="15" xfId="0" applyFont="1" applyBorder="1" applyAlignment="1">
      <alignment horizontal="center"/>
    </xf>
    <xf numFmtId="0" fontId="18" fillId="0" borderId="55" xfId="0" applyFont="1" applyBorder="1" applyAlignment="1">
      <alignment horizontal="center"/>
    </xf>
    <xf numFmtId="0" fontId="19" fillId="3" borderId="71" xfId="0" applyFont="1" applyFill="1" applyBorder="1"/>
    <xf numFmtId="37" fontId="19" fillId="3" borderId="72" xfId="0" applyNumberFormat="1" applyFont="1" applyFill="1" applyBorder="1"/>
    <xf numFmtId="0" fontId="19" fillId="3" borderId="73" xfId="0" applyFont="1" applyFill="1" applyBorder="1"/>
    <xf numFmtId="169" fontId="19" fillId="3" borderId="74" xfId="0" applyNumberFormat="1" applyFont="1" applyFill="1" applyBorder="1"/>
    <xf numFmtId="0" fontId="19" fillId="0" borderId="70" xfId="0" applyFont="1" applyFill="1" applyBorder="1"/>
    <xf numFmtId="169" fontId="18" fillId="0" borderId="15" xfId="1" applyNumberFormat="1" applyFont="1" applyFill="1" applyBorder="1"/>
    <xf numFmtId="169" fontId="19" fillId="0" borderId="55" xfId="0" applyNumberFormat="1" applyFont="1" applyFill="1" applyBorder="1"/>
    <xf numFmtId="0" fontId="19" fillId="0" borderId="70" xfId="0" applyFont="1" applyFill="1" applyBorder="1" applyAlignment="1">
      <alignment horizontal="left"/>
    </xf>
    <xf numFmtId="0" fontId="43" fillId="0" borderId="1" xfId="0" applyFont="1" applyFill="1" applyBorder="1"/>
    <xf numFmtId="0" fontId="18" fillId="0" borderId="15" xfId="0" applyFont="1" applyFill="1" applyBorder="1"/>
    <xf numFmtId="0" fontId="18" fillId="0" borderId="55" xfId="0" applyFont="1" applyFill="1" applyBorder="1"/>
    <xf numFmtId="0" fontId="21" fillId="0" borderId="70" xfId="0" applyFont="1" applyFill="1" applyBorder="1"/>
    <xf numFmtId="3" fontId="18" fillId="0" borderId="15" xfId="0" applyNumberFormat="1" applyFont="1" applyFill="1" applyBorder="1"/>
    <xf numFmtId="0" fontId="21" fillId="0" borderId="75" xfId="0" applyFont="1" applyFill="1" applyBorder="1"/>
    <xf numFmtId="0" fontId="18" fillId="0" borderId="12" xfId="0" applyFont="1" applyFill="1" applyBorder="1" applyAlignment="1">
      <alignment horizontal="right"/>
    </xf>
    <xf numFmtId="37" fontId="18" fillId="0" borderId="55" xfId="0" applyNumberFormat="1" applyFont="1" applyFill="1" applyBorder="1"/>
    <xf numFmtId="0" fontId="18" fillId="0" borderId="24" xfId="0" applyFont="1" applyFill="1" applyBorder="1" applyAlignment="1">
      <alignment horizontal="right"/>
    </xf>
    <xf numFmtId="0" fontId="18" fillId="0" borderId="24" xfId="0" applyFont="1" applyFill="1" applyBorder="1"/>
    <xf numFmtId="0" fontId="18" fillId="0" borderId="23" xfId="0" applyFont="1" applyFill="1" applyBorder="1" applyAlignment="1">
      <alignment horizontal="right"/>
    </xf>
    <xf numFmtId="0" fontId="18" fillId="0" borderId="23" xfId="0" applyFont="1" applyFill="1" applyBorder="1"/>
    <xf numFmtId="37" fontId="18" fillId="0" borderId="25" xfId="0" applyNumberFormat="1" applyFont="1" applyFill="1" applyBorder="1"/>
    <xf numFmtId="37" fontId="18" fillId="0" borderId="56" xfId="0" applyNumberFormat="1" applyFont="1" applyFill="1" applyBorder="1"/>
    <xf numFmtId="0" fontId="18" fillId="0" borderId="70" xfId="0" applyFont="1" applyFill="1" applyBorder="1"/>
    <xf numFmtId="0" fontId="18" fillId="0" borderId="22" xfId="0" applyFont="1" applyFill="1" applyBorder="1" applyAlignment="1">
      <alignment horizontal="right"/>
    </xf>
    <xf numFmtId="0" fontId="18" fillId="0" borderId="22" xfId="0" applyFont="1" applyFill="1" applyBorder="1"/>
    <xf numFmtId="0" fontId="18" fillId="0" borderId="13" xfId="0" applyFont="1" applyFill="1" applyBorder="1" applyAlignment="1">
      <alignment horizontal="right"/>
    </xf>
    <xf numFmtId="0" fontId="18" fillId="0" borderId="13" xfId="0" applyFont="1" applyFill="1" applyBorder="1"/>
    <xf numFmtId="37" fontId="18" fillId="0" borderId="19" xfId="0" applyNumberFormat="1" applyFont="1" applyFill="1" applyBorder="1"/>
    <xf numFmtId="37" fontId="18" fillId="0" borderId="58" xfId="0" applyNumberFormat="1" applyFont="1" applyFill="1" applyBorder="1"/>
    <xf numFmtId="0" fontId="19" fillId="3" borderId="76" xfId="0" applyFont="1" applyFill="1" applyBorder="1"/>
    <xf numFmtId="37" fontId="19" fillId="3" borderId="58" xfId="0" applyNumberFormat="1" applyFont="1" applyFill="1" applyBorder="1"/>
    <xf numFmtId="0" fontId="21" fillId="0" borderId="77" xfId="0" applyFont="1" applyBorder="1"/>
    <xf numFmtId="0" fontId="18" fillId="0" borderId="1" xfId="0" applyFont="1" applyBorder="1" applyAlignment="1">
      <alignment horizontal="right"/>
    </xf>
    <xf numFmtId="0" fontId="18" fillId="0" borderId="12" xfId="0" applyFont="1" applyBorder="1" applyAlignment="1">
      <alignment horizontal="right"/>
    </xf>
    <xf numFmtId="0" fontId="18" fillId="0" borderId="12" xfId="0" applyFont="1" applyBorder="1"/>
    <xf numFmtId="37" fontId="18" fillId="0" borderId="15" xfId="0" applyNumberFormat="1" applyFont="1" applyBorder="1"/>
    <xf numFmtId="0" fontId="21" fillId="0" borderId="70" xfId="0" applyFont="1" applyBorder="1"/>
    <xf numFmtId="0" fontId="21" fillId="0" borderId="75" xfId="0" applyFont="1" applyBorder="1"/>
    <xf numFmtId="0" fontId="18" fillId="0" borderId="22" xfId="0" applyFont="1" applyBorder="1" applyAlignment="1">
      <alignment horizontal="right"/>
    </xf>
    <xf numFmtId="0" fontId="18" fillId="0" borderId="22" xfId="0" applyFont="1" applyBorder="1"/>
    <xf numFmtId="0" fontId="18" fillId="0" borderId="13" xfId="0" applyFont="1" applyBorder="1" applyAlignment="1">
      <alignment horizontal="right"/>
    </xf>
    <xf numFmtId="0" fontId="18" fillId="0" borderId="13" xfId="0" applyFont="1" applyBorder="1"/>
    <xf numFmtId="37" fontId="18" fillId="0" borderId="19" xfId="0" applyNumberFormat="1" applyFont="1" applyBorder="1"/>
    <xf numFmtId="0" fontId="18" fillId="0" borderId="15" xfId="0" applyFont="1" applyBorder="1"/>
    <xf numFmtId="0" fontId="19" fillId="0" borderId="12" xfId="0" applyFont="1" applyBorder="1"/>
    <xf numFmtId="0" fontId="19" fillId="0" borderId="15" xfId="0" applyFont="1" applyBorder="1"/>
    <xf numFmtId="0" fontId="19" fillId="0" borderId="55" xfId="0" applyFont="1" applyBorder="1"/>
    <xf numFmtId="37" fontId="19" fillId="3" borderId="57" xfId="0" applyNumberFormat="1" applyFont="1" applyFill="1" applyBorder="1"/>
    <xf numFmtId="0" fontId="19" fillId="3" borderId="78" xfId="0" applyFont="1" applyFill="1" applyBorder="1"/>
    <xf numFmtId="0" fontId="19" fillId="3" borderId="64" xfId="0" applyFont="1" applyFill="1" applyBorder="1"/>
    <xf numFmtId="37" fontId="19" fillId="3" borderId="79" xfId="0" applyNumberFormat="1" applyFont="1" applyFill="1" applyBorder="1"/>
    <xf numFmtId="0" fontId="19" fillId="3" borderId="80" xfId="0" applyFont="1" applyFill="1" applyBorder="1"/>
    <xf numFmtId="0" fontId="18" fillId="3" borderId="80" xfId="0" applyFont="1" applyFill="1" applyBorder="1"/>
    <xf numFmtId="0" fontId="18" fillId="3" borderId="64" xfId="0" applyFont="1" applyFill="1" applyBorder="1"/>
    <xf numFmtId="37" fontId="19" fillId="3" borderId="81" xfId="0" applyNumberFormat="1" applyFont="1" applyFill="1" applyBorder="1"/>
    <xf numFmtId="169" fontId="18" fillId="0" borderId="12" xfId="0" applyNumberFormat="1" applyFont="1" applyBorder="1"/>
    <xf numFmtId="37" fontId="18" fillId="0" borderId="12" xfId="0" applyNumberFormat="1" applyFont="1" applyBorder="1"/>
    <xf numFmtId="0" fontId="18" fillId="0" borderId="75" xfId="0" applyFont="1" applyBorder="1"/>
    <xf numFmtId="0" fontId="19" fillId="0" borderId="70" xfId="0" applyFont="1" applyBorder="1"/>
    <xf numFmtId="169" fontId="19" fillId="0" borderId="24" xfId="0" applyNumberFormat="1" applyFont="1" applyBorder="1"/>
    <xf numFmtId="37" fontId="19" fillId="0" borderId="25" xfId="0" applyNumberFormat="1" applyFont="1" applyBorder="1"/>
    <xf numFmtId="169" fontId="19" fillId="0" borderId="23" xfId="0" applyNumberFormat="1" applyFont="1" applyBorder="1"/>
    <xf numFmtId="37" fontId="19" fillId="0" borderId="23" xfId="0" applyNumberFormat="1" applyFont="1" applyBorder="1"/>
    <xf numFmtId="169" fontId="19" fillId="0" borderId="15" xfId="0" applyNumberFormat="1" applyFont="1" applyBorder="1"/>
    <xf numFmtId="169" fontId="19" fillId="0" borderId="55" xfId="0" applyNumberFormat="1" applyFont="1" applyBorder="1"/>
    <xf numFmtId="0" fontId="18" fillId="0" borderId="19" xfId="0" applyFont="1" applyBorder="1"/>
    <xf numFmtId="0" fontId="43" fillId="0" borderId="22" xfId="0" applyFont="1" applyBorder="1"/>
    <xf numFmtId="169" fontId="19" fillId="0" borderId="19" xfId="0" applyNumberFormat="1" applyFont="1" applyBorder="1"/>
    <xf numFmtId="169" fontId="19" fillId="0" borderId="58" xfId="0" applyNumberFormat="1" applyFont="1" applyBorder="1"/>
    <xf numFmtId="169" fontId="18" fillId="0" borderId="22" xfId="0" applyNumberFormat="1" applyFont="1" applyBorder="1"/>
    <xf numFmtId="37" fontId="18" fillId="0" borderId="13" xfId="0" applyNumberFormat="1" applyFont="1" applyBorder="1"/>
    <xf numFmtId="0" fontId="19" fillId="3" borderId="82" xfId="0" applyFont="1" applyFill="1" applyBorder="1"/>
    <xf numFmtId="0" fontId="18" fillId="3" borderId="60" xfId="0" applyFont="1" applyFill="1" applyBorder="1" applyAlignment="1">
      <alignment horizontal="right"/>
    </xf>
    <xf numFmtId="0" fontId="18" fillId="3" borderId="60" xfId="0" applyFont="1" applyFill="1" applyBorder="1"/>
    <xf numFmtId="37" fontId="19" fillId="3" borderId="59" xfId="0" applyNumberFormat="1" applyFont="1" applyFill="1" applyBorder="1"/>
    <xf numFmtId="0" fontId="18" fillId="3" borderId="61" xfId="0" applyFont="1" applyFill="1" applyBorder="1" applyAlignment="1">
      <alignment horizontal="right"/>
    </xf>
    <xf numFmtId="0" fontId="19" fillId="3" borderId="61" xfId="0" applyFont="1" applyFill="1" applyBorder="1"/>
    <xf numFmtId="0" fontId="19" fillId="3" borderId="60" xfId="0" applyFont="1" applyFill="1" applyBorder="1"/>
    <xf numFmtId="37" fontId="19" fillId="3" borderId="83" xfId="0" applyNumberFormat="1" applyFont="1" applyFill="1" applyBorder="1"/>
    <xf numFmtId="1" fontId="18" fillId="0" borderId="12" xfId="0" applyNumberFormat="1" applyFont="1" applyBorder="1"/>
    <xf numFmtId="170" fontId="18" fillId="0" borderId="1" xfId="0" applyNumberFormat="1" applyFont="1" applyBorder="1"/>
    <xf numFmtId="169" fontId="18" fillId="0" borderId="15" xfId="0" applyNumberFormat="1" applyFont="1" applyBorder="1"/>
    <xf numFmtId="0" fontId="18" fillId="0" borderId="77" xfId="0" applyFont="1" applyBorder="1"/>
    <xf numFmtId="0" fontId="18" fillId="0" borderId="24" xfId="0" applyFont="1" applyBorder="1"/>
    <xf numFmtId="1" fontId="18" fillId="0" borderId="23" xfId="0" applyNumberFormat="1" applyFont="1" applyBorder="1"/>
    <xf numFmtId="37" fontId="18" fillId="0" borderId="23" xfId="0" applyNumberFormat="1" applyFont="1" applyBorder="1"/>
    <xf numFmtId="169" fontId="18" fillId="0" borderId="23" xfId="0" applyNumberFormat="1" applyFont="1" applyBorder="1"/>
    <xf numFmtId="37" fontId="18" fillId="0" borderId="25" xfId="0" applyNumberFormat="1" applyFont="1" applyBorder="1"/>
    <xf numFmtId="37" fontId="18" fillId="0" borderId="24" xfId="0" applyNumberFormat="1" applyFont="1" applyBorder="1"/>
    <xf numFmtId="170" fontId="18" fillId="0" borderId="22" xfId="0" applyNumberFormat="1" applyFont="1" applyBorder="1"/>
    <xf numFmtId="169" fontId="18" fillId="0" borderId="19" xfId="0" applyNumberFormat="1" applyFont="1" applyBorder="1"/>
    <xf numFmtId="2" fontId="18" fillId="0" borderId="22" xfId="0" applyNumberFormat="1" applyFont="1" applyBorder="1"/>
    <xf numFmtId="169" fontId="18" fillId="0" borderId="13" xfId="0" applyNumberFormat="1" applyFont="1" applyBorder="1"/>
    <xf numFmtId="169" fontId="19" fillId="0" borderId="12" xfId="0" applyNumberFormat="1" applyFont="1" applyBorder="1"/>
    <xf numFmtId="37" fontId="19" fillId="3" borderId="84" xfId="0" applyNumberFormat="1" applyFont="1" applyFill="1" applyBorder="1"/>
    <xf numFmtId="0" fontId="19" fillId="3" borderId="85" xfId="0" applyFont="1" applyFill="1" applyBorder="1"/>
    <xf numFmtId="0" fontId="19" fillId="3" borderId="31" xfId="0" applyFont="1" applyFill="1" applyBorder="1"/>
    <xf numFmtId="169" fontId="19" fillId="0" borderId="13" xfId="0" applyNumberFormat="1" applyFont="1" applyBorder="1"/>
    <xf numFmtId="171" fontId="18" fillId="0" borderId="1" xfId="0" applyNumberFormat="1" applyFont="1" applyBorder="1"/>
    <xf numFmtId="0" fontId="18" fillId="0" borderId="23" xfId="0" applyFont="1" applyBorder="1"/>
    <xf numFmtId="0" fontId="19" fillId="0" borderId="1" xfId="0" applyFont="1" applyBorder="1"/>
    <xf numFmtId="170" fontId="19" fillId="0" borderId="1" xfId="0" applyNumberFormat="1" applyFont="1" applyBorder="1"/>
    <xf numFmtId="37" fontId="19" fillId="0" borderId="12" xfId="0" applyNumberFormat="1" applyFont="1" applyBorder="1"/>
    <xf numFmtId="37" fontId="19" fillId="0" borderId="15" xfId="0" applyNumberFormat="1" applyFont="1" applyBorder="1"/>
    <xf numFmtId="37" fontId="19" fillId="0" borderId="55" xfId="0" applyNumberFormat="1" applyFont="1" applyBorder="1"/>
    <xf numFmtId="0" fontId="19" fillId="0" borderId="22" xfId="0" applyFont="1" applyBorder="1"/>
    <xf numFmtId="170" fontId="19" fillId="0" borderId="22" xfId="0" applyNumberFormat="1" applyFont="1" applyBorder="1"/>
    <xf numFmtId="0" fontId="19" fillId="0" borderId="13" xfId="0" applyFont="1" applyBorder="1"/>
    <xf numFmtId="37" fontId="19" fillId="0" borderId="13" xfId="0" applyNumberFormat="1" applyFont="1" applyBorder="1"/>
    <xf numFmtId="37" fontId="19" fillId="0" borderId="19" xfId="0" applyNumberFormat="1" applyFont="1" applyBorder="1"/>
    <xf numFmtId="37" fontId="19" fillId="0" borderId="58" xfId="0" applyNumberFormat="1" applyFont="1" applyBorder="1"/>
    <xf numFmtId="0" fontId="19" fillId="4" borderId="71" xfId="0" applyFont="1" applyFill="1" applyBorder="1"/>
    <xf numFmtId="169" fontId="45" fillId="0" borderId="12" xfId="0" applyNumberFormat="1" applyFont="1" applyBorder="1"/>
    <xf numFmtId="37" fontId="19" fillId="4" borderId="84" xfId="0" applyNumberFormat="1" applyFont="1" applyFill="1" applyBorder="1"/>
    <xf numFmtId="0" fontId="19" fillId="4" borderId="75" xfId="0" applyFont="1" applyFill="1" applyBorder="1"/>
    <xf numFmtId="0" fontId="19" fillId="0" borderId="77" xfId="0" applyFont="1" applyFill="1" applyBorder="1"/>
    <xf numFmtId="37" fontId="19" fillId="0" borderId="56" xfId="0" applyNumberFormat="1" applyFont="1" applyFill="1" applyBorder="1"/>
    <xf numFmtId="169" fontId="18" fillId="0" borderId="12" xfId="0" applyNumberFormat="1" applyFont="1" applyFill="1" applyBorder="1"/>
    <xf numFmtId="37" fontId="19" fillId="0" borderId="55" xfId="0" applyNumberFormat="1" applyFont="1" applyFill="1" applyBorder="1"/>
    <xf numFmtId="0" fontId="19" fillId="4" borderId="77" xfId="0" applyFont="1" applyFill="1" applyBorder="1"/>
    <xf numFmtId="37" fontId="19" fillId="4" borderId="56" xfId="0" applyNumberFormat="1" applyFont="1" applyFill="1" applyBorder="1"/>
    <xf numFmtId="0" fontId="19" fillId="0" borderId="70" xfId="0" applyFont="1" applyBorder="1" applyAlignment="1">
      <alignment horizontal="left"/>
    </xf>
    <xf numFmtId="0" fontId="18" fillId="0" borderId="55" xfId="0" applyFont="1" applyBorder="1"/>
    <xf numFmtId="0" fontId="18" fillId="0" borderId="24" xfId="0" applyFont="1" applyBorder="1" applyAlignment="1">
      <alignment horizontal="right"/>
    </xf>
    <xf numFmtId="0" fontId="18" fillId="0" borderId="23" xfId="0" applyFont="1" applyBorder="1" applyAlignment="1">
      <alignment horizontal="right"/>
    </xf>
    <xf numFmtId="0" fontId="18" fillId="0" borderId="24" xfId="0" applyFont="1" applyBorder="1" applyAlignment="1">
      <alignment horizontal="center"/>
    </xf>
    <xf numFmtId="0" fontId="18" fillId="0" borderId="13" xfId="0" applyFont="1" applyBorder="1" applyAlignment="1">
      <alignment horizontal="center"/>
    </xf>
    <xf numFmtId="0" fontId="18" fillId="0" borderId="19" xfId="0" applyFont="1" applyBorder="1" applyAlignment="1">
      <alignment horizontal="center"/>
    </xf>
    <xf numFmtId="0" fontId="18" fillId="0" borderId="22" xfId="0" applyFont="1" applyBorder="1" applyAlignment="1">
      <alignment horizontal="center"/>
    </xf>
    <xf numFmtId="0" fontId="18" fillId="0" borderId="58" xfId="0" applyFont="1" applyBorder="1" applyAlignment="1">
      <alignment horizontal="center"/>
    </xf>
    <xf numFmtId="3" fontId="18" fillId="0" borderId="55" xfId="0" applyNumberFormat="1" applyFont="1" applyBorder="1"/>
    <xf numFmtId="0" fontId="19" fillId="0" borderId="77" xfId="0" applyFont="1" applyBorder="1"/>
    <xf numFmtId="3" fontId="19" fillId="0" borderId="24" xfId="0" applyNumberFormat="1" applyFont="1" applyBorder="1"/>
    <xf numFmtId="3" fontId="19" fillId="0" borderId="25" xfId="0" applyNumberFormat="1" applyFont="1" applyBorder="1"/>
    <xf numFmtId="3" fontId="19" fillId="0" borderId="23" xfId="0" applyNumberFormat="1" applyFont="1" applyBorder="1"/>
    <xf numFmtId="3" fontId="19" fillId="0" borderId="56" xfId="0" applyNumberFormat="1" applyFont="1" applyBorder="1"/>
    <xf numFmtId="3" fontId="18" fillId="0" borderId="19" xfId="0" applyNumberFormat="1" applyFont="1" applyBorder="1"/>
    <xf numFmtId="3" fontId="18" fillId="0" borderId="13" xfId="0" applyNumberFormat="1" applyFont="1" applyBorder="1"/>
    <xf numFmtId="3" fontId="18" fillId="0" borderId="22" xfId="0" applyNumberFormat="1" applyFont="1" applyBorder="1"/>
    <xf numFmtId="3" fontId="19" fillId="0" borderId="13" xfId="0" applyNumberFormat="1" applyFont="1" applyBorder="1"/>
    <xf numFmtId="3" fontId="19" fillId="0" borderId="19" xfId="0" applyNumberFormat="1" applyFont="1" applyBorder="1"/>
    <xf numFmtId="3" fontId="19" fillId="0" borderId="58" xfId="0" applyNumberFormat="1" applyFont="1" applyBorder="1"/>
    <xf numFmtId="3" fontId="18" fillId="0" borderId="23" xfId="0" applyNumberFormat="1" applyFont="1" applyBorder="1"/>
    <xf numFmtId="169" fontId="44" fillId="11" borderId="86" xfId="0" applyNumberFormat="1" applyFont="1" applyFill="1" applyBorder="1"/>
    <xf numFmtId="37" fontId="18" fillId="0" borderId="22" xfId="0" applyNumberFormat="1" applyFont="1" applyBorder="1"/>
    <xf numFmtId="0" fontId="19" fillId="0" borderId="1" xfId="0" applyFont="1" applyBorder="1" applyAlignment="1">
      <alignment horizontal="center"/>
    </xf>
    <xf numFmtId="169" fontId="19" fillId="0" borderId="1" xfId="0" applyNumberFormat="1" applyFont="1" applyBorder="1"/>
    <xf numFmtId="0" fontId="19" fillId="0" borderId="12" xfId="0" applyFont="1" applyBorder="1" applyAlignment="1">
      <alignment horizontal="center"/>
    </xf>
    <xf numFmtId="3" fontId="18" fillId="0" borderId="24" xfId="0" applyNumberFormat="1" applyFont="1" applyBorder="1" applyAlignment="1">
      <alignment horizontal="center"/>
    </xf>
    <xf numFmtId="3" fontId="18" fillId="0" borderId="1" xfId="0" applyNumberFormat="1" applyFont="1" applyBorder="1" applyAlignment="1">
      <alignment horizontal="center"/>
    </xf>
    <xf numFmtId="3" fontId="18" fillId="0" borderId="15" xfId="0" applyNumberFormat="1" applyFont="1" applyBorder="1" applyAlignment="1">
      <alignment horizontal="center"/>
    </xf>
    <xf numFmtId="3" fontId="18" fillId="0" borderId="12" xfId="0" applyNumberFormat="1" applyFont="1" applyBorder="1" applyAlignment="1">
      <alignment horizontal="center"/>
    </xf>
    <xf numFmtId="3" fontId="18" fillId="0" borderId="55" xfId="0" applyNumberFormat="1" applyFont="1" applyBorder="1" applyAlignment="1">
      <alignment horizontal="center"/>
    </xf>
    <xf numFmtId="3" fontId="18" fillId="0" borderId="22" xfId="0" applyNumberFormat="1" applyFont="1" applyBorder="1" applyAlignment="1">
      <alignment horizontal="center"/>
    </xf>
    <xf numFmtId="3" fontId="18" fillId="0" borderId="13" xfId="0" applyNumberFormat="1" applyFont="1" applyBorder="1" applyAlignment="1">
      <alignment horizontal="center"/>
    </xf>
    <xf numFmtId="3" fontId="18" fillId="0" borderId="19" xfId="0" applyNumberFormat="1" applyFont="1" applyBorder="1" applyAlignment="1">
      <alignment horizontal="center"/>
    </xf>
    <xf numFmtId="3" fontId="18" fillId="0" borderId="58" xfId="0" applyNumberFormat="1" applyFont="1" applyBorder="1" applyAlignment="1">
      <alignment horizontal="center"/>
    </xf>
    <xf numFmtId="0" fontId="19" fillId="0" borderId="75" xfId="0" applyFont="1" applyBorder="1"/>
    <xf numFmtId="3" fontId="18" fillId="0" borderId="58" xfId="0" applyNumberFormat="1" applyFont="1" applyBorder="1"/>
    <xf numFmtId="3" fontId="18" fillId="0" borderId="24" xfId="0" applyNumberFormat="1" applyFont="1" applyBorder="1"/>
    <xf numFmtId="3" fontId="18" fillId="0" borderId="25" xfId="0" applyNumberFormat="1" applyFont="1" applyBorder="1"/>
    <xf numFmtId="3" fontId="18" fillId="0" borderId="56" xfId="0" applyNumberFormat="1" applyFont="1" applyBorder="1"/>
    <xf numFmtId="3" fontId="19" fillId="0" borderId="12" xfId="0" applyNumberFormat="1" applyFont="1" applyBorder="1"/>
    <xf numFmtId="0" fontId="19" fillId="4" borderId="70" xfId="0" applyFont="1" applyFill="1" applyBorder="1"/>
    <xf numFmtId="37" fontId="18" fillId="0" borderId="15" xfId="0" applyNumberFormat="1" applyFont="1" applyBorder="1" applyAlignment="1"/>
    <xf numFmtId="37" fontId="18" fillId="0" borderId="19" xfId="0" applyNumberFormat="1" applyFont="1" applyBorder="1" applyAlignment="1"/>
    <xf numFmtId="37" fontId="19" fillId="4" borderId="58" xfId="0" applyNumberFormat="1" applyFont="1" applyFill="1" applyBorder="1"/>
    <xf numFmtId="0" fontId="18" fillId="3" borderId="61" xfId="0" applyFont="1" applyFill="1" applyBorder="1"/>
    <xf numFmtId="0" fontId="27"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xf numFmtId="0" fontId="18" fillId="0" borderId="87" xfId="0" applyFont="1" applyBorder="1" applyAlignment="1">
      <alignment horizontal="left"/>
    </xf>
    <xf numFmtId="0" fontId="19" fillId="0" borderId="88" xfId="0" applyFont="1" applyBorder="1" applyAlignment="1">
      <alignment horizontal="center" vertical="center"/>
    </xf>
    <xf numFmtId="0" fontId="18" fillId="0" borderId="32" xfId="0" applyFont="1" applyBorder="1" applyAlignment="1">
      <alignment horizontal="center"/>
    </xf>
    <xf numFmtId="0" fontId="18" fillId="0" borderId="33" xfId="0" applyFont="1" applyBorder="1" applyAlignment="1">
      <alignment horizontal="center"/>
    </xf>
    <xf numFmtId="0" fontId="18" fillId="0" borderId="34" xfId="0" applyFont="1" applyBorder="1" applyAlignment="1">
      <alignment horizontal="center"/>
    </xf>
    <xf numFmtId="0" fontId="21" fillId="0" borderId="22" xfId="0" applyFont="1" applyBorder="1"/>
    <xf numFmtId="37" fontId="21" fillId="0" borderId="32" xfId="0" applyNumberFormat="1" applyFont="1" applyBorder="1"/>
    <xf numFmtId="37" fontId="21" fillId="0" borderId="33" xfId="0" applyNumberFormat="1" applyFont="1" applyBorder="1"/>
    <xf numFmtId="37" fontId="21" fillId="0" borderId="22" xfId="0" applyNumberFormat="1" applyFont="1" applyBorder="1"/>
    <xf numFmtId="169" fontId="21" fillId="0" borderId="22" xfId="0" applyNumberFormat="1" applyFont="1" applyBorder="1"/>
    <xf numFmtId="37" fontId="21" fillId="0" borderId="34" xfId="0" applyNumberFormat="1" applyFont="1" applyBorder="1"/>
    <xf numFmtId="169" fontId="21" fillId="0" borderId="58" xfId="0" applyNumberFormat="1" applyFont="1" applyBorder="1"/>
    <xf numFmtId="0" fontId="27" fillId="3" borderId="75" xfId="0" applyFont="1" applyFill="1" applyBorder="1"/>
    <xf numFmtId="169" fontId="27" fillId="3" borderId="58" xfId="0" applyNumberFormat="1" applyFont="1" applyFill="1" applyBorder="1"/>
    <xf numFmtId="0" fontId="27" fillId="0" borderId="70" xfId="0" applyFont="1" applyBorder="1"/>
    <xf numFmtId="0" fontId="21" fillId="0" borderId="1" xfId="0" applyFont="1" applyBorder="1"/>
    <xf numFmtId="37" fontId="21" fillId="0" borderId="39" xfId="0" applyNumberFormat="1" applyFont="1" applyBorder="1"/>
    <xf numFmtId="37" fontId="21" fillId="0" borderId="1" xfId="0" applyNumberFormat="1" applyFont="1" applyBorder="1"/>
    <xf numFmtId="169" fontId="21" fillId="0" borderId="1" xfId="0" applyNumberFormat="1" applyFont="1" applyBorder="1"/>
    <xf numFmtId="37" fontId="21" fillId="0" borderId="41" xfId="0" applyNumberFormat="1" applyFont="1" applyBorder="1"/>
    <xf numFmtId="0" fontId="21" fillId="0" borderId="1" xfId="0" applyFont="1" applyBorder="1" applyAlignment="1">
      <alignment horizontal="right"/>
    </xf>
    <xf numFmtId="170" fontId="21" fillId="0" borderId="1" xfId="0" applyNumberFormat="1" applyFont="1" applyBorder="1"/>
    <xf numFmtId="0" fontId="21" fillId="0" borderId="39" xfId="0" applyFont="1" applyBorder="1"/>
    <xf numFmtId="0" fontId="21" fillId="0" borderId="22" xfId="0" applyFont="1" applyBorder="1" applyAlignment="1">
      <alignment horizontal="right"/>
    </xf>
    <xf numFmtId="170" fontId="21" fillId="0" borderId="22" xfId="0" applyNumberFormat="1" applyFont="1" applyBorder="1"/>
    <xf numFmtId="0" fontId="21" fillId="0" borderId="33" xfId="0" applyFont="1" applyBorder="1"/>
    <xf numFmtId="169" fontId="21" fillId="0" borderId="32" xfId="0" applyNumberFormat="1" applyFont="1" applyBorder="1"/>
    <xf numFmtId="0" fontId="27" fillId="3" borderId="76" xfId="0" applyFont="1" applyFill="1" applyBorder="1"/>
    <xf numFmtId="0" fontId="21" fillId="0" borderId="24" xfId="0" applyFont="1" applyBorder="1" applyAlignment="1">
      <alignment horizontal="right"/>
    </xf>
    <xf numFmtId="0" fontId="21" fillId="0" borderId="24" xfId="0" applyFont="1" applyBorder="1"/>
    <xf numFmtId="37" fontId="21" fillId="0" borderId="37" xfId="0" applyNumberFormat="1" applyFont="1" applyBorder="1"/>
    <xf numFmtId="0" fontId="21" fillId="0" borderId="38" xfId="0" applyFont="1" applyBorder="1"/>
    <xf numFmtId="170" fontId="21" fillId="0" borderId="24" xfId="0" applyNumberFormat="1" applyFont="1" applyBorder="1"/>
    <xf numFmtId="37" fontId="21" fillId="0" borderId="24" xfId="0" applyNumberFormat="1" applyFont="1" applyBorder="1"/>
    <xf numFmtId="169" fontId="21" fillId="0" borderId="24" xfId="0" applyNumberFormat="1" applyFont="1" applyBorder="1"/>
    <xf numFmtId="37" fontId="21" fillId="0" borderId="42" xfId="0" applyNumberFormat="1" applyFont="1" applyBorder="1"/>
    <xf numFmtId="169" fontId="27" fillId="0" borderId="1" xfId="0" applyNumberFormat="1" applyFont="1" applyBorder="1"/>
    <xf numFmtId="0" fontId="27" fillId="0" borderId="1" xfId="0" applyFont="1" applyBorder="1"/>
    <xf numFmtId="169" fontId="21" fillId="0" borderId="37" xfId="0" applyNumberFormat="1" applyFont="1" applyBorder="1"/>
    <xf numFmtId="0" fontId="21" fillId="0" borderId="41" xfId="0" applyFont="1" applyBorder="1"/>
    <xf numFmtId="169" fontId="21" fillId="0" borderId="92" xfId="0" applyNumberFormat="1" applyFont="1" applyBorder="1"/>
    <xf numFmtId="0" fontId="21" fillId="0" borderId="1" xfId="0" applyFont="1" applyFill="1" applyBorder="1"/>
    <xf numFmtId="37" fontId="21" fillId="0" borderId="1" xfId="0" applyNumberFormat="1" applyFont="1" applyFill="1" applyBorder="1"/>
    <xf numFmtId="169" fontId="21" fillId="0" borderId="37" xfId="0" applyNumberFormat="1" applyFont="1" applyFill="1" applyBorder="1"/>
    <xf numFmtId="37" fontId="21" fillId="0" borderId="49" xfId="0" applyNumberFormat="1" applyFont="1" applyFill="1" applyBorder="1"/>
    <xf numFmtId="0" fontId="27" fillId="4" borderId="77" xfId="0" applyFont="1" applyFill="1" applyBorder="1"/>
    <xf numFmtId="169" fontId="21" fillId="0" borderId="83" xfId="0" applyNumberFormat="1" applyFont="1" applyBorder="1"/>
    <xf numFmtId="0" fontId="27" fillId="3" borderId="78" xfId="0" applyFont="1" applyFill="1" applyBorder="1"/>
    <xf numFmtId="0" fontId="27" fillId="3" borderId="64" xfId="0" applyFont="1" applyFill="1" applyBorder="1"/>
    <xf numFmtId="0" fontId="27" fillId="3" borderId="64" xfId="0" applyFont="1" applyFill="1" applyBorder="1" applyAlignment="1">
      <alignment horizontal="center"/>
    </xf>
    <xf numFmtId="169" fontId="27" fillId="3" borderId="64" xfId="0" applyNumberFormat="1" applyFont="1" applyFill="1" applyBorder="1"/>
    <xf numFmtId="37" fontId="27" fillId="3" borderId="93" xfId="0" applyNumberFormat="1" applyFont="1" applyFill="1" applyBorder="1"/>
    <xf numFmtId="37" fontId="27" fillId="3" borderId="94" xfId="0" applyNumberFormat="1" applyFont="1" applyFill="1" applyBorder="1"/>
    <xf numFmtId="0" fontId="27" fillId="3" borderId="94" xfId="0" applyFont="1" applyFill="1" applyBorder="1" applyAlignment="1">
      <alignment horizontal="center"/>
    </xf>
    <xf numFmtId="169" fontId="27" fillId="3" borderId="86" xfId="0" applyNumberFormat="1" applyFont="1" applyFill="1" applyBorder="1"/>
    <xf numFmtId="0" fontId="27" fillId="3" borderId="95" xfId="0" applyFont="1" applyFill="1" applyBorder="1"/>
    <xf numFmtId="0" fontId="27" fillId="3" borderId="96" xfId="0" applyFont="1" applyFill="1" applyBorder="1"/>
    <xf numFmtId="0" fontId="27" fillId="3" borderId="96" xfId="0" applyFont="1" applyFill="1" applyBorder="1" applyAlignment="1">
      <alignment horizontal="center"/>
    </xf>
    <xf numFmtId="169" fontId="27" fillId="3" borderId="96" xfId="0" applyNumberFormat="1" applyFont="1" applyFill="1" applyBorder="1"/>
    <xf numFmtId="37" fontId="27" fillId="3" borderId="97" xfId="0" applyNumberFormat="1" applyFont="1" applyFill="1" applyBorder="1"/>
    <xf numFmtId="37" fontId="27" fillId="3" borderId="96" xfId="0" applyNumberFormat="1" applyFont="1" applyFill="1" applyBorder="1"/>
    <xf numFmtId="37" fontId="27" fillId="3" borderId="98" xfId="0" applyNumberFormat="1" applyFont="1" applyFill="1" applyBorder="1"/>
    <xf numFmtId="37" fontId="27" fillId="3" borderId="99" xfId="0" applyNumberFormat="1" applyFont="1" applyFill="1" applyBorder="1"/>
    <xf numFmtId="37" fontId="27" fillId="3" borderId="88" xfId="0" applyNumberFormat="1" applyFont="1" applyFill="1" applyBorder="1"/>
    <xf numFmtId="169" fontId="27" fillId="3" borderId="91" xfId="0" applyNumberFormat="1" applyFont="1" applyFill="1" applyBorder="1"/>
    <xf numFmtId="0" fontId="26" fillId="0" borderId="70" xfId="0" applyFont="1" applyBorder="1"/>
    <xf numFmtId="0" fontId="26" fillId="0" borderId="41" xfId="0" applyFont="1" applyBorder="1"/>
    <xf numFmtId="0" fontId="26" fillId="0" borderId="55" xfId="0" applyFont="1" applyBorder="1"/>
    <xf numFmtId="0" fontId="16" fillId="0" borderId="41" xfId="0" applyFont="1" applyBorder="1"/>
    <xf numFmtId="169" fontId="27" fillId="3" borderId="81" xfId="0" applyNumberFormat="1" applyFont="1" applyFill="1" applyBorder="1"/>
    <xf numFmtId="0" fontId="19" fillId="0" borderId="15" xfId="0" applyFont="1" applyFill="1" applyBorder="1"/>
    <xf numFmtId="169" fontId="48" fillId="0" borderId="12" xfId="1" applyNumberFormat="1" applyFont="1" applyFill="1" applyBorder="1"/>
    <xf numFmtId="3" fontId="18" fillId="0" borderId="55" xfId="0" applyNumberFormat="1" applyFont="1" applyFill="1" applyBorder="1"/>
    <xf numFmtId="3" fontId="48" fillId="0" borderId="55" xfId="0" applyNumberFormat="1" applyFont="1" applyFill="1" applyBorder="1"/>
    <xf numFmtId="0" fontId="17" fillId="0" borderId="0" xfId="0" applyFont="1" applyFill="1"/>
    <xf numFmtId="0" fontId="0" fillId="0" borderId="0" xfId="0" applyFont="1" applyFill="1" applyAlignment="1"/>
    <xf numFmtId="0" fontId="22" fillId="0" borderId="0" xfId="0" applyFont="1" applyFill="1"/>
    <xf numFmtId="0" fontId="10" fillId="0" borderId="0" xfId="0" applyFont="1" applyFill="1"/>
    <xf numFmtId="0" fontId="24" fillId="0" borderId="0" xfId="0" applyFont="1" applyFill="1"/>
    <xf numFmtId="39" fontId="18" fillId="0" borderId="0" xfId="0" applyNumberFormat="1" applyFont="1" applyFill="1"/>
    <xf numFmtId="0" fontId="16" fillId="0" borderId="0" xfId="0" applyFont="1" applyFill="1"/>
    <xf numFmtId="0" fontId="15" fillId="0" borderId="0" xfId="0" applyFont="1" applyFill="1"/>
    <xf numFmtId="0" fontId="15" fillId="0" borderId="1" xfId="0" applyFont="1" applyFill="1" applyBorder="1"/>
    <xf numFmtId="0" fontId="16" fillId="0" borderId="1" xfId="0" applyFont="1" applyFill="1" applyBorder="1"/>
    <xf numFmtId="0" fontId="25" fillId="0" borderId="0" xfId="0" applyFont="1" applyFill="1"/>
    <xf numFmtId="37" fontId="19" fillId="0" borderId="0" xfId="0" applyNumberFormat="1" applyFont="1" applyFill="1"/>
    <xf numFmtId="0" fontId="23" fillId="0" borderId="0" xfId="0" applyFont="1" applyFill="1"/>
    <xf numFmtId="169" fontId="18" fillId="0" borderId="0" xfId="0" applyNumberFormat="1" applyFont="1" applyFill="1"/>
    <xf numFmtId="169" fontId="19" fillId="0" borderId="0" xfId="0" applyNumberFormat="1" applyFont="1" applyFill="1"/>
    <xf numFmtId="37" fontId="16" fillId="0" borderId="1" xfId="0" applyNumberFormat="1" applyFont="1" applyFill="1" applyBorder="1"/>
    <xf numFmtId="0" fontId="15" fillId="0" borderId="0" xfId="0" applyFont="1" applyFill="1" applyAlignment="1">
      <alignment horizontal="center" vertical="center"/>
    </xf>
    <xf numFmtId="0" fontId="19" fillId="0" borderId="0" xfId="0" applyFont="1" applyFill="1" applyAlignment="1">
      <alignment horizontal="center"/>
    </xf>
    <xf numFmtId="0" fontId="18" fillId="0" borderId="0" xfId="0" applyFont="1" applyFill="1" applyAlignment="1">
      <alignment horizontal="center"/>
    </xf>
    <xf numFmtId="0" fontId="15" fillId="0" borderId="1" xfId="0" applyFont="1" applyFill="1" applyBorder="1" applyAlignment="1">
      <alignment horizontal="center" vertical="center"/>
    </xf>
    <xf numFmtId="0" fontId="19" fillId="0" borderId="1" xfId="0" applyFont="1" applyFill="1" applyBorder="1" applyAlignment="1">
      <alignment horizontal="center"/>
    </xf>
    <xf numFmtId="0" fontId="18" fillId="0" borderId="1" xfId="0" applyFont="1" applyFill="1" applyBorder="1" applyAlignment="1">
      <alignment horizontal="center"/>
    </xf>
    <xf numFmtId="169" fontId="18" fillId="0" borderId="1" xfId="0" applyNumberFormat="1" applyFont="1" applyFill="1" applyBorder="1"/>
    <xf numFmtId="0" fontId="26" fillId="0" borderId="0" xfId="0" applyFont="1" applyFill="1"/>
    <xf numFmtId="0" fontId="46" fillId="0" borderId="0" xfId="0" applyFont="1"/>
    <xf numFmtId="166" fontId="12" fillId="0" borderId="1" xfId="0" applyNumberFormat="1" applyFont="1" applyBorder="1"/>
    <xf numFmtId="166" fontId="14" fillId="0" borderId="1" xfId="0" applyNumberFormat="1" applyFont="1" applyBorder="1"/>
    <xf numFmtId="166" fontId="13" fillId="0" borderId="1" xfId="0" applyNumberFormat="1" applyFont="1" applyFill="1" applyBorder="1"/>
    <xf numFmtId="0" fontId="13" fillId="0" borderId="1" xfId="0" applyFont="1" applyFill="1" applyBorder="1"/>
    <xf numFmtId="166" fontId="12" fillId="0" borderId="1" xfId="0" applyNumberFormat="1" applyFont="1" applyFill="1" applyBorder="1"/>
    <xf numFmtId="166" fontId="14" fillId="0" borderId="1" xfId="0" applyNumberFormat="1" applyFont="1" applyFill="1" applyBorder="1"/>
    <xf numFmtId="0" fontId="8" fillId="0" borderId="0" xfId="0" applyFont="1" applyFill="1"/>
    <xf numFmtId="169" fontId="27" fillId="3" borderId="100" xfId="0" applyNumberFormat="1" applyFont="1" applyFill="1" applyBorder="1"/>
    <xf numFmtId="0" fontId="18" fillId="0" borderId="101" xfId="0" applyFont="1" applyBorder="1"/>
    <xf numFmtId="3" fontId="45" fillId="0" borderId="13" xfId="0" applyNumberFormat="1" applyFont="1" applyBorder="1"/>
    <xf numFmtId="3" fontId="45" fillId="0" borderId="22" xfId="0" applyNumberFormat="1" applyFont="1" applyBorder="1"/>
    <xf numFmtId="0" fontId="48" fillId="0" borderId="70" xfId="0" applyFont="1" applyBorder="1"/>
    <xf numFmtId="0" fontId="46" fillId="9" borderId="1" xfId="0" applyFont="1" applyFill="1" applyBorder="1"/>
    <xf numFmtId="0" fontId="49" fillId="0" borderId="77" xfId="0" applyFont="1" applyBorder="1"/>
    <xf numFmtId="4" fontId="50" fillId="0" borderId="0" xfId="0" applyNumberFormat="1" applyFont="1" applyAlignment="1">
      <alignment horizontal="center" vertical="top"/>
    </xf>
    <xf numFmtId="3" fontId="43" fillId="0" borderId="15" xfId="0" applyNumberFormat="1" applyFont="1" applyBorder="1"/>
    <xf numFmtId="3" fontId="27" fillId="3" borderId="17" xfId="0" applyNumberFormat="1" applyFont="1" applyFill="1" applyBorder="1" applyAlignment="1">
      <alignment horizontal="center"/>
    </xf>
    <xf numFmtId="39" fontId="39" fillId="10" borderId="44" xfId="0" applyNumberFormat="1" applyFont="1" applyFill="1" applyBorder="1" applyAlignment="1">
      <alignment horizontal="left" vertical="top"/>
    </xf>
    <xf numFmtId="37" fontId="27" fillId="12" borderId="17" xfId="0" applyNumberFormat="1" applyFont="1" applyFill="1" applyBorder="1"/>
    <xf numFmtId="0" fontId="8" fillId="0" borderId="102" xfId="0" applyFont="1" applyBorder="1"/>
    <xf numFmtId="166" fontId="51" fillId="0" borderId="50" xfId="0" applyNumberFormat="1" applyFont="1" applyBorder="1"/>
    <xf numFmtId="164" fontId="12" fillId="0" borderId="7" xfId="0" applyNumberFormat="1" applyFont="1" applyBorder="1"/>
    <xf numFmtId="164" fontId="13" fillId="3" borderId="9" xfId="0" applyNumberFormat="1" applyFont="1" applyFill="1" applyBorder="1"/>
    <xf numFmtId="164" fontId="13" fillId="3" borderId="11" xfId="0" applyNumberFormat="1" applyFont="1" applyFill="1" applyBorder="1"/>
    <xf numFmtId="164" fontId="14" fillId="0" borderId="5" xfId="0" applyNumberFormat="1" applyFont="1" applyBorder="1"/>
    <xf numFmtId="164" fontId="8" fillId="0" borderId="7" xfId="0" applyNumberFormat="1" applyFont="1" applyBorder="1"/>
    <xf numFmtId="164" fontId="12" fillId="0" borderId="51" xfId="0" applyNumberFormat="1" applyFont="1" applyBorder="1"/>
    <xf numFmtId="164" fontId="14" fillId="0" borderId="51" xfId="0" applyNumberFormat="1" applyFont="1" applyBorder="1"/>
    <xf numFmtId="164" fontId="12" fillId="0" borderId="3" xfId="0" applyNumberFormat="1" applyFont="1" applyBorder="1"/>
    <xf numFmtId="0" fontId="18" fillId="0" borderId="13" xfId="0" applyFont="1" applyBorder="1" applyAlignment="1"/>
    <xf numFmtId="3" fontId="18" fillId="0" borderId="12" xfId="0" applyNumberFormat="1" applyFont="1" applyBorder="1" applyAlignment="1"/>
    <xf numFmtId="0" fontId="0" fillId="0" borderId="0" xfId="0" applyFont="1" applyAlignment="1"/>
    <xf numFmtId="39" fontId="39" fillId="10" borderId="1" xfId="0" applyNumberFormat="1" applyFont="1" applyFill="1" applyBorder="1" applyAlignment="1">
      <alignment horizontal="left" vertical="top"/>
    </xf>
    <xf numFmtId="4" fontId="8" fillId="13" borderId="0" xfId="0" applyNumberFormat="1" applyFont="1" applyFill="1" applyAlignment="1">
      <alignment horizontal="center" vertical="top"/>
    </xf>
    <xf numFmtId="39" fontId="43" fillId="0" borderId="103" xfId="0" applyNumberFormat="1" applyFont="1" applyBorder="1"/>
    <xf numFmtId="165" fontId="36" fillId="0" borderId="0" xfId="0" applyNumberFormat="1" applyFont="1" applyAlignment="1">
      <alignment horizontal="center" vertical="top"/>
    </xf>
    <xf numFmtId="165" fontId="8" fillId="0" borderId="0" xfId="0" applyNumberFormat="1" applyFont="1" applyAlignment="1">
      <alignment horizontal="center" vertical="top"/>
    </xf>
    <xf numFmtId="165" fontId="50" fillId="0" borderId="0" xfId="0" applyNumberFormat="1" applyFont="1" applyAlignment="1">
      <alignment horizontal="center" vertical="top"/>
    </xf>
    <xf numFmtId="165" fontId="8" fillId="13" borderId="0" xfId="0" applyNumberFormat="1" applyFont="1" applyFill="1" applyAlignment="1">
      <alignment horizontal="center" vertical="top"/>
    </xf>
    <xf numFmtId="165" fontId="0" fillId="0" borderId="0" xfId="0" applyNumberFormat="1" applyFont="1" applyAlignment="1"/>
    <xf numFmtId="49" fontId="8" fillId="15" borderId="0" xfId="0" applyNumberFormat="1" applyFont="1" applyFill="1" applyAlignment="1">
      <alignment horizontal="left" vertical="top"/>
    </xf>
    <xf numFmtId="165" fontId="8" fillId="15" borderId="0" xfId="0" applyNumberFormat="1" applyFont="1" applyFill="1" applyAlignment="1">
      <alignment horizontal="center" vertical="top"/>
    </xf>
    <xf numFmtId="4" fontId="8" fillId="15" borderId="0" xfId="0" applyNumberFormat="1" applyFont="1" applyFill="1" applyAlignment="1">
      <alignment horizontal="center" vertical="top"/>
    </xf>
    <xf numFmtId="37" fontId="19" fillId="3" borderId="17" xfId="0" applyNumberFormat="1" applyFont="1" applyFill="1" applyBorder="1"/>
    <xf numFmtId="0" fontId="18" fillId="3" borderId="20" xfId="0" applyFont="1" applyFill="1" applyBorder="1"/>
    <xf numFmtId="0" fontId="6" fillId="0" borderId="1" xfId="2"/>
    <xf numFmtId="0" fontId="52" fillId="0" borderId="1" xfId="2" applyFont="1" applyAlignment="1">
      <alignment horizontal="center"/>
    </xf>
    <xf numFmtId="0" fontId="52" fillId="0" borderId="1" xfId="2" applyFont="1"/>
    <xf numFmtId="0" fontId="52" fillId="0" borderId="1" xfId="2" applyFont="1" applyAlignment="1">
      <alignment horizontal="center"/>
    </xf>
    <xf numFmtId="0" fontId="53" fillId="0" borderId="1" xfId="2" applyFont="1"/>
    <xf numFmtId="168" fontId="54" fillId="0" borderId="1" xfId="2" applyNumberFormat="1" applyFont="1" applyAlignment="1">
      <alignment horizontal="left"/>
    </xf>
    <xf numFmtId="0" fontId="54" fillId="0" borderId="1" xfId="2" applyFont="1"/>
    <xf numFmtId="0" fontId="55" fillId="0" borderId="1" xfId="2" applyFont="1"/>
    <xf numFmtId="0" fontId="43" fillId="0" borderId="1" xfId="2" applyFont="1"/>
    <xf numFmtId="0" fontId="56" fillId="0" borderId="1" xfId="2" applyFont="1"/>
    <xf numFmtId="0" fontId="57" fillId="0" borderId="1" xfId="2" applyFont="1"/>
    <xf numFmtId="0" fontId="58" fillId="0" borderId="1" xfId="2" applyFont="1"/>
    <xf numFmtId="0" fontId="60" fillId="16" borderId="1" xfId="2" applyFont="1" applyFill="1"/>
    <xf numFmtId="0" fontId="58" fillId="16" borderId="1" xfId="2" applyFont="1" applyFill="1"/>
    <xf numFmtId="0" fontId="61" fillId="16" borderId="1" xfId="2" applyFont="1" applyFill="1"/>
    <xf numFmtId="0" fontId="62" fillId="16" borderId="1" xfId="2" applyFont="1" applyFill="1" applyAlignment="1">
      <alignment horizontal="centerContinuous" vertical="center"/>
    </xf>
    <xf numFmtId="0" fontId="58" fillId="16" borderId="1" xfId="2" applyFont="1" applyFill="1" applyAlignment="1">
      <alignment horizontal="centerContinuous" vertical="center"/>
    </xf>
    <xf numFmtId="0" fontId="60" fillId="16" borderId="1" xfId="2" applyFont="1" applyFill="1" applyAlignment="1">
      <alignment horizontal="centerContinuous"/>
    </xf>
    <xf numFmtId="0" fontId="58" fillId="16" borderId="1" xfId="2" applyFont="1" applyFill="1" applyAlignment="1">
      <alignment horizontal="centerContinuous"/>
    </xf>
    <xf numFmtId="0" fontId="63" fillId="16" borderId="1" xfId="2" applyFont="1" applyFill="1" applyAlignment="1">
      <alignment horizontal="center"/>
    </xf>
    <xf numFmtId="169" fontId="58" fillId="16" borderId="1" xfId="2" applyNumberFormat="1" applyFont="1" applyFill="1"/>
    <xf numFmtId="37" fontId="58" fillId="16" borderId="1" xfId="2" applyNumberFormat="1" applyFont="1" applyFill="1"/>
    <xf numFmtId="169" fontId="60" fillId="16" borderId="1" xfId="2" applyNumberFormat="1" applyFont="1" applyFill="1"/>
    <xf numFmtId="37" fontId="60" fillId="16" borderId="1" xfId="2" applyNumberFormat="1" applyFont="1" applyFill="1"/>
    <xf numFmtId="0" fontId="64" fillId="16" borderId="1" xfId="2" applyFont="1" applyFill="1"/>
    <xf numFmtId="0" fontId="63" fillId="16" borderId="1" xfId="2" applyFont="1" applyFill="1" applyAlignment="1">
      <alignment horizontal="centerContinuous"/>
    </xf>
    <xf numFmtId="0" fontId="63" fillId="16" borderId="1" xfId="2" applyFont="1" applyFill="1" applyAlignment="1">
      <alignment horizontal="left"/>
    </xf>
    <xf numFmtId="0" fontId="65" fillId="16" borderId="1" xfId="2" applyFont="1" applyFill="1" applyProtection="1">
      <protection locked="0"/>
    </xf>
    <xf numFmtId="0" fontId="58" fillId="16" borderId="1" xfId="2" applyFont="1" applyFill="1" applyAlignment="1">
      <alignment horizontal="center"/>
    </xf>
    <xf numFmtId="0" fontId="66" fillId="16" borderId="1" xfId="2" applyFont="1" applyFill="1" applyAlignment="1">
      <alignment horizontal="centerContinuous"/>
    </xf>
    <xf numFmtId="0" fontId="60" fillId="16" borderId="1" xfId="2" applyFont="1" applyFill="1" applyAlignment="1">
      <alignment horizontal="left"/>
    </xf>
    <xf numFmtId="0" fontId="6" fillId="0" borderId="1" xfId="2" applyAlignment="1">
      <alignment horizontal="center"/>
    </xf>
    <xf numFmtId="0" fontId="67" fillId="0" borderId="1" xfId="2" applyFont="1" applyBorder="1" applyAlignment="1">
      <alignment horizontal="center"/>
    </xf>
    <xf numFmtId="0" fontId="52" fillId="13" borderId="54" xfId="2" applyFont="1" applyFill="1" applyBorder="1" applyAlignment="1">
      <alignment horizontal="center"/>
    </xf>
    <xf numFmtId="0" fontId="55" fillId="0" borderId="1" xfId="2" applyFont="1" applyAlignment="1">
      <alignment horizontal="center"/>
    </xf>
    <xf numFmtId="0" fontId="17" fillId="0" borderId="0" xfId="0" applyFont="1" applyAlignment="1">
      <alignment horizontal="center"/>
    </xf>
    <xf numFmtId="0" fontId="6" fillId="0" borderId="1" xfId="2" applyFill="1" applyAlignment="1">
      <alignment horizontal="center"/>
    </xf>
    <xf numFmtId="0" fontId="67" fillId="0" borderId="1" xfId="2" applyFont="1" applyFill="1" applyBorder="1" applyAlignment="1">
      <alignment horizontal="center"/>
    </xf>
    <xf numFmtId="0" fontId="52" fillId="0" borderId="1" xfId="2" applyFont="1" applyFill="1" applyBorder="1" applyAlignment="1">
      <alignment horizontal="center"/>
    </xf>
    <xf numFmtId="0" fontId="6" fillId="0" borderId="1" xfId="2" applyFill="1"/>
    <xf numFmtId="0" fontId="17" fillId="17" borderId="0" xfId="0" applyFont="1" applyFill="1"/>
    <xf numFmtId="169" fontId="18" fillId="0" borderId="1" xfId="1" applyNumberFormat="1" applyFont="1" applyFill="1" applyBorder="1"/>
    <xf numFmtId="169" fontId="19" fillId="0" borderId="9" xfId="0" applyNumberFormat="1" applyFont="1" applyFill="1" applyBorder="1"/>
    <xf numFmtId="3" fontId="18" fillId="0" borderId="22" xfId="0" applyNumberFormat="1" applyFont="1" applyBorder="1" applyAlignment="1">
      <alignment horizontal="right"/>
    </xf>
    <xf numFmtId="0" fontId="68" fillId="0" borderId="0" xfId="0" applyFont="1" applyAlignment="1"/>
    <xf numFmtId="0" fontId="20" fillId="0" borderId="0" xfId="0" applyFont="1" applyAlignment="1"/>
    <xf numFmtId="3" fontId="18" fillId="0" borderId="167" xfId="0" applyNumberFormat="1" applyFont="1" applyBorder="1"/>
    <xf numFmtId="3" fontId="18" fillId="0" borderId="168" xfId="0" applyNumberFormat="1" applyFont="1" applyBorder="1"/>
    <xf numFmtId="3" fontId="18" fillId="0" borderId="169" xfId="0" applyNumberFormat="1" applyFont="1" applyBorder="1"/>
    <xf numFmtId="3" fontId="18" fillId="0" borderId="24" xfId="0" applyNumberFormat="1" applyFont="1" applyFill="1" applyBorder="1"/>
    <xf numFmtId="3" fontId="18" fillId="0" borderId="25" xfId="0" applyNumberFormat="1" applyFont="1" applyFill="1" applyBorder="1"/>
    <xf numFmtId="0" fontId="69" fillId="0" borderId="0" xfId="0" applyFont="1" applyAlignment="1"/>
    <xf numFmtId="0" fontId="43" fillId="0" borderId="108" xfId="0" applyFont="1" applyBorder="1"/>
    <xf numFmtId="169" fontId="27" fillId="3" borderId="57" xfId="0" applyNumberFormat="1" applyFont="1" applyFill="1" applyBorder="1"/>
    <xf numFmtId="0" fontId="5" fillId="0" borderId="1" xfId="3"/>
    <xf numFmtId="0" fontId="70" fillId="0" borderId="172" xfId="3" applyFont="1" applyBorder="1"/>
    <xf numFmtId="0" fontId="5" fillId="0" borderId="172" xfId="3" applyBorder="1"/>
    <xf numFmtId="0" fontId="5" fillId="0" borderId="172" xfId="3" applyBorder="1" applyAlignment="1">
      <alignment horizontal="left" indent="1"/>
    </xf>
    <xf numFmtId="0" fontId="70" fillId="0" borderId="189" xfId="3" applyFont="1" applyBorder="1"/>
    <xf numFmtId="0" fontId="70" fillId="18" borderId="170" xfId="3" applyFont="1" applyFill="1" applyBorder="1" applyAlignment="1">
      <alignment horizontal="center"/>
    </xf>
    <xf numFmtId="0" fontId="70" fillId="18" borderId="177" xfId="3" applyFont="1" applyFill="1" applyBorder="1" applyAlignment="1">
      <alignment horizontal="center"/>
    </xf>
    <xf numFmtId="0" fontId="70" fillId="18" borderId="178" xfId="3" applyFont="1" applyFill="1" applyBorder="1" applyAlignment="1">
      <alignment horizontal="center"/>
    </xf>
    <xf numFmtId="0" fontId="70" fillId="18" borderId="127" xfId="3" applyFont="1" applyFill="1" applyBorder="1" applyAlignment="1">
      <alignment horizontal="center"/>
    </xf>
    <xf numFmtId="0" fontId="70" fillId="18" borderId="171" xfId="3" applyFont="1" applyFill="1" applyBorder="1" applyAlignment="1">
      <alignment horizontal="center"/>
    </xf>
    <xf numFmtId="0" fontId="70" fillId="19" borderId="170" xfId="3" applyFont="1" applyFill="1" applyBorder="1" applyAlignment="1">
      <alignment horizontal="center"/>
    </xf>
    <xf numFmtId="0" fontId="70" fillId="19" borderId="177" xfId="3" applyFont="1" applyFill="1" applyBorder="1" applyAlignment="1">
      <alignment horizontal="center"/>
    </xf>
    <xf numFmtId="0" fontId="70" fillId="19" borderId="178" xfId="3" applyFont="1" applyFill="1" applyBorder="1" applyAlignment="1">
      <alignment horizontal="center"/>
    </xf>
    <xf numFmtId="0" fontId="70" fillId="19" borderId="179" xfId="3" applyFont="1" applyFill="1" applyBorder="1" applyAlignment="1">
      <alignment horizontal="center"/>
    </xf>
    <xf numFmtId="0" fontId="70" fillId="19" borderId="127" xfId="3" applyFont="1" applyFill="1" applyBorder="1" applyAlignment="1">
      <alignment horizontal="center"/>
    </xf>
    <xf numFmtId="0" fontId="70" fillId="19" borderId="171" xfId="3" applyFont="1" applyFill="1" applyBorder="1" applyAlignment="1">
      <alignment horizontal="center"/>
    </xf>
    <xf numFmtId="0" fontId="5" fillId="0" borderId="1" xfId="3" applyAlignment="1">
      <alignment horizontal="center"/>
    </xf>
    <xf numFmtId="0" fontId="70" fillId="11" borderId="170" xfId="3" applyFont="1" applyFill="1" applyBorder="1" applyAlignment="1">
      <alignment horizontal="center"/>
    </xf>
    <xf numFmtId="0" fontId="70" fillId="11" borderId="177" xfId="3" applyFont="1" applyFill="1" applyBorder="1" applyAlignment="1">
      <alignment horizontal="center"/>
    </xf>
    <xf numFmtId="0" fontId="70" fillId="11" borderId="178" xfId="3" applyFont="1" applyFill="1" applyBorder="1" applyAlignment="1">
      <alignment horizontal="center"/>
    </xf>
    <xf numFmtId="0" fontId="70" fillId="11" borderId="127" xfId="3" applyFont="1" applyFill="1" applyBorder="1" applyAlignment="1">
      <alignment horizontal="center"/>
    </xf>
    <xf numFmtId="0" fontId="70" fillId="11" borderId="171" xfId="3" applyFont="1" applyFill="1" applyBorder="1" applyAlignment="1">
      <alignment horizontal="center"/>
    </xf>
    <xf numFmtId="37" fontId="70" fillId="0" borderId="180" xfId="3" applyNumberFormat="1" applyFont="1" applyBorder="1" applyAlignment="1">
      <alignment horizontal="center"/>
    </xf>
    <xf numFmtId="1" fontId="70" fillId="0" borderId="181" xfId="3" applyNumberFormat="1" applyFont="1" applyBorder="1" applyAlignment="1">
      <alignment horizontal="center"/>
    </xf>
    <xf numFmtId="1" fontId="70" fillId="0" borderId="161" xfId="3" applyNumberFormat="1" applyFont="1" applyBorder="1" applyAlignment="1">
      <alignment horizontal="center"/>
    </xf>
    <xf numFmtId="1" fontId="70" fillId="0" borderId="173" xfId="3" applyNumberFormat="1" applyFont="1" applyBorder="1" applyAlignment="1">
      <alignment horizontal="center"/>
    </xf>
    <xf numFmtId="165" fontId="70" fillId="0" borderId="180" xfId="3" applyNumberFormat="1" applyFont="1" applyBorder="1" applyAlignment="1">
      <alignment horizontal="center"/>
    </xf>
    <xf numFmtId="165" fontId="70" fillId="0" borderId="181" xfId="3" applyNumberFormat="1" applyFont="1" applyBorder="1" applyAlignment="1">
      <alignment horizontal="center"/>
    </xf>
    <xf numFmtId="165" fontId="70" fillId="0" borderId="161" xfId="3" applyNumberFormat="1" applyFont="1" applyBorder="1" applyAlignment="1">
      <alignment horizontal="center"/>
    </xf>
    <xf numFmtId="165" fontId="70" fillId="0" borderId="173" xfId="3" applyNumberFormat="1" applyFont="1" applyBorder="1" applyAlignment="1">
      <alignment horizontal="center"/>
    </xf>
    <xf numFmtId="0" fontId="5" fillId="0" borderId="174" xfId="3" applyBorder="1"/>
    <xf numFmtId="0" fontId="70" fillId="20" borderId="170" xfId="3" applyFont="1" applyFill="1" applyBorder="1" applyAlignment="1">
      <alignment horizontal="center"/>
    </xf>
    <xf numFmtId="0" fontId="70" fillId="20" borderId="177" xfId="3" applyFont="1" applyFill="1" applyBorder="1" applyAlignment="1">
      <alignment horizontal="center"/>
    </xf>
    <xf numFmtId="0" fontId="70" fillId="20" borderId="178" xfId="3" applyFont="1" applyFill="1" applyBorder="1" applyAlignment="1">
      <alignment horizontal="center"/>
    </xf>
    <xf numFmtId="0" fontId="70" fillId="20" borderId="127" xfId="3" applyFont="1" applyFill="1" applyBorder="1" applyAlignment="1">
      <alignment horizontal="center"/>
    </xf>
    <xf numFmtId="0" fontId="70" fillId="20" borderId="171" xfId="3" applyFont="1" applyFill="1" applyBorder="1" applyAlignment="1">
      <alignment horizontal="center"/>
    </xf>
    <xf numFmtId="0" fontId="70" fillId="0" borderId="172" xfId="3" applyFont="1" applyBorder="1" applyAlignment="1">
      <alignment horizontal="left"/>
    </xf>
    <xf numFmtId="9" fontId="70" fillId="0" borderId="183" xfId="4" applyFont="1" applyBorder="1" applyAlignment="1">
      <alignment horizontal="center"/>
    </xf>
    <xf numFmtId="9" fontId="70" fillId="0" borderId="184" xfId="4" applyFont="1" applyBorder="1" applyAlignment="1">
      <alignment horizontal="center"/>
    </xf>
    <xf numFmtId="9" fontId="70" fillId="0" borderId="185" xfId="4" applyFont="1" applyBorder="1" applyAlignment="1">
      <alignment horizontal="center"/>
    </xf>
    <xf numFmtId="9" fontId="70" fillId="0" borderId="180" xfId="4" applyFont="1" applyBorder="1" applyAlignment="1">
      <alignment horizontal="center"/>
    </xf>
    <xf numFmtId="9" fontId="70" fillId="0" borderId="181" xfId="4" applyFont="1" applyBorder="1" applyAlignment="1">
      <alignment horizontal="center"/>
    </xf>
    <xf numFmtId="9" fontId="70" fillId="0" borderId="182" xfId="4" applyFont="1" applyBorder="1" applyAlignment="1">
      <alignment horizontal="center"/>
    </xf>
    <xf numFmtId="0" fontId="70" fillId="21" borderId="170" xfId="3" applyFont="1" applyFill="1" applyBorder="1" applyAlignment="1">
      <alignment horizontal="center"/>
    </xf>
    <xf numFmtId="0" fontId="70" fillId="21" borderId="177" xfId="3" applyFont="1" applyFill="1" applyBorder="1" applyAlignment="1">
      <alignment horizontal="center"/>
    </xf>
    <xf numFmtId="0" fontId="70" fillId="21" borderId="178" xfId="3" applyFont="1" applyFill="1" applyBorder="1" applyAlignment="1">
      <alignment horizontal="center"/>
    </xf>
    <xf numFmtId="0" fontId="70" fillId="21" borderId="127" xfId="3" applyFont="1" applyFill="1" applyBorder="1" applyAlignment="1">
      <alignment horizontal="center"/>
    </xf>
    <xf numFmtId="0" fontId="70" fillId="21" borderId="171" xfId="3" applyFont="1" applyFill="1" applyBorder="1" applyAlignment="1">
      <alignment horizontal="center"/>
    </xf>
    <xf numFmtId="0" fontId="5" fillId="13" borderId="172" xfId="3" applyFill="1" applyBorder="1" applyAlignment="1">
      <alignment horizontal="left" indent="1"/>
    </xf>
    <xf numFmtId="0" fontId="5" fillId="13" borderId="174" xfId="3" applyFill="1" applyBorder="1" applyAlignment="1">
      <alignment horizontal="left" indent="1"/>
    </xf>
    <xf numFmtId="0" fontId="21" fillId="0" borderId="101" xfId="0" applyFont="1" applyBorder="1"/>
    <xf numFmtId="0" fontId="21" fillId="0" borderId="195" xfId="0" applyFont="1" applyBorder="1"/>
    <xf numFmtId="0" fontId="21" fillId="0" borderId="54" xfId="0" applyFont="1" applyBorder="1" applyAlignment="1">
      <alignment horizontal="right"/>
    </xf>
    <xf numFmtId="0" fontId="21" fillId="0" borderId="54" xfId="0" applyFont="1" applyBorder="1"/>
    <xf numFmtId="37" fontId="21" fillId="0" borderId="196" xfId="0" applyNumberFormat="1" applyFont="1" applyBorder="1"/>
    <xf numFmtId="0" fontId="21" fillId="0" borderId="197" xfId="0" applyFont="1" applyBorder="1"/>
    <xf numFmtId="170" fontId="21" fillId="0" borderId="54" xfId="0" applyNumberFormat="1" applyFont="1" applyBorder="1"/>
    <xf numFmtId="37" fontId="21" fillId="0" borderId="197" xfId="0" applyNumberFormat="1" applyFont="1" applyBorder="1"/>
    <xf numFmtId="37" fontId="21" fillId="0" borderId="54" xfId="0" applyNumberFormat="1" applyFont="1" applyBorder="1"/>
    <xf numFmtId="169" fontId="21" fillId="0" borderId="54" xfId="0" applyNumberFormat="1" applyFont="1" applyBorder="1"/>
    <xf numFmtId="37" fontId="21" fillId="0" borderId="198" xfId="0" applyNumberFormat="1" applyFont="1" applyBorder="1"/>
    <xf numFmtId="169" fontId="21" fillId="0" borderId="199" xfId="0" applyNumberFormat="1" applyFont="1" applyBorder="1"/>
    <xf numFmtId="1" fontId="40" fillId="10" borderId="44" xfId="0" applyNumberFormat="1" applyFont="1" applyFill="1" applyBorder="1" applyAlignment="1">
      <alignment horizontal="left" vertical="top"/>
    </xf>
    <xf numFmtId="0" fontId="44" fillId="22" borderId="104" xfId="0" applyFont="1" applyFill="1" applyBorder="1" applyAlignment="1">
      <alignment horizontal="center"/>
    </xf>
    <xf numFmtId="0" fontId="43" fillId="22" borderId="107" xfId="0" applyFont="1" applyFill="1" applyBorder="1"/>
    <xf numFmtId="3" fontId="43" fillId="22" borderId="108" xfId="0" applyNumberFormat="1" applyFont="1" applyFill="1" applyBorder="1" applyAlignment="1">
      <alignment horizontal="center"/>
    </xf>
    <xf numFmtId="3" fontId="43" fillId="22" borderId="0" xfId="0" applyNumberFormat="1" applyFont="1" applyFill="1" applyAlignment="1">
      <alignment horizontal="center"/>
    </xf>
    <xf numFmtId="3" fontId="43" fillId="22" borderId="109" xfId="0" applyNumberFormat="1" applyFont="1" applyFill="1" applyBorder="1" applyAlignment="1">
      <alignment horizontal="center"/>
    </xf>
    <xf numFmtId="0" fontId="43" fillId="22" borderId="110" xfId="0" applyFont="1" applyFill="1" applyBorder="1"/>
    <xf numFmtId="3" fontId="43" fillId="22" borderId="110" xfId="0" applyNumberFormat="1" applyFont="1" applyFill="1" applyBorder="1" applyAlignment="1">
      <alignment horizontal="center"/>
    </xf>
    <xf numFmtId="3" fontId="43" fillId="22" borderId="103" xfId="0" applyNumberFormat="1" applyFont="1" applyFill="1" applyBorder="1" applyAlignment="1">
      <alignment horizontal="center"/>
    </xf>
    <xf numFmtId="3" fontId="43" fillId="22" borderId="111" xfId="0" applyNumberFormat="1" applyFont="1" applyFill="1" applyBorder="1" applyAlignment="1">
      <alignment horizontal="right"/>
    </xf>
    <xf numFmtId="3" fontId="43" fillId="22" borderId="111" xfId="0" applyNumberFormat="1" applyFont="1" applyFill="1" applyBorder="1" applyAlignment="1" applyProtection="1">
      <alignment horizontal="right"/>
      <protection locked="0"/>
    </xf>
    <xf numFmtId="0" fontId="43" fillId="22" borderId="108" xfId="0" applyFont="1" applyFill="1" applyBorder="1"/>
    <xf numFmtId="3" fontId="43" fillId="22" borderId="108" xfId="0" applyNumberFormat="1" applyFont="1" applyFill="1" applyBorder="1"/>
    <xf numFmtId="3" fontId="43" fillId="22" borderId="0" xfId="0" applyNumberFormat="1" applyFont="1" applyFill="1"/>
    <xf numFmtId="3" fontId="43" fillId="22" borderId="109" xfId="0" applyNumberFormat="1" applyFont="1" applyFill="1" applyBorder="1"/>
    <xf numFmtId="3" fontId="43" fillId="22" borderId="108" xfId="0" applyNumberFormat="1" applyFont="1" applyFill="1" applyBorder="1" applyProtection="1">
      <protection locked="0"/>
    </xf>
    <xf numFmtId="3" fontId="43" fillId="22" borderId="109" xfId="0" applyNumberFormat="1" applyFont="1" applyFill="1" applyBorder="1" applyProtection="1">
      <protection locked="0"/>
    </xf>
    <xf numFmtId="0" fontId="44" fillId="22" borderId="107" xfId="0" applyFont="1" applyFill="1" applyBorder="1"/>
    <xf numFmtId="3" fontId="44" fillId="22" borderId="107" xfId="0" applyNumberFormat="1" applyFont="1" applyFill="1" applyBorder="1"/>
    <xf numFmtId="3" fontId="44" fillId="22" borderId="112" xfId="0" applyNumberFormat="1" applyFont="1" applyFill="1" applyBorder="1"/>
    <xf numFmtId="3" fontId="44" fillId="22" borderId="113" xfId="0" applyNumberFormat="1" applyFont="1" applyFill="1" applyBorder="1"/>
    <xf numFmtId="0" fontId="43" fillId="22" borderId="109" xfId="0" applyFont="1" applyFill="1" applyBorder="1"/>
    <xf numFmtId="0" fontId="44" fillId="22" borderId="114" xfId="0" applyFont="1" applyFill="1" applyBorder="1"/>
    <xf numFmtId="3" fontId="43" fillId="22" borderId="114" xfId="0" applyNumberFormat="1" applyFont="1" applyFill="1" applyBorder="1"/>
    <xf numFmtId="3" fontId="43" fillId="22" borderId="53" xfId="0" applyNumberFormat="1" applyFont="1" applyFill="1" applyBorder="1"/>
    <xf numFmtId="3" fontId="43" fillId="22" borderId="115" xfId="0" applyNumberFormat="1" applyFont="1" applyFill="1" applyBorder="1"/>
    <xf numFmtId="3" fontId="43" fillId="22" borderId="114" xfId="0" applyNumberFormat="1" applyFont="1" applyFill="1" applyBorder="1" applyProtection="1">
      <protection locked="0"/>
    </xf>
    <xf numFmtId="3" fontId="43" fillId="22" borderId="115" xfId="0" applyNumberFormat="1" applyFont="1" applyFill="1" applyBorder="1" applyProtection="1">
      <protection locked="0"/>
    </xf>
    <xf numFmtId="0" fontId="44" fillId="22" borderId="108" xfId="0" applyFont="1" applyFill="1" applyBorder="1"/>
    <xf numFmtId="3" fontId="43" fillId="22" borderId="107" xfId="0" applyNumberFormat="1" applyFont="1" applyFill="1" applyBorder="1"/>
    <xf numFmtId="3" fontId="43" fillId="22" borderId="112" xfId="0" applyNumberFormat="1" applyFont="1" applyFill="1" applyBorder="1"/>
    <xf numFmtId="3" fontId="43" fillId="22" borderId="113" xfId="0" applyNumberFormat="1" applyFont="1" applyFill="1" applyBorder="1"/>
    <xf numFmtId="0" fontId="44" fillId="22" borderId="110" xfId="0" applyFont="1" applyFill="1" applyBorder="1"/>
    <xf numFmtId="0" fontId="43" fillId="22" borderId="0" xfId="0" applyFont="1" applyFill="1"/>
    <xf numFmtId="37" fontId="43" fillId="22" borderId="109" xfId="0" applyNumberFormat="1" applyFont="1" applyFill="1" applyBorder="1"/>
    <xf numFmtId="0" fontId="44" fillId="23" borderId="116" xfId="0" applyFont="1" applyFill="1" applyBorder="1"/>
    <xf numFmtId="37" fontId="44" fillId="23" borderId="116" xfId="0" applyNumberFormat="1" applyFont="1" applyFill="1" applyBorder="1"/>
    <xf numFmtId="170" fontId="44" fillId="23" borderId="117" xfId="0" applyNumberFormat="1" applyFont="1" applyFill="1" applyBorder="1"/>
    <xf numFmtId="37" fontId="44" fillId="23" borderId="118" xfId="0" applyNumberFormat="1" applyFont="1" applyFill="1" applyBorder="1"/>
    <xf numFmtId="0" fontId="44" fillId="23" borderId="119" xfId="0" applyFont="1" applyFill="1" applyBorder="1"/>
    <xf numFmtId="0" fontId="44" fillId="23" borderId="120" xfId="0" applyFont="1" applyFill="1" applyBorder="1"/>
    <xf numFmtId="0" fontId="44" fillId="23" borderId="121" xfId="0" applyFont="1" applyFill="1" applyBorder="1"/>
    <xf numFmtId="0" fontId="44" fillId="24" borderId="108" xfId="0" applyFont="1" applyFill="1" applyBorder="1"/>
    <xf numFmtId="0" fontId="44" fillId="24" borderId="0" xfId="0" applyFont="1" applyFill="1"/>
    <xf numFmtId="0" fontId="44" fillId="24" borderId="109" xfId="0" applyFont="1" applyFill="1" applyBorder="1"/>
    <xf numFmtId="0" fontId="44" fillId="22" borderId="108" xfId="0" applyFont="1" applyFill="1" applyBorder="1" applyAlignment="1">
      <alignment horizontal="left"/>
    </xf>
    <xf numFmtId="0" fontId="43" fillId="22" borderId="0" xfId="0" applyFont="1" applyFill="1" applyAlignment="1">
      <alignment horizontal="center"/>
    </xf>
    <xf numFmtId="9" fontId="43" fillId="22" borderId="108" xfId="1" applyFont="1" applyFill="1" applyBorder="1"/>
    <xf numFmtId="37" fontId="43" fillId="22" borderId="0" xfId="0" applyNumberFormat="1" applyFont="1" applyFill="1"/>
    <xf numFmtId="37" fontId="43" fillId="22" borderId="109" xfId="0" applyNumberFormat="1" applyFont="1" applyFill="1" applyBorder="1" applyProtection="1">
      <protection locked="0"/>
    </xf>
    <xf numFmtId="9" fontId="43" fillId="22" borderId="110" xfId="1" applyFont="1" applyFill="1" applyBorder="1"/>
    <xf numFmtId="37" fontId="43" fillId="22" borderId="103" xfId="0" applyNumberFormat="1" applyFont="1" applyFill="1" applyBorder="1"/>
    <xf numFmtId="37" fontId="43" fillId="22" borderId="111" xfId="0" applyNumberFormat="1" applyFont="1" applyFill="1" applyBorder="1"/>
    <xf numFmtId="37" fontId="43" fillId="22" borderId="111" xfId="0" applyNumberFormat="1" applyFont="1" applyFill="1" applyBorder="1" applyProtection="1">
      <protection locked="0"/>
    </xf>
    <xf numFmtId="0" fontId="44" fillId="23" borderId="122" xfId="0" applyFont="1" applyFill="1" applyBorder="1"/>
    <xf numFmtId="0" fontId="44" fillId="23" borderId="122" xfId="0" applyFont="1" applyFill="1" applyBorder="1" applyAlignment="1">
      <alignment horizontal="center"/>
    </xf>
    <xf numFmtId="169" fontId="44" fillId="23" borderId="123" xfId="0" applyNumberFormat="1" applyFont="1" applyFill="1" applyBorder="1"/>
    <xf numFmtId="37" fontId="44" fillId="23" borderId="124" xfId="0" applyNumberFormat="1" applyFont="1" applyFill="1" applyBorder="1"/>
    <xf numFmtId="0" fontId="47" fillId="22" borderId="108" xfId="0" applyFont="1" applyFill="1" applyBorder="1"/>
    <xf numFmtId="0" fontId="47" fillId="22" borderId="110" xfId="0" applyFont="1" applyFill="1" applyBorder="1"/>
    <xf numFmtId="0" fontId="43" fillId="22" borderId="112" xfId="0" applyFont="1" applyFill="1" applyBorder="1"/>
    <xf numFmtId="37" fontId="43" fillId="22" borderId="113" xfId="0" applyNumberFormat="1" applyFont="1" applyFill="1" applyBorder="1"/>
    <xf numFmtId="37" fontId="43" fillId="22" borderId="113" xfId="0" applyNumberFormat="1" applyFont="1" applyFill="1" applyBorder="1" applyProtection="1">
      <protection locked="0"/>
    </xf>
    <xf numFmtId="0" fontId="47" fillId="24" borderId="108" xfId="0" applyFont="1" applyFill="1" applyBorder="1"/>
    <xf numFmtId="0" fontId="43" fillId="22" borderId="103" xfId="0" applyFont="1" applyFill="1" applyBorder="1"/>
    <xf numFmtId="0" fontId="43" fillId="22" borderId="114" xfId="0" applyFont="1" applyFill="1" applyBorder="1"/>
    <xf numFmtId="0" fontId="43" fillId="22" borderId="53" xfId="0" applyFont="1" applyFill="1" applyBorder="1"/>
    <xf numFmtId="37" fontId="43" fillId="22" borderId="115" xfId="0" applyNumberFormat="1" applyFont="1" applyFill="1" applyBorder="1"/>
    <xf numFmtId="37" fontId="43" fillId="22" borderId="115" xfId="0" applyNumberFormat="1" applyFont="1" applyFill="1" applyBorder="1" applyProtection="1">
      <protection locked="0"/>
    </xf>
    <xf numFmtId="0" fontId="44" fillId="23" borderId="125" xfId="0" applyFont="1" applyFill="1" applyBorder="1"/>
    <xf numFmtId="37" fontId="44" fillId="23" borderId="126" xfId="0" applyNumberFormat="1" applyFont="1" applyFill="1" applyBorder="1"/>
    <xf numFmtId="0" fontId="44" fillId="23" borderId="127" xfId="0" applyFont="1" applyFill="1" applyBorder="1"/>
    <xf numFmtId="0" fontId="44" fillId="23" borderId="128" xfId="0" applyFont="1" applyFill="1" applyBorder="1" applyAlignment="1">
      <alignment horizontal="center"/>
    </xf>
    <xf numFmtId="169" fontId="44" fillId="23" borderId="129" xfId="0" applyNumberFormat="1" applyFont="1" applyFill="1" applyBorder="1"/>
    <xf numFmtId="37" fontId="44" fillId="23" borderId="130" xfId="0" applyNumberFormat="1" applyFont="1" applyFill="1" applyBorder="1"/>
    <xf numFmtId="0" fontId="43" fillId="24" borderId="110" xfId="0" applyFont="1" applyFill="1" applyBorder="1"/>
    <xf numFmtId="0" fontId="43" fillId="24" borderId="103" xfId="0" applyFont="1" applyFill="1" applyBorder="1"/>
    <xf numFmtId="37" fontId="44" fillId="24" borderId="109" xfId="0" applyNumberFormat="1" applyFont="1" applyFill="1" applyBorder="1"/>
    <xf numFmtId="0" fontId="44" fillId="23" borderId="131" xfId="0" applyFont="1" applyFill="1" applyBorder="1"/>
    <xf numFmtId="0" fontId="43" fillId="23" borderId="131" xfId="0" applyFont="1" applyFill="1" applyBorder="1"/>
    <xf numFmtId="0" fontId="43" fillId="23" borderId="132" xfId="0" applyFont="1" applyFill="1" applyBorder="1"/>
    <xf numFmtId="37" fontId="44" fillId="23" borderId="133" xfId="0" applyNumberFormat="1" applyFont="1" applyFill="1" applyBorder="1"/>
    <xf numFmtId="0" fontId="56" fillId="22" borderId="0" xfId="0" applyFont="1" applyFill="1"/>
    <xf numFmtId="37" fontId="56" fillId="22" borderId="0" xfId="0" applyNumberFormat="1" applyFont="1" applyFill="1"/>
    <xf numFmtId="0" fontId="54" fillId="22" borderId="0" xfId="0" applyFont="1" applyFill="1"/>
    <xf numFmtId="0" fontId="53" fillId="22" borderId="0" xfId="0" applyFont="1" applyFill="1"/>
    <xf numFmtId="0" fontId="52" fillId="22" borderId="0" xfId="0" applyFont="1" applyFill="1"/>
    <xf numFmtId="168" fontId="54" fillId="22" borderId="0" xfId="0" applyNumberFormat="1" applyFont="1" applyFill="1" applyAlignment="1">
      <alignment horizontal="left"/>
    </xf>
    <xf numFmtId="0" fontId="43" fillId="22" borderId="108" xfId="0" applyFont="1" applyFill="1" applyBorder="1" applyAlignment="1">
      <alignment horizontal="center"/>
    </xf>
    <xf numFmtId="0" fontId="43" fillId="22" borderId="109" xfId="0" applyFont="1" applyFill="1" applyBorder="1" applyAlignment="1">
      <alignment horizontal="center"/>
    </xf>
    <xf numFmtId="3" fontId="43" fillId="22" borderId="111" xfId="0" applyNumberFormat="1" applyFont="1" applyFill="1" applyBorder="1" applyAlignment="1" applyProtection="1">
      <alignment horizontal="center"/>
      <protection locked="0"/>
    </xf>
    <xf numFmtId="3" fontId="43" fillId="22" borderId="110" xfId="0" applyNumberFormat="1" applyFont="1" applyFill="1" applyBorder="1"/>
    <xf numFmtId="3" fontId="43" fillId="22" borderId="103" xfId="0" applyNumberFormat="1" applyFont="1" applyFill="1" applyBorder="1"/>
    <xf numFmtId="3" fontId="43" fillId="22" borderId="111" xfId="0" applyNumberFormat="1" applyFont="1" applyFill="1" applyBorder="1"/>
    <xf numFmtId="0" fontId="44" fillId="22" borderId="0" xfId="0" applyFont="1" applyFill="1"/>
    <xf numFmtId="0" fontId="44" fillId="22" borderId="109" xfId="0" applyFont="1" applyFill="1" applyBorder="1"/>
    <xf numFmtId="169" fontId="43" fillId="22" borderId="108" xfId="1" applyNumberFormat="1" applyFont="1" applyFill="1" applyBorder="1"/>
    <xf numFmtId="0" fontId="43" fillId="22" borderId="108" xfId="0" applyFont="1" applyFill="1" applyBorder="1" applyAlignment="1">
      <alignment horizontal="right"/>
    </xf>
    <xf numFmtId="169" fontId="43" fillId="22" borderId="0" xfId="0" applyNumberFormat="1" applyFont="1" applyFill="1"/>
    <xf numFmtId="0" fontId="44" fillId="23" borderId="125" xfId="0" applyFont="1" applyFill="1" applyBorder="1" applyAlignment="1">
      <alignment horizontal="center"/>
    </xf>
    <xf numFmtId="169" fontId="44" fillId="23" borderId="134" xfId="0" applyNumberFormat="1" applyFont="1" applyFill="1" applyBorder="1"/>
    <xf numFmtId="0" fontId="44" fillId="23" borderId="132" xfId="0" applyFont="1" applyFill="1" applyBorder="1"/>
    <xf numFmtId="37" fontId="54" fillId="22" borderId="0" xfId="0" applyNumberFormat="1" applyFont="1" applyFill="1"/>
    <xf numFmtId="37" fontId="43" fillId="22" borderId="108" xfId="0" applyNumberFormat="1" applyFont="1" applyFill="1" applyBorder="1"/>
    <xf numFmtId="37" fontId="43" fillId="22" borderId="108" xfId="0" applyNumberFormat="1" applyFont="1" applyFill="1" applyBorder="1" applyProtection="1">
      <protection locked="0"/>
    </xf>
    <xf numFmtId="37" fontId="43" fillId="22" borderId="0" xfId="0" applyNumberFormat="1" applyFont="1" applyFill="1" applyProtection="1">
      <protection locked="0"/>
    </xf>
    <xf numFmtId="169" fontId="43" fillId="22" borderId="109" xfId="0" applyNumberFormat="1" applyFont="1" applyFill="1" applyBorder="1"/>
    <xf numFmtId="37" fontId="43" fillId="22" borderId="110" xfId="0" applyNumberFormat="1" applyFont="1" applyFill="1" applyBorder="1"/>
    <xf numFmtId="2" fontId="43" fillId="22" borderId="103" xfId="0" applyNumberFormat="1" applyFont="1" applyFill="1" applyBorder="1"/>
    <xf numFmtId="169" fontId="43" fillId="22" borderId="111" xfId="0" applyNumberFormat="1" applyFont="1" applyFill="1" applyBorder="1"/>
    <xf numFmtId="37" fontId="43" fillId="22" borderId="107" xfId="0" applyNumberFormat="1" applyFont="1" applyFill="1" applyBorder="1"/>
    <xf numFmtId="37" fontId="43" fillId="22" borderId="112" xfId="0" applyNumberFormat="1" applyFont="1" applyFill="1" applyBorder="1"/>
    <xf numFmtId="37" fontId="43" fillId="22" borderId="107" xfId="0" applyNumberFormat="1" applyFont="1" applyFill="1" applyBorder="1" applyProtection="1">
      <protection locked="0"/>
    </xf>
    <xf numFmtId="37" fontId="43" fillId="22" borderId="112" xfId="0" applyNumberFormat="1" applyFont="1" applyFill="1" applyBorder="1" applyProtection="1">
      <protection locked="0"/>
    </xf>
    <xf numFmtId="170" fontId="43" fillId="22" borderId="0" xfId="0" applyNumberFormat="1" applyFont="1" applyFill="1"/>
    <xf numFmtId="171" fontId="43" fillId="22" borderId="0" xfId="0" applyNumberFormat="1" applyFont="1" applyFill="1"/>
    <xf numFmtId="37" fontId="44" fillId="22" borderId="108" xfId="0" applyNumberFormat="1" applyFont="1" applyFill="1" applyBorder="1"/>
    <xf numFmtId="170" fontId="44" fillId="22" borderId="0" xfId="0" applyNumberFormat="1" applyFont="1" applyFill="1"/>
    <xf numFmtId="37" fontId="44" fillId="22" borderId="110" xfId="0" applyNumberFormat="1" applyFont="1" applyFill="1" applyBorder="1"/>
    <xf numFmtId="171" fontId="43" fillId="22" borderId="103" xfId="0" applyNumberFormat="1" applyFont="1" applyFill="1" applyBorder="1"/>
    <xf numFmtId="0" fontId="44" fillId="24" borderId="116" xfId="0" applyFont="1" applyFill="1" applyBorder="1"/>
    <xf numFmtId="37" fontId="44" fillId="24" borderId="116" xfId="0" applyNumberFormat="1" applyFont="1" applyFill="1" applyBorder="1"/>
    <xf numFmtId="37" fontId="44" fillId="24" borderId="117" xfId="0" applyNumberFormat="1" applyFont="1" applyFill="1" applyBorder="1"/>
    <xf numFmtId="37" fontId="44" fillId="24" borderId="118" xfId="0" applyNumberFormat="1" applyFont="1" applyFill="1" applyBorder="1"/>
    <xf numFmtId="0" fontId="44" fillId="24" borderId="110" xfId="0" applyFont="1" applyFill="1" applyBorder="1"/>
    <xf numFmtId="37" fontId="44" fillId="24" borderId="110" xfId="0" applyNumberFormat="1" applyFont="1" applyFill="1" applyBorder="1"/>
    <xf numFmtId="39" fontId="44" fillId="24" borderId="103" xfId="0" applyNumberFormat="1" applyFont="1" applyFill="1" applyBorder="1"/>
    <xf numFmtId="169" fontId="44" fillId="22" borderId="109" xfId="0" applyNumberFormat="1" applyFont="1" applyFill="1" applyBorder="1"/>
    <xf numFmtId="0" fontId="44" fillId="24" borderId="107" xfId="0" applyFont="1" applyFill="1" applyBorder="1"/>
    <xf numFmtId="37" fontId="43" fillId="22" borderId="135" xfId="0" applyNumberFormat="1" applyFont="1" applyFill="1" applyBorder="1"/>
    <xf numFmtId="0" fontId="43" fillId="24" borderId="108" xfId="0" applyFont="1" applyFill="1" applyBorder="1"/>
    <xf numFmtId="170" fontId="43" fillId="22" borderId="0" xfId="0" applyNumberFormat="1" applyFont="1" applyFill="1" applyProtection="1">
      <protection locked="0"/>
    </xf>
    <xf numFmtId="0" fontId="43" fillId="24" borderId="136" xfId="0" applyFont="1" applyFill="1" applyBorder="1"/>
    <xf numFmtId="170" fontId="43" fillId="22" borderId="112" xfId="0" applyNumberFormat="1" applyFont="1" applyFill="1" applyBorder="1"/>
    <xf numFmtId="170" fontId="43" fillId="22" borderId="112" xfId="0" applyNumberFormat="1" applyFont="1" applyFill="1" applyBorder="1" applyProtection="1">
      <protection locked="0"/>
    </xf>
    <xf numFmtId="170" fontId="43" fillId="22" borderId="103" xfId="0" applyNumberFormat="1" applyFont="1" applyFill="1" applyBorder="1"/>
    <xf numFmtId="37" fontId="44" fillId="24" borderId="107" xfId="0" applyNumberFormat="1" applyFont="1" applyFill="1" applyBorder="1"/>
    <xf numFmtId="170" fontId="44" fillId="24" borderId="112" xfId="0" applyNumberFormat="1" applyFont="1" applyFill="1" applyBorder="1"/>
    <xf numFmtId="37" fontId="44" fillId="24" borderId="113" xfId="0" applyNumberFormat="1" applyFont="1" applyFill="1" applyBorder="1"/>
    <xf numFmtId="37" fontId="44" fillId="23" borderId="117" xfId="0" applyNumberFormat="1" applyFont="1" applyFill="1" applyBorder="1"/>
    <xf numFmtId="169" fontId="44" fillId="23" borderId="121" xfId="0" applyNumberFormat="1" applyFont="1" applyFill="1" applyBorder="1"/>
    <xf numFmtId="169" fontId="44" fillId="24" borderId="109" xfId="0" applyNumberFormat="1" applyFont="1" applyFill="1" applyBorder="1"/>
    <xf numFmtId="0" fontId="47" fillId="22" borderId="107" xfId="0" applyFont="1" applyFill="1" applyBorder="1"/>
    <xf numFmtId="0" fontId="47" fillId="22" borderId="136" xfId="0" applyFont="1" applyFill="1" applyBorder="1"/>
    <xf numFmtId="0" fontId="44" fillId="23" borderId="137" xfId="0" applyFont="1" applyFill="1" applyBorder="1"/>
    <xf numFmtId="37" fontId="44" fillId="22" borderId="107" xfId="0" applyNumberFormat="1" applyFont="1" applyFill="1" applyBorder="1"/>
    <xf numFmtId="169" fontId="44" fillId="22" borderId="112" xfId="0" applyNumberFormat="1" applyFont="1" applyFill="1" applyBorder="1"/>
    <xf numFmtId="37" fontId="44" fillId="22" borderId="113" xfId="0" applyNumberFormat="1" applyFont="1" applyFill="1" applyBorder="1"/>
    <xf numFmtId="0" fontId="43" fillId="22" borderId="111" xfId="0" applyFont="1" applyFill="1" applyBorder="1"/>
    <xf numFmtId="37" fontId="43" fillId="22" borderId="114" xfId="0" applyNumberFormat="1" applyFont="1" applyFill="1" applyBorder="1"/>
    <xf numFmtId="169" fontId="43" fillId="22" borderId="53" xfId="0" applyNumberFormat="1" applyFont="1" applyFill="1" applyBorder="1"/>
    <xf numFmtId="37" fontId="43" fillId="22" borderId="114" xfId="0" applyNumberFormat="1" applyFont="1" applyFill="1" applyBorder="1" applyProtection="1">
      <protection locked="0"/>
    </xf>
    <xf numFmtId="169" fontId="44" fillId="23" borderId="117" xfId="0" applyNumberFormat="1" applyFont="1" applyFill="1" applyBorder="1"/>
    <xf numFmtId="0" fontId="44" fillId="23" borderId="138" xfId="0" applyFont="1" applyFill="1" applyBorder="1"/>
    <xf numFmtId="37" fontId="44" fillId="23" borderId="138" xfId="0" applyNumberFormat="1" applyFont="1" applyFill="1" applyBorder="1"/>
    <xf numFmtId="170" fontId="44" fillId="23" borderId="139" xfId="0" applyNumberFormat="1" applyFont="1" applyFill="1" applyBorder="1"/>
    <xf numFmtId="37" fontId="44" fillId="23" borderId="140" xfId="0" applyNumberFormat="1" applyFont="1" applyFill="1" applyBorder="1"/>
    <xf numFmtId="37" fontId="44" fillId="24" borderId="108" xfId="0" applyNumberFormat="1" applyFont="1" applyFill="1" applyBorder="1"/>
    <xf numFmtId="170" fontId="44" fillId="24" borderId="0" xfId="0" applyNumberFormat="1" applyFont="1" applyFill="1"/>
    <xf numFmtId="37" fontId="44" fillId="22" borderId="0" xfId="0" applyNumberFormat="1" applyFont="1" applyFill="1"/>
    <xf numFmtId="0" fontId="44" fillId="23" borderId="141" xfId="0" applyFont="1" applyFill="1" applyBorder="1"/>
    <xf numFmtId="0" fontId="43" fillId="23" borderId="141" xfId="0" applyFont="1" applyFill="1" applyBorder="1"/>
    <xf numFmtId="0" fontId="43" fillId="23" borderId="142" xfId="0" applyFont="1" applyFill="1" applyBorder="1"/>
    <xf numFmtId="37" fontId="44" fillId="23" borderId="143" xfId="0" applyNumberFormat="1" applyFont="1" applyFill="1" applyBorder="1"/>
    <xf numFmtId="0" fontId="59" fillId="22" borderId="1" xfId="0" applyFont="1" applyFill="1" applyBorder="1" applyAlignment="1">
      <alignment horizontal="center" vertical="center"/>
    </xf>
    <xf numFmtId="0" fontId="54" fillId="22" borderId="1" xfId="0" applyFont="1" applyFill="1" applyBorder="1" applyAlignment="1">
      <alignment horizontal="center"/>
    </xf>
    <xf numFmtId="0" fontId="54" fillId="22" borderId="120" xfId="0" applyFont="1" applyFill="1" applyBorder="1" applyAlignment="1">
      <alignment horizontal="center"/>
    </xf>
    <xf numFmtId="0" fontId="44" fillId="22" borderId="144" xfId="0" applyFont="1" applyFill="1" applyBorder="1" applyAlignment="1">
      <alignment horizontal="center"/>
    </xf>
    <xf numFmtId="0" fontId="43" fillId="22" borderId="145" xfId="0" applyFont="1" applyFill="1" applyBorder="1"/>
    <xf numFmtId="0" fontId="43" fillId="22" borderId="145" xfId="0" applyFont="1" applyFill="1" applyBorder="1" applyAlignment="1">
      <alignment horizontal="center"/>
    </xf>
    <xf numFmtId="0" fontId="43" fillId="22" borderId="103" xfId="0" applyFont="1" applyFill="1" applyBorder="1" applyAlignment="1">
      <alignment horizontal="center"/>
    </xf>
    <xf numFmtId="0" fontId="43" fillId="22" borderId="146" xfId="0" applyFont="1" applyFill="1" applyBorder="1" applyAlignment="1">
      <alignment horizontal="center"/>
    </xf>
    <xf numFmtId="0" fontId="47" fillId="22" borderId="145" xfId="0" applyFont="1" applyFill="1" applyBorder="1"/>
    <xf numFmtId="37" fontId="47" fillId="22" borderId="145" xfId="0" applyNumberFormat="1" applyFont="1" applyFill="1" applyBorder="1"/>
    <xf numFmtId="37" fontId="47" fillId="22" borderId="103" xfId="0" applyNumberFormat="1" applyFont="1" applyFill="1" applyBorder="1"/>
    <xf numFmtId="37" fontId="47" fillId="22" borderId="146" xfId="0" applyNumberFormat="1" applyFont="1" applyFill="1" applyBorder="1"/>
    <xf numFmtId="0" fontId="59" fillId="23" borderId="145" xfId="0" applyFont="1" applyFill="1" applyBorder="1"/>
    <xf numFmtId="37" fontId="59" fillId="23" borderId="145" xfId="0" applyNumberFormat="1" applyFont="1" applyFill="1" applyBorder="1"/>
    <xf numFmtId="37" fontId="59" fillId="23" borderId="103" xfId="0" applyNumberFormat="1" applyFont="1" applyFill="1" applyBorder="1"/>
    <xf numFmtId="37" fontId="59" fillId="23" borderId="146" xfId="0" applyNumberFormat="1" applyFont="1" applyFill="1" applyBorder="1"/>
    <xf numFmtId="0" fontId="59" fillId="22" borderId="70" xfId="0" applyFont="1" applyFill="1" applyBorder="1"/>
    <xf numFmtId="37" fontId="47" fillId="22" borderId="70" xfId="0" applyNumberFormat="1" applyFont="1" applyFill="1" applyBorder="1"/>
    <xf numFmtId="0" fontId="47" fillId="22" borderId="1" xfId="0" applyFont="1" applyFill="1" applyBorder="1"/>
    <xf numFmtId="37" fontId="47" fillId="22" borderId="55" xfId="0" applyNumberFormat="1" applyFont="1" applyFill="1" applyBorder="1"/>
    <xf numFmtId="0" fontId="47" fillId="22" borderId="70" xfId="0" applyFont="1" applyFill="1" applyBorder="1"/>
    <xf numFmtId="169" fontId="47" fillId="22" borderId="70" xfId="1" applyNumberFormat="1" applyFont="1" applyFill="1" applyBorder="1"/>
    <xf numFmtId="170" fontId="47" fillId="22" borderId="1" xfId="0" applyNumberFormat="1" applyFont="1" applyFill="1" applyBorder="1"/>
    <xf numFmtId="169" fontId="47" fillId="22" borderId="145" xfId="1" applyNumberFormat="1" applyFont="1" applyFill="1" applyBorder="1"/>
    <xf numFmtId="170" fontId="47" fillId="22" borderId="103" xfId="0" applyNumberFormat="1" applyFont="1" applyFill="1" applyBorder="1"/>
    <xf numFmtId="0" fontId="43" fillId="22" borderId="70" xfId="0" applyFont="1" applyFill="1" applyBorder="1"/>
    <xf numFmtId="0" fontId="59" fillId="23" borderId="147" xfId="0" applyFont="1" applyFill="1" applyBorder="1"/>
    <xf numFmtId="169" fontId="59" fillId="23" borderId="147" xfId="0" applyNumberFormat="1" applyFont="1" applyFill="1" applyBorder="1"/>
    <xf numFmtId="0" fontId="59" fillId="23" borderId="123" xfId="0" applyFont="1" applyFill="1" applyBorder="1"/>
    <xf numFmtId="37" fontId="59" fillId="23" borderId="148" xfId="0" applyNumberFormat="1" applyFont="1" applyFill="1" applyBorder="1"/>
    <xf numFmtId="37" fontId="47" fillId="22" borderId="55" xfId="0" applyNumberFormat="1" applyFont="1" applyFill="1" applyBorder="1" applyProtection="1">
      <protection locked="0"/>
    </xf>
    <xf numFmtId="0" fontId="47" fillId="24" borderId="70" xfId="0" applyFont="1" applyFill="1" applyBorder="1"/>
    <xf numFmtId="170" fontId="59" fillId="23" borderId="123" xfId="0" applyNumberFormat="1" applyFont="1" applyFill="1" applyBorder="1"/>
    <xf numFmtId="0" fontId="47" fillId="22" borderId="149" xfId="0" applyFont="1" applyFill="1" applyBorder="1"/>
    <xf numFmtId="170" fontId="47" fillId="22" borderId="112" xfId="0" applyNumberFormat="1" applyFont="1" applyFill="1" applyBorder="1"/>
    <xf numFmtId="37" fontId="47" fillId="22" borderId="150" xfId="0" applyNumberFormat="1" applyFont="1" applyFill="1" applyBorder="1"/>
    <xf numFmtId="37" fontId="47" fillId="22" borderId="146" xfId="0" applyNumberFormat="1" applyFont="1" applyFill="1" applyBorder="1" applyProtection="1">
      <protection locked="0"/>
    </xf>
    <xf numFmtId="0" fontId="47" fillId="22" borderId="55" xfId="0" applyFont="1" applyFill="1" applyBorder="1"/>
    <xf numFmtId="169" fontId="59" fillId="22" borderId="149" xfId="0" applyNumberFormat="1" applyFont="1" applyFill="1" applyBorder="1"/>
    <xf numFmtId="0" fontId="59" fillId="22" borderId="112" xfId="0" applyFont="1" applyFill="1" applyBorder="1"/>
    <xf numFmtId="37" fontId="47" fillId="24" borderId="150" xfId="0" applyNumberFormat="1" applyFont="1" applyFill="1" applyBorder="1"/>
    <xf numFmtId="169" fontId="59" fillId="22" borderId="70" xfId="0" applyNumberFormat="1" applyFont="1" applyFill="1" applyBorder="1"/>
    <xf numFmtId="0" fontId="59" fillId="22" borderId="1" xfId="0" applyFont="1" applyFill="1" applyBorder="1"/>
    <xf numFmtId="169" fontId="59" fillId="22" borderId="145" xfId="0" applyNumberFormat="1" applyFont="1" applyFill="1" applyBorder="1"/>
    <xf numFmtId="0" fontId="47" fillId="23" borderId="123" xfId="0" applyFont="1" applyFill="1" applyBorder="1"/>
    <xf numFmtId="0" fontId="59" fillId="24" borderId="149" xfId="0" applyFont="1" applyFill="1" applyBorder="1"/>
    <xf numFmtId="0" fontId="47" fillId="24" borderId="112" xfId="0" applyFont="1" applyFill="1" applyBorder="1"/>
    <xf numFmtId="0" fontId="59" fillId="23" borderId="151" xfId="0" applyFont="1" applyFill="1" applyBorder="1"/>
    <xf numFmtId="0" fontId="59" fillId="23" borderId="151" xfId="0" applyFont="1" applyFill="1" applyBorder="1" applyAlignment="1">
      <alignment horizontal="center"/>
    </xf>
    <xf numFmtId="169" fontId="59" fillId="23" borderId="152" xfId="0" applyNumberFormat="1" applyFont="1" applyFill="1" applyBorder="1"/>
    <xf numFmtId="37" fontId="59" fillId="23" borderId="153" xfId="0" applyNumberFormat="1" applyFont="1" applyFill="1" applyBorder="1"/>
    <xf numFmtId="0" fontId="59" fillId="23" borderId="154" xfId="0" applyFont="1" applyFill="1" applyBorder="1" applyAlignment="1">
      <alignment horizontal="center"/>
    </xf>
    <xf numFmtId="169" fontId="59" fillId="23" borderId="142" xfId="0" applyNumberFormat="1" applyFont="1" applyFill="1" applyBorder="1"/>
    <xf numFmtId="37" fontId="59" fillId="23" borderId="155" xfId="0" applyNumberFormat="1" applyFont="1" applyFill="1" applyBorder="1"/>
    <xf numFmtId="39" fontId="47" fillId="22" borderId="0" xfId="0" applyNumberFormat="1" applyFont="1" applyFill="1"/>
    <xf numFmtId="0" fontId="59" fillId="23" borderId="156" xfId="0" applyFont="1" applyFill="1" applyBorder="1"/>
    <xf numFmtId="0" fontId="59" fillId="23" borderId="158" xfId="0" applyFont="1" applyFill="1" applyBorder="1" applyAlignment="1">
      <alignment horizontal="center"/>
    </xf>
    <xf numFmtId="169" fontId="59" fillId="23" borderId="157" xfId="0" applyNumberFormat="1" applyFont="1" applyFill="1" applyBorder="1"/>
    <xf numFmtId="37" fontId="59" fillId="23" borderId="159" xfId="0" applyNumberFormat="1" applyFont="1" applyFill="1" applyBorder="1"/>
    <xf numFmtId="0" fontId="58" fillId="22" borderId="160" xfId="0" applyFont="1" applyFill="1" applyBorder="1"/>
    <xf numFmtId="0" fontId="58" fillId="22" borderId="70" xfId="0" applyFont="1" applyFill="1" applyBorder="1"/>
    <xf numFmtId="0" fontId="58" fillId="22" borderId="1" xfId="0" applyFont="1" applyFill="1" applyBorder="1"/>
    <xf numFmtId="0" fontId="58" fillId="22" borderId="55" xfId="0" applyFont="1" applyFill="1" applyBorder="1"/>
    <xf numFmtId="0" fontId="47" fillId="22" borderId="160" xfId="0" applyFont="1" applyFill="1" applyBorder="1"/>
    <xf numFmtId="0" fontId="54" fillId="22" borderId="70" xfId="0" applyFont="1" applyFill="1" applyBorder="1"/>
    <xf numFmtId="0" fontId="43" fillId="22" borderId="1" xfId="0" applyFont="1" applyFill="1" applyBorder="1"/>
    <xf numFmtId="0" fontId="44" fillId="22" borderId="70" xfId="0" applyFont="1" applyFill="1" applyBorder="1"/>
    <xf numFmtId="0" fontId="44" fillId="22" borderId="1" xfId="0" applyFont="1" applyFill="1" applyBorder="1"/>
    <xf numFmtId="0" fontId="43" fillId="22" borderId="160" xfId="0" applyFont="1" applyFill="1" applyBorder="1"/>
    <xf numFmtId="0" fontId="43" fillId="22" borderId="162" xfId="0" applyFont="1" applyFill="1" applyBorder="1"/>
    <xf numFmtId="0" fontId="59" fillId="23" borderId="163" xfId="0" applyFont="1" applyFill="1" applyBorder="1"/>
    <xf numFmtId="0" fontId="59" fillId="23" borderId="165" xfId="0" applyFont="1" applyFill="1" applyBorder="1" applyAlignment="1">
      <alignment horizontal="center"/>
    </xf>
    <xf numFmtId="169" fontId="59" fillId="23" borderId="164" xfId="0" applyNumberFormat="1" applyFont="1" applyFill="1" applyBorder="1"/>
    <xf numFmtId="37" fontId="59" fillId="23" borderId="166" xfId="0" applyNumberFormat="1" applyFont="1" applyFill="1" applyBorder="1"/>
    <xf numFmtId="167" fontId="59" fillId="23" borderId="123" xfId="5" applyNumberFormat="1" applyFont="1" applyFill="1" applyBorder="1"/>
    <xf numFmtId="0" fontId="59" fillId="23" borderId="157" xfId="0" applyFont="1" applyFill="1" applyBorder="1" applyAlignment="1">
      <alignment horizontal="center"/>
    </xf>
    <xf numFmtId="37" fontId="59" fillId="23" borderId="157" xfId="0" applyNumberFormat="1" applyFont="1" applyFill="1" applyBorder="1"/>
    <xf numFmtId="37" fontId="47" fillId="22" borderId="1" xfId="0" applyNumberFormat="1" applyFont="1" applyFill="1" applyBorder="1"/>
    <xf numFmtId="0" fontId="54" fillId="22" borderId="1" xfId="0" applyFont="1" applyFill="1" applyBorder="1"/>
    <xf numFmtId="0" fontId="59" fillId="23" borderId="164" xfId="0" applyFont="1" applyFill="1" applyBorder="1" applyAlignment="1">
      <alignment horizontal="center"/>
    </xf>
    <xf numFmtId="37" fontId="59" fillId="23" borderId="164" xfId="0" applyNumberFormat="1" applyFont="1" applyFill="1" applyBorder="1"/>
    <xf numFmtId="49" fontId="73" fillId="13" borderId="1" xfId="6" applyNumberFormat="1" applyFont="1" applyFill="1" applyAlignment="1">
      <alignment horizontal="left" vertical="center"/>
    </xf>
    <xf numFmtId="174" fontId="73" fillId="13" borderId="1" xfId="6" applyNumberFormat="1" applyFont="1" applyFill="1" applyAlignment="1">
      <alignment horizontal="right" vertical="center"/>
    </xf>
    <xf numFmtId="49" fontId="4" fillId="13" borderId="1" xfId="6" applyNumberFormat="1" applyFill="1" applyAlignment="1">
      <alignment horizontal="left" vertical="center"/>
    </xf>
    <xf numFmtId="174" fontId="4" fillId="13" borderId="1" xfId="6" applyNumberFormat="1" applyFill="1" applyAlignment="1">
      <alignment horizontal="right" vertical="center"/>
    </xf>
    <xf numFmtId="0" fontId="4" fillId="13" borderId="1" xfId="6" applyFill="1"/>
    <xf numFmtId="0" fontId="0" fillId="13" borderId="0" xfId="0" applyFont="1" applyFill="1" applyAlignment="1"/>
    <xf numFmtId="49" fontId="40" fillId="10" borderId="47" xfId="0" applyNumberFormat="1" applyFont="1" applyFill="1" applyBorder="1" applyAlignment="1">
      <alignment horizontal="left" vertical="top"/>
    </xf>
    <xf numFmtId="49" fontId="40" fillId="10" borderId="44" xfId="0" applyNumberFormat="1" applyFont="1" applyFill="1" applyBorder="1" applyAlignment="1">
      <alignment horizontal="left" vertical="top"/>
    </xf>
    <xf numFmtId="1" fontId="40" fillId="14" borderId="47" xfId="0" applyNumberFormat="1" applyFont="1" applyFill="1" applyBorder="1" applyAlignment="1">
      <alignment horizontal="left" vertical="top"/>
    </xf>
    <xf numFmtId="49" fontId="40" fillId="10" borderId="1" xfId="0" applyNumberFormat="1" applyFont="1" applyFill="1" applyBorder="1" applyAlignment="1">
      <alignment horizontal="left" vertical="top"/>
    </xf>
    <xf numFmtId="0" fontId="40" fillId="10" borderId="45" xfId="0" applyFont="1" applyFill="1" applyBorder="1" applyAlignment="1">
      <alignment horizontal="left" vertical="top"/>
    </xf>
    <xf numFmtId="0" fontId="39" fillId="10" borderId="0" xfId="0" applyFont="1" applyFill="1" applyAlignment="1">
      <alignment horizontal="left" vertical="top"/>
    </xf>
    <xf numFmtId="0" fontId="37" fillId="25" borderId="0" xfId="0" applyFont="1" applyFill="1" applyAlignment="1">
      <alignment horizontal="left" vertical="top"/>
    </xf>
    <xf numFmtId="0" fontId="39" fillId="10" borderId="44" xfId="0" applyFont="1" applyFill="1" applyBorder="1" applyAlignment="1">
      <alignment horizontal="left" vertical="top"/>
    </xf>
    <xf numFmtId="0" fontId="39" fillId="10" borderId="1" xfId="0" applyFont="1" applyFill="1" applyBorder="1" applyAlignment="1">
      <alignment horizontal="left" vertical="top"/>
    </xf>
    <xf numFmtId="0" fontId="39" fillId="10" borderId="48" xfId="0" applyFont="1" applyFill="1" applyBorder="1" applyAlignment="1">
      <alignment horizontal="left" vertical="top"/>
    </xf>
    <xf numFmtId="0" fontId="39" fillId="10" borderId="46" xfId="0" applyFont="1" applyFill="1" applyBorder="1" applyAlignment="1">
      <alignment horizontal="left" vertical="top"/>
    </xf>
    <xf numFmtId="39" fontId="39" fillId="10" borderId="46" xfId="0" applyNumberFormat="1" applyFont="1" applyFill="1" applyBorder="1" applyAlignment="1">
      <alignment horizontal="left" vertical="top"/>
    </xf>
    <xf numFmtId="0" fontId="40" fillId="10" borderId="44" xfId="0" applyFont="1" applyFill="1" applyBorder="1" applyAlignment="1">
      <alignment horizontal="left" vertical="top"/>
    </xf>
    <xf numFmtId="0" fontId="41" fillId="10" borderId="47" xfId="0" applyFont="1" applyFill="1" applyBorder="1" applyAlignment="1">
      <alignment horizontal="left" vertical="top"/>
    </xf>
    <xf numFmtId="0" fontId="40" fillId="10" borderId="0" xfId="0" applyFont="1" applyFill="1" applyAlignment="1">
      <alignment horizontal="left" vertical="top"/>
    </xf>
    <xf numFmtId="0" fontId="7" fillId="0" borderId="0" xfId="0" applyFont="1" applyFill="1"/>
    <xf numFmtId="0" fontId="7" fillId="0" borderId="0" xfId="0" applyFont="1" applyFill="1" applyAlignment="1">
      <alignment horizontal="center"/>
    </xf>
    <xf numFmtId="165" fontId="8" fillId="0" borderId="1" xfId="0" applyNumberFormat="1" applyFont="1" applyFill="1" applyBorder="1" applyAlignment="1">
      <alignment horizontal="center"/>
    </xf>
    <xf numFmtId="0" fontId="0" fillId="0" borderId="0" xfId="0"/>
    <xf numFmtId="0" fontId="3" fillId="13" borderId="1" xfId="7" applyFill="1"/>
    <xf numFmtId="174" fontId="3" fillId="13" borderId="1" xfId="7" applyNumberFormat="1" applyFill="1" applyAlignment="1">
      <alignment horizontal="right" vertical="center"/>
    </xf>
    <xf numFmtId="49" fontId="8" fillId="13" borderId="1" xfId="0" applyNumberFormat="1" applyFont="1" applyFill="1" applyBorder="1" applyAlignment="1">
      <alignment horizontal="left" vertical="center"/>
    </xf>
    <xf numFmtId="0" fontId="8" fillId="13" borderId="1" xfId="0" applyFont="1" applyFill="1" applyBorder="1" applyAlignment="1">
      <alignment horizontal="left" vertical="top"/>
    </xf>
    <xf numFmtId="0" fontId="8" fillId="13" borderId="1" xfId="0" applyFont="1" applyFill="1" applyBorder="1"/>
    <xf numFmtId="172" fontId="8" fillId="13" borderId="1" xfId="0" applyNumberFormat="1" applyFont="1" applyFill="1" applyBorder="1" applyAlignment="1">
      <alignment horizontal="right" vertical="center"/>
    </xf>
    <xf numFmtId="169" fontId="18" fillId="0" borderId="12" xfId="1" applyNumberFormat="1" applyFont="1" applyBorder="1"/>
    <xf numFmtId="169" fontId="18" fillId="0" borderId="13" xfId="1" applyNumberFormat="1" applyFont="1" applyBorder="1"/>
    <xf numFmtId="3" fontId="17" fillId="0" borderId="0" xfId="0" applyNumberFormat="1" applyFont="1" applyFill="1"/>
    <xf numFmtId="3" fontId="18" fillId="0" borderId="0" xfId="0" applyNumberFormat="1" applyFont="1" applyFill="1"/>
    <xf numFmtId="167" fontId="18" fillId="0" borderId="15" xfId="5" applyNumberFormat="1" applyFont="1" applyBorder="1"/>
    <xf numFmtId="6" fontId="18" fillId="0" borderId="0" xfId="0" applyNumberFormat="1" applyFont="1" applyFill="1"/>
    <xf numFmtId="10" fontId="0" fillId="0" borderId="0" xfId="0" applyNumberFormat="1"/>
    <xf numFmtId="0" fontId="74" fillId="0" borderId="0" xfId="0" applyFont="1"/>
    <xf numFmtId="10" fontId="74" fillId="0" borderId="0" xfId="0" applyNumberFormat="1" applyFont="1"/>
    <xf numFmtId="3" fontId="43" fillId="0" borderId="15" xfId="0" applyNumberFormat="1" applyFont="1" applyFill="1" applyBorder="1"/>
    <xf numFmtId="169" fontId="19" fillId="0" borderId="1" xfId="0" applyNumberFormat="1" applyFont="1" applyFill="1" applyBorder="1"/>
    <xf numFmtId="0" fontId="19" fillId="0" borderId="88" xfId="0" applyFont="1" applyBorder="1" applyAlignment="1">
      <alignment horizontal="center" vertical="center"/>
    </xf>
    <xf numFmtId="0" fontId="70" fillId="27" borderId="170" xfId="3" applyFont="1" applyFill="1" applyBorder="1" applyAlignment="1">
      <alignment horizontal="center"/>
    </xf>
    <xf numFmtId="0" fontId="70" fillId="27" borderId="177" xfId="3" applyFont="1" applyFill="1" applyBorder="1" applyAlignment="1">
      <alignment horizontal="center"/>
    </xf>
    <xf numFmtId="0" fontId="70" fillId="27" borderId="127" xfId="3" applyFont="1" applyFill="1" applyBorder="1" applyAlignment="1">
      <alignment horizontal="center"/>
    </xf>
    <xf numFmtId="0" fontId="70" fillId="27" borderId="178" xfId="3" applyFont="1" applyFill="1" applyBorder="1" applyAlignment="1">
      <alignment horizontal="center"/>
    </xf>
    <xf numFmtId="0" fontId="70" fillId="27" borderId="171" xfId="3" applyFont="1" applyFill="1" applyBorder="1" applyAlignment="1">
      <alignment horizontal="center"/>
    </xf>
    <xf numFmtId="0" fontId="5" fillId="0" borderId="172" xfId="3" applyBorder="1" applyAlignment="1">
      <alignment horizontal="left"/>
    </xf>
    <xf numFmtId="165" fontId="5" fillId="0" borderId="200" xfId="3" applyNumberFormat="1" applyBorder="1" applyAlignment="1">
      <alignment horizontal="center"/>
    </xf>
    <xf numFmtId="165" fontId="5" fillId="0" borderId="184" xfId="3" applyNumberFormat="1" applyBorder="1" applyAlignment="1">
      <alignment horizontal="center"/>
    </xf>
    <xf numFmtId="165" fontId="5" fillId="0" borderId="201" xfId="3" applyNumberFormat="1" applyBorder="1" applyAlignment="1">
      <alignment horizontal="center"/>
    </xf>
    <xf numFmtId="2" fontId="5" fillId="0" borderId="161" xfId="3" applyNumberFormat="1" applyBorder="1" applyAlignment="1">
      <alignment horizontal="center"/>
    </xf>
    <xf numFmtId="2" fontId="5" fillId="0" borderId="181" xfId="3" applyNumberFormat="1" applyBorder="1" applyAlignment="1">
      <alignment horizontal="center"/>
    </xf>
    <xf numFmtId="2" fontId="5" fillId="0" borderId="173" xfId="3" applyNumberFormat="1" applyBorder="1" applyAlignment="1">
      <alignment horizontal="center"/>
    </xf>
    <xf numFmtId="165" fontId="5" fillId="0" borderId="161" xfId="3" applyNumberFormat="1" applyBorder="1" applyAlignment="1">
      <alignment horizontal="center"/>
    </xf>
    <xf numFmtId="165" fontId="5" fillId="0" borderId="181" xfId="3" applyNumberFormat="1" applyBorder="1" applyAlignment="1">
      <alignment horizontal="center"/>
    </xf>
    <xf numFmtId="165" fontId="5" fillId="0" borderId="173" xfId="3" applyNumberFormat="1" applyBorder="1" applyAlignment="1">
      <alignment horizontal="center"/>
    </xf>
    <xf numFmtId="0" fontId="5" fillId="0" borderId="174" xfId="3" applyBorder="1" applyAlignment="1">
      <alignment horizontal="left"/>
    </xf>
    <xf numFmtId="2" fontId="5" fillId="0" borderId="175" xfId="3" applyNumberFormat="1" applyBorder="1" applyAlignment="1">
      <alignment horizontal="center"/>
    </xf>
    <xf numFmtId="2" fontId="5" fillId="0" borderId="187" xfId="3" applyNumberFormat="1" applyBorder="1" applyAlignment="1">
      <alignment horizontal="center"/>
    </xf>
    <xf numFmtId="2" fontId="5" fillId="0" borderId="176" xfId="3" applyNumberFormat="1" applyBorder="1" applyAlignment="1">
      <alignment horizontal="center"/>
    </xf>
    <xf numFmtId="0" fontId="70" fillId="0" borderId="1" xfId="3" applyFont="1"/>
    <xf numFmtId="0" fontId="8" fillId="10" borderId="0" xfId="0" applyFont="1" applyFill="1" applyAlignment="1">
      <alignment horizontal="center"/>
    </xf>
    <xf numFmtId="0" fontId="8" fillId="10" borderId="0" xfId="0" applyFont="1" applyFill="1"/>
    <xf numFmtId="0" fontId="8" fillId="10" borderId="0" xfId="0" applyNumberFormat="1" applyFont="1" applyFill="1" applyAlignment="1">
      <alignment horizontal="center"/>
    </xf>
    <xf numFmtId="0" fontId="42" fillId="10" borderId="0" xfId="0" applyFont="1" applyFill="1" applyAlignment="1">
      <alignment horizontal="center"/>
    </xf>
    <xf numFmtId="0" fontId="42" fillId="25" borderId="0" xfId="0" applyFont="1" applyFill="1" applyAlignment="1">
      <alignment horizontal="center"/>
    </xf>
    <xf numFmtId="49" fontId="2" fillId="13" borderId="1" xfId="8" applyNumberFormat="1" applyFill="1" applyAlignment="1">
      <alignment horizontal="left" vertical="center"/>
    </xf>
    <xf numFmtId="0" fontId="2" fillId="13" borderId="1" xfId="8" applyFill="1"/>
    <xf numFmtId="174" fontId="2" fillId="13" borderId="1" xfId="8" applyNumberFormat="1" applyFill="1" applyAlignment="1">
      <alignment horizontal="right" vertical="center"/>
    </xf>
    <xf numFmtId="49" fontId="8" fillId="5" borderId="47" xfId="0" applyNumberFormat="1" applyFont="1" applyFill="1" applyBorder="1" applyAlignment="1">
      <alignment horizontal="left" vertical="center"/>
    </xf>
    <xf numFmtId="1" fontId="40" fillId="10" borderId="1" xfId="0" applyNumberFormat="1" applyFont="1" applyFill="1" applyBorder="1" applyAlignment="1">
      <alignment horizontal="left" vertical="top"/>
    </xf>
    <xf numFmtId="49" fontId="39" fillId="10" borderId="1" xfId="0" applyNumberFormat="1" applyFont="1" applyFill="1" applyBorder="1" applyAlignment="1">
      <alignment horizontal="left" vertical="top"/>
    </xf>
    <xf numFmtId="49" fontId="40" fillId="13" borderId="47" xfId="0" applyNumberFormat="1" applyFont="1" applyFill="1" applyBorder="1" applyAlignment="1">
      <alignment horizontal="left" vertical="top"/>
    </xf>
    <xf numFmtId="49" fontId="40" fillId="10" borderId="202" xfId="0" applyNumberFormat="1" applyFont="1" applyFill="1" applyBorder="1" applyAlignment="1">
      <alignment horizontal="left" vertical="top"/>
    </xf>
    <xf numFmtId="0" fontId="39" fillId="10" borderId="202" xfId="0" applyFont="1" applyFill="1" applyBorder="1" applyAlignment="1">
      <alignment horizontal="left" vertical="top"/>
    </xf>
    <xf numFmtId="0" fontId="39" fillId="10" borderId="43" xfId="0" applyFont="1" applyFill="1" applyBorder="1" applyAlignment="1">
      <alignment horizontal="left" vertical="top"/>
    </xf>
    <xf numFmtId="1" fontId="40" fillId="10" borderId="202" xfId="0" applyNumberFormat="1" applyFont="1" applyFill="1" applyBorder="1" applyAlignment="1">
      <alignment horizontal="left" vertical="top"/>
    </xf>
    <xf numFmtId="49" fontId="39" fillId="10" borderId="203" xfId="0" applyNumberFormat="1" applyFont="1" applyFill="1" applyBorder="1" applyAlignment="1">
      <alignment horizontal="left" vertical="top"/>
    </xf>
    <xf numFmtId="0" fontId="39" fillId="10" borderId="203" xfId="0" applyFont="1" applyFill="1" applyBorder="1" applyAlignment="1">
      <alignment horizontal="left" vertical="top"/>
    </xf>
    <xf numFmtId="49" fontId="39" fillId="10" borderId="202" xfId="0" applyNumberFormat="1" applyFont="1" applyFill="1" applyBorder="1" applyAlignment="1">
      <alignment horizontal="left" vertical="top"/>
    </xf>
    <xf numFmtId="49" fontId="39" fillId="10" borderId="204" xfId="0" applyNumberFormat="1" applyFont="1" applyFill="1" applyBorder="1" applyAlignment="1">
      <alignment horizontal="left" vertical="top"/>
    </xf>
    <xf numFmtId="0" fontId="40" fillId="10" borderId="202" xfId="0" applyFont="1" applyFill="1" applyBorder="1" applyAlignment="1">
      <alignment horizontal="left" vertical="top"/>
    </xf>
    <xf numFmtId="39" fontId="39" fillId="10" borderId="204" xfId="0" applyNumberFormat="1" applyFont="1" applyFill="1" applyBorder="1" applyAlignment="1">
      <alignment horizontal="left" vertical="top"/>
    </xf>
    <xf numFmtId="39" fontId="39" fillId="10" borderId="202" xfId="0" applyNumberFormat="1" applyFont="1" applyFill="1" applyBorder="1" applyAlignment="1">
      <alignment horizontal="left" vertical="top"/>
    </xf>
    <xf numFmtId="0" fontId="39" fillId="10" borderId="204" xfId="0" applyFont="1" applyFill="1" applyBorder="1" applyAlignment="1">
      <alignment horizontal="left" vertical="top"/>
    </xf>
    <xf numFmtId="0" fontId="41" fillId="8" borderId="47" xfId="0" applyFont="1" applyFill="1" applyBorder="1" applyAlignment="1">
      <alignment horizontal="left" vertical="top"/>
    </xf>
    <xf numFmtId="37" fontId="75" fillId="0" borderId="0" xfId="0" applyNumberFormat="1" applyFont="1"/>
    <xf numFmtId="37" fontId="21" fillId="0" borderId="32" xfId="0" applyNumberFormat="1" applyFont="1" applyFill="1" applyBorder="1"/>
    <xf numFmtId="4" fontId="2" fillId="13" borderId="1" xfId="8" applyNumberFormat="1" applyFill="1"/>
    <xf numFmtId="4" fontId="4" fillId="13" borderId="1" xfId="6" applyNumberFormat="1" applyFill="1"/>
    <xf numFmtId="0" fontId="44" fillId="22" borderId="104" xfId="0" applyFont="1" applyFill="1" applyBorder="1"/>
    <xf numFmtId="0" fontId="44" fillId="22" borderId="105" xfId="0" applyFont="1" applyFill="1" applyBorder="1"/>
    <xf numFmtId="0" fontId="44" fillId="22" borderId="106" xfId="0" applyFont="1" applyFill="1" applyBorder="1"/>
    <xf numFmtId="3" fontId="18" fillId="0" borderId="12" xfId="0" applyNumberFormat="1" applyFont="1" applyFill="1" applyBorder="1"/>
    <xf numFmtId="3" fontId="45" fillId="0" borderId="13" xfId="0" applyNumberFormat="1" applyFont="1" applyFill="1" applyBorder="1"/>
    <xf numFmtId="165" fontId="1" fillId="0" borderId="180" xfId="3" applyNumberFormat="1" applyFont="1" applyBorder="1" applyAlignment="1">
      <alignment horizontal="center"/>
    </xf>
    <xf numFmtId="165" fontId="1" fillId="0" borderId="161" xfId="3" applyNumberFormat="1" applyFont="1" applyBorder="1" applyAlignment="1">
      <alignment horizontal="center"/>
    </xf>
    <xf numFmtId="165" fontId="1" fillId="0" borderId="181" xfId="3" applyNumberFormat="1" applyFont="1" applyBorder="1" applyAlignment="1">
      <alignment horizontal="center"/>
    </xf>
    <xf numFmtId="165" fontId="1" fillId="0" borderId="173" xfId="3" applyNumberFormat="1" applyFont="1" applyBorder="1" applyAlignment="1">
      <alignment horizontal="center"/>
    </xf>
    <xf numFmtId="9" fontId="1" fillId="0" borderId="180" xfId="4" applyFont="1" applyBorder="1" applyAlignment="1">
      <alignment horizontal="center"/>
    </xf>
    <xf numFmtId="9" fontId="1" fillId="0" borderId="181" xfId="4" applyFont="1" applyBorder="1" applyAlignment="1">
      <alignment horizontal="center"/>
    </xf>
    <xf numFmtId="9" fontId="1" fillId="0" borderId="182" xfId="4" applyFont="1" applyBorder="1" applyAlignment="1">
      <alignment horizontal="center"/>
    </xf>
    <xf numFmtId="9" fontId="1" fillId="0" borderId="180" xfId="4" applyFont="1" applyFill="1" applyBorder="1" applyAlignment="1">
      <alignment horizontal="center"/>
    </xf>
    <xf numFmtId="2" fontId="1" fillId="0" borderId="161" xfId="4" applyNumberFormat="1" applyFont="1" applyBorder="1" applyAlignment="1">
      <alignment horizontal="center"/>
    </xf>
    <xf numFmtId="2" fontId="1" fillId="0" borderId="181" xfId="4" applyNumberFormat="1" applyFont="1" applyBorder="1" applyAlignment="1">
      <alignment horizontal="center"/>
    </xf>
    <xf numFmtId="2" fontId="1" fillId="0" borderId="173" xfId="4" applyNumberFormat="1" applyFont="1" applyBorder="1" applyAlignment="1">
      <alignment horizontal="center"/>
    </xf>
    <xf numFmtId="9" fontId="1" fillId="0" borderId="161" xfId="4" applyFont="1" applyBorder="1" applyAlignment="1">
      <alignment horizontal="center"/>
    </xf>
    <xf numFmtId="9" fontId="1" fillId="0" borderId="173" xfId="4" applyFont="1" applyBorder="1" applyAlignment="1">
      <alignment horizontal="center"/>
    </xf>
    <xf numFmtId="0" fontId="1" fillId="0" borderId="190" xfId="3" applyFont="1" applyBorder="1"/>
    <xf numFmtId="165" fontId="1" fillId="0" borderId="193" xfId="3" applyNumberFormat="1" applyFont="1" applyBorder="1" applyAlignment="1">
      <alignment horizontal="center"/>
    </xf>
    <xf numFmtId="165" fontId="1" fillId="0" borderId="191" xfId="3" applyNumberFormat="1" applyFont="1" applyBorder="1" applyAlignment="1">
      <alignment horizontal="center"/>
    </xf>
    <xf numFmtId="165" fontId="1" fillId="0" borderId="194" xfId="3" applyNumberFormat="1" applyFont="1" applyBorder="1" applyAlignment="1">
      <alignment horizontal="center"/>
    </xf>
    <xf numFmtId="9" fontId="1" fillId="0" borderId="190" xfId="4" applyFont="1" applyBorder="1" applyAlignment="1">
      <alignment horizontal="center"/>
    </xf>
    <xf numFmtId="9" fontId="1" fillId="0" borderId="191" xfId="4" applyFont="1" applyBorder="1" applyAlignment="1">
      <alignment horizontal="center"/>
    </xf>
    <xf numFmtId="9" fontId="1" fillId="0" borderId="192" xfId="4" applyFont="1" applyBorder="1" applyAlignment="1">
      <alignment horizontal="center"/>
    </xf>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xf numFmtId="165" fontId="1" fillId="0" borderId="175" xfId="3" applyNumberFormat="1" applyFont="1" applyBorder="1" applyAlignment="1">
      <alignment horizontal="center"/>
    </xf>
    <xf numFmtId="165" fontId="1" fillId="0" borderId="187" xfId="3" applyNumberFormat="1" applyFont="1" applyBorder="1" applyAlignment="1">
      <alignment horizontal="center"/>
    </xf>
    <xf numFmtId="165" fontId="1" fillId="0" borderId="176" xfId="3" applyNumberFormat="1" applyFont="1" applyBorder="1" applyAlignment="1">
      <alignment horizontal="center"/>
    </xf>
    <xf numFmtId="9" fontId="1" fillId="0" borderId="186" xfId="4" applyFont="1" applyBorder="1" applyAlignment="1">
      <alignment horizontal="center"/>
    </xf>
    <xf numFmtId="9" fontId="1" fillId="0" borderId="187" xfId="4" applyFont="1" applyBorder="1" applyAlignment="1">
      <alignment horizontal="center"/>
    </xf>
    <xf numFmtId="9" fontId="1" fillId="0" borderId="188" xfId="4" applyFont="1" applyBorder="1" applyAlignment="1">
      <alignment horizontal="center"/>
    </xf>
    <xf numFmtId="0" fontId="1" fillId="0" borderId="1" xfId="3" applyFont="1"/>
    <xf numFmtId="165" fontId="1" fillId="0" borderId="180" xfId="4" applyNumberFormat="1" applyFont="1" applyFill="1" applyBorder="1" applyAlignment="1">
      <alignment horizontal="center"/>
    </xf>
    <xf numFmtId="9" fontId="1" fillId="0" borderId="180" xfId="1" applyFont="1" applyBorder="1" applyAlignment="1">
      <alignment horizontal="center"/>
    </xf>
    <xf numFmtId="2" fontId="1" fillId="0" borderId="161" xfId="3" applyNumberFormat="1" applyFont="1" applyBorder="1" applyAlignment="1">
      <alignment horizontal="center"/>
    </xf>
    <xf numFmtId="2" fontId="1" fillId="0" borderId="181" xfId="3" applyNumberFormat="1" applyFont="1" applyBorder="1" applyAlignment="1">
      <alignment horizontal="center"/>
    </xf>
    <xf numFmtId="2" fontId="1" fillId="0" borderId="173" xfId="3" applyNumberFormat="1" applyFont="1" applyBorder="1" applyAlignment="1">
      <alignment horizontal="center"/>
    </xf>
    <xf numFmtId="165" fontId="1" fillId="0" borderId="186" xfId="3" applyNumberFormat="1" applyFont="1" applyBorder="1" applyAlignment="1">
      <alignment horizontal="center"/>
    </xf>
    <xf numFmtId="0" fontId="1" fillId="0" borderId="172" xfId="3" applyFont="1" applyBorder="1" applyAlignment="1">
      <alignment horizontal="left" indent="1"/>
    </xf>
    <xf numFmtId="0" fontId="1" fillId="0" borderId="172" xfId="3" applyFont="1" applyBorder="1" applyAlignment="1">
      <alignment horizontal="left"/>
    </xf>
    <xf numFmtId="0" fontId="1" fillId="13" borderId="172" xfId="3" applyFont="1" applyFill="1" applyBorder="1" applyAlignment="1">
      <alignment horizontal="left"/>
    </xf>
    <xf numFmtId="1" fontId="1" fillId="13" borderId="180" xfId="3" applyNumberFormat="1" applyFont="1" applyFill="1" applyBorder="1" applyAlignment="1">
      <alignment horizontal="center"/>
    </xf>
    <xf numFmtId="1" fontId="1" fillId="0" borderId="161" xfId="3" applyNumberFormat="1" applyFont="1" applyBorder="1" applyAlignment="1">
      <alignment horizontal="center"/>
    </xf>
    <xf numFmtId="1" fontId="1" fillId="0" borderId="181" xfId="3" applyNumberFormat="1" applyFont="1" applyBorder="1" applyAlignment="1">
      <alignment horizontal="center"/>
    </xf>
    <xf numFmtId="1" fontId="1" fillId="0" borderId="173" xfId="3" applyNumberFormat="1" applyFont="1" applyBorder="1" applyAlignment="1">
      <alignment horizontal="center"/>
    </xf>
    <xf numFmtId="0" fontId="1" fillId="0" borderId="174" xfId="3" applyFont="1" applyBorder="1" applyAlignment="1">
      <alignment horizontal="left"/>
    </xf>
    <xf numFmtId="165" fontId="1" fillId="0" borderId="180" xfId="1" applyNumberFormat="1" applyFont="1" applyBorder="1" applyAlignment="1">
      <alignment horizontal="center"/>
    </xf>
    <xf numFmtId="169" fontId="1" fillId="0" borderId="180" xfId="1" applyNumberFormat="1" applyFont="1" applyBorder="1" applyAlignment="1">
      <alignment horizontal="center"/>
    </xf>
    <xf numFmtId="169" fontId="1" fillId="0" borderId="186" xfId="1" applyNumberFormat="1" applyFont="1" applyBorder="1" applyAlignment="1">
      <alignment horizontal="center"/>
    </xf>
    <xf numFmtId="3" fontId="17" fillId="0" borderId="0" xfId="0" applyNumberFormat="1" applyFont="1"/>
    <xf numFmtId="43" fontId="17" fillId="0" borderId="0" xfId="5" applyFont="1" applyFill="1"/>
    <xf numFmtId="0" fontId="18" fillId="26" borderId="1" xfId="0" applyFont="1" applyFill="1" applyBorder="1"/>
    <xf numFmtId="0" fontId="7" fillId="29" borderId="208" xfId="0" applyFont="1" applyFill="1" applyBorder="1" applyAlignment="1">
      <alignment horizontal="center"/>
    </xf>
    <xf numFmtId="0" fontId="7" fillId="30" borderId="208" xfId="0" applyFont="1" applyFill="1" applyBorder="1" applyAlignment="1">
      <alignment horizontal="center"/>
    </xf>
    <xf numFmtId="0" fontId="7" fillId="31" borderId="208" xfId="0" applyFont="1" applyFill="1" applyBorder="1" applyAlignment="1">
      <alignment horizontal="center"/>
    </xf>
    <xf numFmtId="0" fontId="7" fillId="32" borderId="208" xfId="0" applyFont="1" applyFill="1" applyBorder="1" applyAlignment="1">
      <alignment horizontal="center"/>
    </xf>
    <xf numFmtId="0" fontId="7" fillId="33" borderId="208" xfId="0" applyFont="1" applyFill="1" applyBorder="1" applyAlignment="1">
      <alignment horizontal="center"/>
    </xf>
    <xf numFmtId="37" fontId="21" fillId="26" borderId="24" xfId="0" applyNumberFormat="1" applyFont="1" applyFill="1" applyBorder="1"/>
    <xf numFmtId="39" fontId="19" fillId="0" borderId="0" xfId="0" applyNumberFormat="1" applyFont="1"/>
    <xf numFmtId="169" fontId="19" fillId="0" borderId="9" xfId="0" applyNumberFormat="1" applyFont="1" applyBorder="1"/>
    <xf numFmtId="0" fontId="43" fillId="0" borderId="1" xfId="0" applyFont="1" applyBorder="1"/>
    <xf numFmtId="37" fontId="19" fillId="0" borderId="1" xfId="0" applyNumberFormat="1" applyFont="1" applyBorder="1"/>
    <xf numFmtId="0" fontId="42" fillId="0" borderId="0" xfId="0" applyFont="1"/>
    <xf numFmtId="3" fontId="16" fillId="0" borderId="0" xfId="0" applyNumberFormat="1" applyFont="1"/>
    <xf numFmtId="43" fontId="16" fillId="0" borderId="0" xfId="5" applyFont="1"/>
    <xf numFmtId="2" fontId="0" fillId="0" borderId="0" xfId="0" applyNumberFormat="1"/>
    <xf numFmtId="3" fontId="0" fillId="0" borderId="0" xfId="0" applyNumberFormat="1"/>
    <xf numFmtId="4" fontId="16" fillId="0" borderId="0" xfId="0" applyNumberFormat="1" applyFont="1"/>
    <xf numFmtId="169" fontId="16" fillId="0" borderId="0" xfId="1" applyNumberFormat="1" applyFont="1"/>
    <xf numFmtId="43" fontId="26" fillId="0" borderId="0" xfId="5" applyFont="1"/>
    <xf numFmtId="169" fontId="26"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6" fillId="0" borderId="0" xfId="0" applyNumberFormat="1" applyFont="1"/>
    <xf numFmtId="4" fontId="0" fillId="0" borderId="0" xfId="0" applyNumberFormat="1"/>
    <xf numFmtId="9" fontId="16" fillId="0" borderId="0" xfId="1" applyFont="1"/>
    <xf numFmtId="167" fontId="21" fillId="0" borderId="35" xfId="5" applyNumberFormat="1" applyFont="1" applyFill="1" applyBorder="1"/>
    <xf numFmtId="175" fontId="18" fillId="0" borderId="1" xfId="0" applyNumberFormat="1" applyFont="1" applyBorder="1"/>
    <xf numFmtId="175" fontId="18" fillId="0" borderId="0" xfId="0" applyNumberFormat="1" applyFont="1" applyFill="1"/>
    <xf numFmtId="9" fontId="18" fillId="0" borderId="0" xfId="1" applyNumberFormat="1" applyFont="1" applyFill="1"/>
    <xf numFmtId="0" fontId="52" fillId="0" borderId="53" xfId="2" applyFont="1" applyBorder="1" applyAlignment="1">
      <alignment horizontal="center"/>
    </xf>
    <xf numFmtId="0" fontId="52" fillId="0" borderId="1" xfId="2" applyFont="1" applyAlignment="1">
      <alignment horizontal="center"/>
    </xf>
    <xf numFmtId="0" fontId="44" fillId="0" borderId="104" xfId="2" applyFont="1" applyBorder="1" applyAlignment="1">
      <alignment horizontal="center"/>
    </xf>
    <xf numFmtId="0" fontId="44" fillId="0" borderId="105" xfId="2" applyFont="1" applyBorder="1" applyAlignment="1">
      <alignment horizontal="center"/>
    </xf>
    <xf numFmtId="0" fontId="44" fillId="0" borderId="106" xfId="2" applyFont="1" applyBorder="1" applyAlignment="1">
      <alignment horizontal="center"/>
    </xf>
    <xf numFmtId="0" fontId="8" fillId="28" borderId="205" xfId="0" applyFont="1" applyFill="1" applyBorder="1" applyAlignment="1">
      <alignment horizontal="left" vertical="top" wrapText="1"/>
    </xf>
    <xf numFmtId="0" fontId="20" fillId="0" borderId="206" xfId="0" applyFont="1" applyBorder="1"/>
    <xf numFmtId="0" fontId="20" fillId="0" borderId="207" xfId="0" applyFont="1" applyBorder="1"/>
    <xf numFmtId="0" fontId="71" fillId="0" borderId="53" xfId="3" applyFont="1" applyBorder="1" applyAlignment="1">
      <alignment horizontal="center"/>
    </xf>
    <xf numFmtId="0" fontId="44" fillId="22" borderId="104" xfId="0" applyFont="1" applyFill="1" applyBorder="1" applyAlignment="1">
      <alignment horizontal="center"/>
    </xf>
    <xf numFmtId="0" fontId="44" fillId="22" borderId="105" xfId="0" applyFont="1" applyFill="1" applyBorder="1" applyAlignment="1">
      <alignment horizontal="center"/>
    </xf>
    <xf numFmtId="0" fontId="44" fillId="22" borderId="106" xfId="0" applyFont="1" applyFill="1" applyBorder="1" applyAlignment="1">
      <alignment horizontal="center"/>
    </xf>
    <xf numFmtId="0" fontId="19" fillId="0" borderId="90" xfId="0" applyFont="1" applyBorder="1" applyAlignment="1">
      <alignment horizontal="center" vertical="center"/>
    </xf>
    <xf numFmtId="0" fontId="20" fillId="0" borderId="88" xfId="0" applyFont="1" applyBorder="1"/>
    <xf numFmtId="0" fontId="20" fillId="0" borderId="91" xfId="0" applyFont="1" applyBorder="1"/>
    <xf numFmtId="0" fontId="19" fillId="0" borderId="66" xfId="0" applyFont="1" applyBorder="1" applyAlignment="1">
      <alignment horizontal="center"/>
    </xf>
    <xf numFmtId="0" fontId="20" fillId="0" borderId="66" xfId="0" applyFont="1" applyBorder="1"/>
    <xf numFmtId="0" fontId="20" fillId="0" borderId="67" xfId="0" applyFont="1" applyBorder="1"/>
    <xf numFmtId="0" fontId="19" fillId="0" borderId="69" xfId="0" applyFont="1" applyBorder="1" applyAlignment="1">
      <alignment horizontal="center"/>
    </xf>
    <xf numFmtId="0" fontId="20" fillId="0" borderId="62" xfId="0" applyFont="1" applyBorder="1"/>
    <xf numFmtId="0" fontId="19" fillId="0" borderId="88" xfId="0" applyFont="1" applyBorder="1" applyAlignment="1">
      <alignment horizontal="center" vertical="center"/>
    </xf>
    <xf numFmtId="0" fontId="20" fillId="0" borderId="89" xfId="0" applyFont="1" applyBorder="1"/>
    <xf numFmtId="0" fontId="19" fillId="0" borderId="67" xfId="0" applyFont="1" applyBorder="1" applyAlignment="1">
      <alignment horizontal="center"/>
    </xf>
    <xf numFmtId="0" fontId="19" fillId="0" borderId="62" xfId="0" applyFont="1" applyBorder="1" applyAlignment="1">
      <alignment horizontal="center"/>
    </xf>
  </cellXfs>
  <cellStyles count="9">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Pourcentage" xfId="1" builtinId="5"/>
    <cellStyle name="Pourcentage 2" xfId="4" xr:uid="{00000000-0005-0000-0000-000008000000}"/>
  </cellStyles>
  <dxfs count="69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692"/>
      <tableStyleElement type="firstRowStripe" dxfId="691"/>
      <tableStyleElement type="secondRowStripe" dxfId="690"/>
    </tableStyle>
    <tableStyle name="Data_Validation ex-style" pivot="0" count="3" xr9:uid="{00000000-0011-0000-FFFF-FFFF01000000}">
      <tableStyleElement type="headerRow" dxfId="689"/>
      <tableStyleElement type="firstRowStripe" dxfId="688"/>
      <tableStyleElement type="secondRowStripe" dxfId="68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Google%20Drive/Volkwagen/PARK%20AVENUE%20VOLKSWAGEN/7%20Budgets/2021/VW%20Package%20budget%202021%20version%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Google%20Drive/JLR%20de%20Brossard/R&#233;alis&#233;%20JLR%20de%20Brossard/Combin&#233;/2021/2021-03-R&#233;alis&#233;%20JLR%20nouve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sheetName val="V1 vs V1.5"/>
      <sheetName val="Budget or vs revised"/>
      <sheetName val="tot elimination mit plan"/>
      <sheetName val="Feuil1 (2)"/>
      <sheetName val="Mensuel"/>
      <sheetName val="Mensuel (2)"/>
      <sheetName val="2019"/>
      <sheetName val="Bridge"/>
      <sheetName val="Sommaire Headcount "/>
      <sheetName val="Sommaire dépenses"/>
      <sheetName val="Headcount"/>
      <sheetName val="Salaire"/>
      <sheetName val="sal et comm vendeurs neuf"/>
      <sheetName val="sal et comm vendeurs used"/>
      <sheetName val="Paie 40-2020"/>
      <sheetName val="DAS-VAC"/>
      <sheetName val="DEPA"/>
      <sheetName val="véh neufs"/>
      <sheetName val="véh usagés"/>
      <sheetName val="Car line"/>
      <sheetName val="Volume et Profit Front"/>
      <sheetName val="FEV2021update"/>
      <sheetName val="Revenu Divers"/>
      <sheetName val="Feuil1"/>
      <sheetName val="BPO"/>
      <sheetName val="Margin adj Louis -81k -318u"/>
      <sheetName val="F&amp;I neuf"/>
      <sheetName val="F&amp;I used"/>
      <sheetName val="seasonlité neuf et used"/>
      <sheetName val="Bud fixes"/>
      <sheetName val="Saisonalité "/>
      <sheetName val="Bud men fixes"/>
      <sheetName val="Capex"/>
      <sheetName val="Sommaire Headcount"/>
      <sheetName val="Gabar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E15">
            <v>0</v>
          </cell>
          <cell r="F15">
            <v>0</v>
          </cell>
          <cell r="G15">
            <v>0</v>
          </cell>
          <cell r="H15">
            <v>0</v>
          </cell>
          <cell r="I15">
            <v>0</v>
          </cell>
          <cell r="J15">
            <v>0</v>
          </cell>
          <cell r="K15">
            <v>0</v>
          </cell>
          <cell r="L15">
            <v>0</v>
          </cell>
          <cell r="M15">
            <v>0</v>
          </cell>
          <cell r="N15">
            <v>0</v>
          </cell>
          <cell r="O15">
            <v>0</v>
          </cell>
          <cell r="P15">
            <v>0</v>
          </cell>
        </row>
        <row r="33">
          <cell r="E33">
            <v>24368.631609195403</v>
          </cell>
          <cell r="F33">
            <v>23592.962643678162</v>
          </cell>
          <cell r="G33">
            <v>25919.969540229882</v>
          </cell>
          <cell r="H33">
            <v>24368.631609195403</v>
          </cell>
          <cell r="I33">
            <v>25144.300574712641</v>
          </cell>
          <cell r="J33">
            <v>25144.300574712641</v>
          </cell>
          <cell r="K33">
            <v>25144.300574712641</v>
          </cell>
          <cell r="L33">
            <v>25144.300574712641</v>
          </cell>
          <cell r="M33">
            <v>25144.300574712641</v>
          </cell>
          <cell r="N33">
            <v>24368.631609195403</v>
          </cell>
          <cell r="O33">
            <v>25144.300574712641</v>
          </cell>
          <cell r="P33">
            <v>25919.969540229882</v>
          </cell>
        </row>
        <row r="40">
          <cell r="E40">
            <v>6355.5385057471267</v>
          </cell>
          <cell r="F40">
            <v>6166.1676245210729</v>
          </cell>
          <cell r="G40">
            <v>6734.2802681992334</v>
          </cell>
          <cell r="H40">
            <v>6355.5385057471267</v>
          </cell>
          <cell r="I40">
            <v>6544.9093869731805</v>
          </cell>
          <cell r="J40">
            <v>6544.9093869731805</v>
          </cell>
          <cell r="K40">
            <v>6544.9093869731805</v>
          </cell>
          <cell r="L40">
            <v>6544.9093869731805</v>
          </cell>
          <cell r="M40">
            <v>6544.9093869731805</v>
          </cell>
          <cell r="N40">
            <v>6355.5385057471267</v>
          </cell>
          <cell r="O40">
            <v>6544.9093869731805</v>
          </cell>
          <cell r="P40">
            <v>6734.2802681992334</v>
          </cell>
        </row>
        <row r="46">
          <cell r="E46">
            <v>12044.250946206896</v>
          </cell>
          <cell r="F46">
            <v>11568.334234482758</v>
          </cell>
          <cell r="G46">
            <v>12996.084369655171</v>
          </cell>
          <cell r="H46">
            <v>12044.250946206896</v>
          </cell>
          <cell r="I46">
            <v>12520.167657931033</v>
          </cell>
          <cell r="J46">
            <v>12520.167657931033</v>
          </cell>
          <cell r="K46">
            <v>12520.167657931033</v>
          </cell>
          <cell r="L46">
            <v>12520.167657931033</v>
          </cell>
          <cell r="M46">
            <v>12520.167657931033</v>
          </cell>
          <cell r="N46">
            <v>12044.250946206896</v>
          </cell>
          <cell r="O46">
            <v>12520.167657931033</v>
          </cell>
          <cell r="P46">
            <v>12996.084369655171</v>
          </cell>
        </row>
        <row r="50">
          <cell r="E50">
            <v>283.27471264367819</v>
          </cell>
          <cell r="F50">
            <v>269.78544061302682</v>
          </cell>
          <cell r="G50">
            <v>310.25325670498086</v>
          </cell>
          <cell r="H50">
            <v>283.27471264367819</v>
          </cell>
          <cell r="I50">
            <v>296.76398467432955</v>
          </cell>
          <cell r="J50">
            <v>296.76398467432955</v>
          </cell>
          <cell r="K50">
            <v>296.76398467432955</v>
          </cell>
          <cell r="L50">
            <v>296.76398467432955</v>
          </cell>
          <cell r="M50">
            <v>296.76398467432955</v>
          </cell>
          <cell r="N50">
            <v>283.27471264367819</v>
          </cell>
          <cell r="O50">
            <v>296.76398467432955</v>
          </cell>
          <cell r="P50">
            <v>310.25325670498086</v>
          </cell>
        </row>
        <row r="57">
          <cell r="E57">
            <v>8924.8553069292284</v>
          </cell>
          <cell r="F57">
            <v>8537.2313375805697</v>
          </cell>
          <cell r="G57">
            <v>9700.1032456265475</v>
          </cell>
          <cell r="H57">
            <v>8924.8553069292284</v>
          </cell>
          <cell r="I57">
            <v>9312.4792762778889</v>
          </cell>
          <cell r="J57">
            <v>9312.4792762778889</v>
          </cell>
          <cell r="K57">
            <v>9312.4792762778889</v>
          </cell>
          <cell r="L57">
            <v>9312.4792762778889</v>
          </cell>
          <cell r="M57">
            <v>9312.4792762778889</v>
          </cell>
          <cell r="N57">
            <v>8924.8553069292284</v>
          </cell>
          <cell r="O57">
            <v>9312.4792762778889</v>
          </cell>
          <cell r="P57">
            <v>9700.1032456265475</v>
          </cell>
        </row>
        <row r="77">
          <cell r="E77">
            <v>9573.4805155862086</v>
          </cell>
          <cell r="F77">
            <v>9117.6004910344818</v>
          </cell>
          <cell r="G77">
            <v>10485.240564689655</v>
          </cell>
          <cell r="H77">
            <v>9573.4805155862086</v>
          </cell>
          <cell r="I77">
            <v>10029.360540137932</v>
          </cell>
          <cell r="J77">
            <v>10029.360540137932</v>
          </cell>
          <cell r="K77">
            <v>10029.360540137932</v>
          </cell>
          <cell r="L77">
            <v>10029.360540137932</v>
          </cell>
          <cell r="M77">
            <v>10029.360540137932</v>
          </cell>
          <cell r="N77">
            <v>9573.4805155862086</v>
          </cell>
          <cell r="O77">
            <v>10029.360540137932</v>
          </cell>
          <cell r="P77">
            <v>10485.240564689655</v>
          </cell>
        </row>
        <row r="85">
          <cell r="E85">
            <v>2127.4401145747129</v>
          </cell>
          <cell r="F85">
            <v>2026.1334424521074</v>
          </cell>
          <cell r="G85">
            <v>2330.0534588199239</v>
          </cell>
          <cell r="H85">
            <v>2127.4401145747129</v>
          </cell>
          <cell r="I85">
            <v>2228.7467866973179</v>
          </cell>
          <cell r="J85">
            <v>2228.7467866973179</v>
          </cell>
          <cell r="K85">
            <v>2228.7467866973179</v>
          </cell>
          <cell r="L85">
            <v>2228.7467866973179</v>
          </cell>
          <cell r="M85">
            <v>2228.7467866973179</v>
          </cell>
          <cell r="N85">
            <v>2127.4401145747129</v>
          </cell>
          <cell r="O85">
            <v>2228.7467866973179</v>
          </cell>
          <cell r="P85">
            <v>2330.0534588199239</v>
          </cell>
        </row>
        <row r="94">
          <cell r="E94">
            <v>8746.0360371034476</v>
          </cell>
          <cell r="F94">
            <v>8329.558130574711</v>
          </cell>
          <cell r="G94">
            <v>9578.9918501609191</v>
          </cell>
          <cell r="H94">
            <v>8746.0360371034476</v>
          </cell>
          <cell r="I94">
            <v>9162.5139436321842</v>
          </cell>
          <cell r="J94">
            <v>9162.5139436321842</v>
          </cell>
          <cell r="K94">
            <v>9162.5139436321842</v>
          </cell>
          <cell r="L94">
            <v>9162.5139436321842</v>
          </cell>
          <cell r="M94">
            <v>9162.5139436321842</v>
          </cell>
          <cell r="N94">
            <v>8746.0360371034476</v>
          </cell>
          <cell r="O94">
            <v>9162.5139436321842</v>
          </cell>
          <cell r="P94">
            <v>9578.9918501609191</v>
          </cell>
        </row>
        <row r="102">
          <cell r="E102">
            <v>531.86002864367822</v>
          </cell>
          <cell r="F102">
            <v>506.53336061302684</v>
          </cell>
          <cell r="G102">
            <v>582.51336470498097</v>
          </cell>
          <cell r="H102">
            <v>531.86002864367822</v>
          </cell>
          <cell r="I102">
            <v>557.18669667432948</v>
          </cell>
          <cell r="J102">
            <v>557.18669667432948</v>
          </cell>
          <cell r="K102">
            <v>557.18669667432948</v>
          </cell>
          <cell r="L102">
            <v>557.18669667432948</v>
          </cell>
          <cell r="M102">
            <v>557.18669667432948</v>
          </cell>
          <cell r="N102">
            <v>531.86002864367822</v>
          </cell>
          <cell r="O102">
            <v>557.18669667432948</v>
          </cell>
          <cell r="P102">
            <v>582.51336470498097</v>
          </cell>
        </row>
        <row r="110">
          <cell r="E110">
            <v>4254.8802291494258</v>
          </cell>
          <cell r="F110">
            <v>4052.2668849042147</v>
          </cell>
          <cell r="G110">
            <v>4660.1069176398478</v>
          </cell>
          <cell r="H110">
            <v>4254.8802291494258</v>
          </cell>
          <cell r="I110">
            <v>4457.4935733946359</v>
          </cell>
          <cell r="J110">
            <v>4457.4935733946359</v>
          </cell>
          <cell r="K110">
            <v>4457.4935733946359</v>
          </cell>
          <cell r="L110">
            <v>4457.4935733946359</v>
          </cell>
          <cell r="M110">
            <v>4457.4935733946359</v>
          </cell>
          <cell r="N110">
            <v>4254.8802291494258</v>
          </cell>
          <cell r="O110">
            <v>4457.4935733946359</v>
          </cell>
          <cell r="P110">
            <v>4660.1069176398478</v>
          </cell>
        </row>
        <row r="145">
          <cell r="E145">
            <v>6032.6672478896544</v>
          </cell>
          <cell r="F145">
            <v>5745.3973789425281</v>
          </cell>
          <cell r="G145">
            <v>6607.2069857839078</v>
          </cell>
          <cell r="H145">
            <v>6032.6672478896544</v>
          </cell>
          <cell r="I145">
            <v>6319.9371168367816</v>
          </cell>
          <cell r="J145">
            <v>6319.9371168367816</v>
          </cell>
          <cell r="K145">
            <v>6319.9371168367816</v>
          </cell>
          <cell r="L145">
            <v>6319.9371168367816</v>
          </cell>
          <cell r="M145">
            <v>6319.9371168367816</v>
          </cell>
          <cell r="N145">
            <v>6032.6672478896544</v>
          </cell>
          <cell r="O145">
            <v>6319.9371168367816</v>
          </cell>
          <cell r="P145">
            <v>6607.2069857839078</v>
          </cell>
        </row>
        <row r="159">
          <cell r="E159">
            <v>6708.1630258758623</v>
          </cell>
          <cell r="F159">
            <v>6388.7266913103458</v>
          </cell>
          <cell r="G159">
            <v>7347.0356950068963</v>
          </cell>
          <cell r="H159">
            <v>6708.1630258758623</v>
          </cell>
          <cell r="I159">
            <v>7027.5993604413807</v>
          </cell>
          <cell r="J159">
            <v>7027.5993604413807</v>
          </cell>
          <cell r="K159">
            <v>7027.5993604413807</v>
          </cell>
          <cell r="L159">
            <v>7027.5993604413807</v>
          </cell>
          <cell r="M159">
            <v>7027.5993604413807</v>
          </cell>
          <cell r="N159">
            <v>6708.1630258758623</v>
          </cell>
          <cell r="O159">
            <v>7027.5993604413807</v>
          </cell>
          <cell r="P159">
            <v>7347.0356950068963</v>
          </cell>
        </row>
        <row r="173">
          <cell r="E173">
            <v>11814.360328496552</v>
          </cell>
          <cell r="F173">
            <v>11251.771741425286</v>
          </cell>
          <cell r="G173">
            <v>12939.537502639081</v>
          </cell>
          <cell r="H173">
            <v>11814.360328496552</v>
          </cell>
          <cell r="I173">
            <v>12376.948915567818</v>
          </cell>
          <cell r="J173">
            <v>12376.948915567818</v>
          </cell>
          <cell r="K173">
            <v>12376.948915567818</v>
          </cell>
          <cell r="L173">
            <v>12376.948915567818</v>
          </cell>
          <cell r="M173">
            <v>12376.948915567818</v>
          </cell>
          <cell r="N173">
            <v>11814.360328496552</v>
          </cell>
          <cell r="O173">
            <v>12376.948915567818</v>
          </cell>
          <cell r="P173">
            <v>12939.537502639081</v>
          </cell>
        </row>
        <row r="184">
          <cell r="E184">
            <v>3297.5117336643675</v>
          </cell>
          <cell r="F184">
            <v>3140.4873653946361</v>
          </cell>
          <cell r="G184">
            <v>3611.5604702038304</v>
          </cell>
          <cell r="H184">
            <v>3297.5117336643675</v>
          </cell>
          <cell r="I184">
            <v>3454.5361019340994</v>
          </cell>
          <cell r="J184">
            <v>3454.5361019340994</v>
          </cell>
          <cell r="K184">
            <v>3454.5361019340994</v>
          </cell>
          <cell r="L184">
            <v>3454.5361019340994</v>
          </cell>
          <cell r="M184">
            <v>3454.5361019340994</v>
          </cell>
          <cell r="N184">
            <v>3297.5117336643675</v>
          </cell>
          <cell r="O184">
            <v>3454.5361019340994</v>
          </cell>
          <cell r="P184">
            <v>3611.5604702038304</v>
          </cell>
        </row>
        <row r="198">
          <cell r="E198">
            <v>15813.640893866666</v>
          </cell>
          <cell r="F198">
            <v>15060.610375111111</v>
          </cell>
          <cell r="G198">
            <v>17319.701931377778</v>
          </cell>
          <cell r="H198">
            <v>15813.640893866666</v>
          </cell>
          <cell r="I198">
            <v>16566.671412622221</v>
          </cell>
          <cell r="J198">
            <v>16566.671412622221</v>
          </cell>
          <cell r="K198">
            <v>16566.671412622221</v>
          </cell>
          <cell r="L198">
            <v>16566.671412622221</v>
          </cell>
          <cell r="M198">
            <v>16566.671412622221</v>
          </cell>
          <cell r="N198">
            <v>15813.640893866666</v>
          </cell>
          <cell r="O198">
            <v>16566.671412622221</v>
          </cell>
          <cell r="P198">
            <v>17319.701931377778</v>
          </cell>
        </row>
        <row r="219">
          <cell r="E219">
            <v>30510.931475862068</v>
          </cell>
          <cell r="F219">
            <v>29891.36331034483</v>
          </cell>
          <cell r="G219">
            <v>31750.067806896557</v>
          </cell>
          <cell r="H219">
            <v>30510.931475862068</v>
          </cell>
          <cell r="I219">
            <v>31130.499641379309</v>
          </cell>
          <cell r="J219">
            <v>31130.499641379309</v>
          </cell>
          <cell r="K219">
            <v>31130.499641379309</v>
          </cell>
          <cell r="L219">
            <v>31130.499641379309</v>
          </cell>
          <cell r="M219">
            <v>31130.499641379309</v>
          </cell>
          <cell r="N219">
            <v>30510.931475862068</v>
          </cell>
          <cell r="O219">
            <v>31130.499641379309</v>
          </cell>
          <cell r="P219">
            <v>31750.067806896557</v>
          </cell>
        </row>
        <row r="223">
          <cell r="E223">
            <v>3462.0771724137931</v>
          </cell>
          <cell r="F223">
            <v>3344.8354022988506</v>
          </cell>
          <cell r="G223">
            <v>3696.560712643678</v>
          </cell>
          <cell r="H223">
            <v>3462.0771724137931</v>
          </cell>
          <cell r="I223">
            <v>3579.3189425287355</v>
          </cell>
          <cell r="J223">
            <v>3579.3189425287355</v>
          </cell>
          <cell r="K223">
            <v>3579.3189425287355</v>
          </cell>
          <cell r="L223">
            <v>3579.3189425287355</v>
          </cell>
          <cell r="M223">
            <v>3579.3189425287355</v>
          </cell>
          <cell r="N223">
            <v>3462.0771724137931</v>
          </cell>
          <cell r="O223">
            <v>3579.3189425287355</v>
          </cell>
          <cell r="P223">
            <v>3696.560712643678</v>
          </cell>
        </row>
      </sheetData>
      <sheetData sheetId="16"/>
      <sheetData sheetId="17"/>
      <sheetData sheetId="18"/>
      <sheetData sheetId="19">
        <row r="45">
          <cell r="E45">
            <v>9506.2607382349506</v>
          </cell>
          <cell r="F45">
            <v>8099.9814668637355</v>
          </cell>
          <cell r="G45">
            <v>10134.129965264767</v>
          </cell>
          <cell r="H45">
            <v>10192.504117667397</v>
          </cell>
          <cell r="I45">
            <v>11769.123940219353</v>
          </cell>
          <cell r="J45">
            <v>10006.868082655677</v>
          </cell>
          <cell r="K45">
            <v>10015.713694554535</v>
          </cell>
          <cell r="L45">
            <v>10238.279248163955</v>
          </cell>
          <cell r="M45">
            <v>10669.309037707684</v>
          </cell>
          <cell r="N45">
            <v>11672.141843284087</v>
          </cell>
          <cell r="O45">
            <v>9292.9167876820411</v>
          </cell>
          <cell r="P45">
            <v>7918.9031513723121</v>
          </cell>
        </row>
        <row r="46">
          <cell r="E46">
            <v>4379.5591505447674</v>
          </cell>
          <cell r="F46">
            <v>4792.3203040460239</v>
          </cell>
          <cell r="G46">
            <v>4892.9595926355896</v>
          </cell>
          <cell r="H46">
            <v>5431.4436038133745</v>
          </cell>
          <cell r="I46">
            <v>6217.3166206870619</v>
          </cell>
          <cell r="J46">
            <v>5898.5500720465261</v>
          </cell>
          <cell r="K46">
            <v>5974.3965602190747</v>
          </cell>
          <cell r="L46">
            <v>6059.162505954022</v>
          </cell>
          <cell r="M46">
            <v>5377.668444875676</v>
          </cell>
          <cell r="N46">
            <v>6294.2473819980578</v>
          </cell>
          <cell r="O46">
            <v>6010.7172167083818</v>
          </cell>
          <cell r="P46">
            <v>4572.2121826101102</v>
          </cell>
        </row>
        <row r="47">
          <cell r="E47">
            <v>16673.690254520276</v>
          </cell>
          <cell r="F47">
            <v>15991.419290019308</v>
          </cell>
          <cell r="G47">
            <v>17604.907383522208</v>
          </cell>
          <cell r="H47">
            <v>16673.690254520276</v>
          </cell>
          <cell r="I47">
            <v>16489.311619021239</v>
          </cell>
          <cell r="J47">
            <v>16922.636419021241</v>
          </cell>
          <cell r="K47">
            <v>17355.961219021243</v>
          </cell>
          <cell r="L47">
            <v>16922.636419021241</v>
          </cell>
          <cell r="M47">
            <v>16922.636419021241</v>
          </cell>
          <cell r="N47">
            <v>16673.690254520276</v>
          </cell>
          <cell r="O47">
            <v>16922.636419021241</v>
          </cell>
          <cell r="P47">
            <v>15871.608183522205</v>
          </cell>
        </row>
        <row r="48">
          <cell r="E48">
            <v>908.96683768386197</v>
          </cell>
          <cell r="F48">
            <v>871.39698827034476</v>
          </cell>
          <cell r="G48">
            <v>984.10653651089626</v>
          </cell>
          <cell r="H48">
            <v>908.96683768386197</v>
          </cell>
          <cell r="I48">
            <v>946.53668709737929</v>
          </cell>
          <cell r="J48">
            <v>946.53668709737929</v>
          </cell>
          <cell r="K48">
            <v>946.53668709737929</v>
          </cell>
          <cell r="L48">
            <v>946.53668709737929</v>
          </cell>
          <cell r="M48">
            <v>946.53668709737929</v>
          </cell>
          <cell r="N48">
            <v>908.96683768386197</v>
          </cell>
          <cell r="O48">
            <v>946.53668709737929</v>
          </cell>
          <cell r="P48">
            <v>984.10653651089626</v>
          </cell>
        </row>
        <row r="49">
          <cell r="E49">
            <v>3479.2051715934381</v>
          </cell>
          <cell r="F49">
            <v>3318.0130317115072</v>
          </cell>
          <cell r="G49">
            <v>3801.5894513573007</v>
          </cell>
          <cell r="H49">
            <v>3479.2051715934381</v>
          </cell>
          <cell r="I49">
            <v>3640.3973114753694</v>
          </cell>
          <cell r="J49">
            <v>3640.3973114753694</v>
          </cell>
          <cell r="K49">
            <v>3640.3973114753694</v>
          </cell>
          <cell r="L49">
            <v>3640.3973114753694</v>
          </cell>
          <cell r="M49">
            <v>3640.3973114753694</v>
          </cell>
          <cell r="N49">
            <v>3479.2051715934381</v>
          </cell>
          <cell r="O49">
            <v>3640.3973114753694</v>
          </cell>
          <cell r="P49">
            <v>3801.5894513573007</v>
          </cell>
        </row>
        <row r="53">
          <cell r="E53">
            <v>9506.2607382349506</v>
          </cell>
          <cell r="F53">
            <v>8099.9814668637355</v>
          </cell>
          <cell r="G53">
            <v>10134.129965264767</v>
          </cell>
          <cell r="H53">
            <v>10192.504117667397</v>
          </cell>
          <cell r="I53">
            <v>11769.123940219353</v>
          </cell>
          <cell r="J53">
            <v>10006.868082655677</v>
          </cell>
          <cell r="K53">
            <v>10015.713694554535</v>
          </cell>
          <cell r="L53">
            <v>10238.279248163955</v>
          </cell>
          <cell r="M53">
            <v>10669.309037707684</v>
          </cell>
          <cell r="N53">
            <v>11672.141843284087</v>
          </cell>
          <cell r="O53">
            <v>9292.9167876820411</v>
          </cell>
          <cell r="P53">
            <v>7918.9031513723121</v>
          </cell>
        </row>
        <row r="54">
          <cell r="E54">
            <v>4379.5591505447674</v>
          </cell>
          <cell r="F54">
            <v>4792.3203040460239</v>
          </cell>
          <cell r="G54">
            <v>4892.9595926355896</v>
          </cell>
          <cell r="H54">
            <v>5431.4436038133745</v>
          </cell>
          <cell r="I54">
            <v>6217.3166206870619</v>
          </cell>
          <cell r="J54">
            <v>5898.5500720465261</v>
          </cell>
          <cell r="K54">
            <v>5974.3965602190747</v>
          </cell>
          <cell r="L54">
            <v>6059.162505954022</v>
          </cell>
          <cell r="M54">
            <v>5377.668444875676</v>
          </cell>
          <cell r="N54">
            <v>6294.2473819980578</v>
          </cell>
          <cell r="O54">
            <v>6010.7172167083818</v>
          </cell>
          <cell r="P54">
            <v>4572.2121826101102</v>
          </cell>
        </row>
        <row r="55">
          <cell r="E55">
            <v>16673.690254520276</v>
          </cell>
          <cell r="F55">
            <v>15991.419290019308</v>
          </cell>
          <cell r="G55">
            <v>17604.907383522208</v>
          </cell>
          <cell r="H55">
            <v>16673.690254520276</v>
          </cell>
          <cell r="I55">
            <v>16489.311619021239</v>
          </cell>
          <cell r="J55">
            <v>16922.636419021241</v>
          </cell>
          <cell r="K55">
            <v>17355.961219021243</v>
          </cell>
          <cell r="L55">
            <v>16922.636419021241</v>
          </cell>
          <cell r="M55">
            <v>16922.636419021241</v>
          </cell>
          <cell r="N55">
            <v>16673.690254520276</v>
          </cell>
          <cell r="O55">
            <v>16922.636419021241</v>
          </cell>
          <cell r="P55">
            <v>15871.608183522205</v>
          </cell>
        </row>
        <row r="56">
          <cell r="E56">
            <v>908.96683768386197</v>
          </cell>
          <cell r="F56">
            <v>871.39698827034476</v>
          </cell>
          <cell r="G56">
            <v>984.10653651089626</v>
          </cell>
          <cell r="H56">
            <v>908.96683768386197</v>
          </cell>
          <cell r="I56">
            <v>946.53668709737929</v>
          </cell>
          <cell r="J56">
            <v>946.53668709737929</v>
          </cell>
          <cell r="K56">
            <v>946.53668709737929</v>
          </cell>
          <cell r="L56">
            <v>946.53668709737929</v>
          </cell>
          <cell r="M56">
            <v>946.53668709737929</v>
          </cell>
          <cell r="N56">
            <v>908.96683768386197</v>
          </cell>
          <cell r="O56">
            <v>946.53668709737929</v>
          </cell>
          <cell r="P56">
            <v>984.10653651089626</v>
          </cell>
        </row>
        <row r="57">
          <cell r="E57">
            <v>3479.2051715934381</v>
          </cell>
          <cell r="F57">
            <v>3318.0130317115072</v>
          </cell>
          <cell r="G57">
            <v>3801.5894513573007</v>
          </cell>
          <cell r="H57">
            <v>3479.2051715934381</v>
          </cell>
          <cell r="I57">
            <v>3640.3973114753694</v>
          </cell>
          <cell r="J57">
            <v>3640.3973114753694</v>
          </cell>
          <cell r="K57">
            <v>3640.3973114753694</v>
          </cell>
          <cell r="L57">
            <v>3640.3973114753694</v>
          </cell>
          <cell r="M57">
            <v>3640.3973114753694</v>
          </cell>
          <cell r="N57">
            <v>3479.2051715934381</v>
          </cell>
          <cell r="O57">
            <v>3640.3973114753694</v>
          </cell>
          <cell r="P57">
            <v>3801.5894513573007</v>
          </cell>
        </row>
        <row r="61">
          <cell r="E61">
            <v>6812.8201957350475</v>
          </cell>
          <cell r="F61">
            <v>5804.9867179190105</v>
          </cell>
          <cell r="G61">
            <v>7262.7931417730824</v>
          </cell>
          <cell r="H61">
            <v>7304.6279509949663</v>
          </cell>
          <cell r="I61">
            <v>8434.5388238238702</v>
          </cell>
          <cell r="J61">
            <v>7171.5887925699017</v>
          </cell>
          <cell r="K61">
            <v>7177.9281477640843</v>
          </cell>
          <cell r="L61">
            <v>7337.4334611841678</v>
          </cell>
          <cell r="M61">
            <v>7646.3381436905065</v>
          </cell>
          <cell r="N61">
            <v>8365.0349876869295</v>
          </cell>
          <cell r="O61">
            <v>6659.9236978387962</v>
          </cell>
          <cell r="P61">
            <v>5675.2139251501567</v>
          </cell>
        </row>
        <row r="62">
          <cell r="E62">
            <v>3138.6840578904166</v>
          </cell>
          <cell r="F62">
            <v>3434.4962178996507</v>
          </cell>
          <cell r="G62">
            <v>3506.6210413888389</v>
          </cell>
          <cell r="H62">
            <v>3892.5345827329184</v>
          </cell>
          <cell r="I62">
            <v>4455.7435781590611</v>
          </cell>
          <cell r="J62">
            <v>4227.2942183000105</v>
          </cell>
          <cell r="K62">
            <v>4281.6508681570031</v>
          </cell>
          <cell r="L62">
            <v>4342.3997959337157</v>
          </cell>
          <cell r="M62">
            <v>3853.9957188275675</v>
          </cell>
          <cell r="N62">
            <v>4510.8772904319412</v>
          </cell>
          <cell r="O62">
            <v>4307.6806719743399</v>
          </cell>
          <cell r="P62">
            <v>3276.7520642039121</v>
          </cell>
        </row>
        <row r="63">
          <cell r="E63">
            <v>11949.478015739529</v>
          </cell>
          <cell r="F63">
            <v>11460.517157847171</v>
          </cell>
          <cell r="G63">
            <v>12616.85029152425</v>
          </cell>
          <cell r="H63">
            <v>11949.478015739529</v>
          </cell>
          <cell r="I63">
            <v>11817.339993631887</v>
          </cell>
          <cell r="J63">
            <v>12127.889433631888</v>
          </cell>
          <cell r="K63">
            <v>12438.438873631889</v>
          </cell>
          <cell r="L63">
            <v>12127.889433631888</v>
          </cell>
          <cell r="M63">
            <v>12127.889433631888</v>
          </cell>
          <cell r="N63">
            <v>11949.478015739529</v>
          </cell>
          <cell r="O63">
            <v>12127.889433631888</v>
          </cell>
          <cell r="P63">
            <v>11374.652531524247</v>
          </cell>
        </row>
        <row r="64">
          <cell r="E64">
            <v>651.42623367343435</v>
          </cell>
          <cell r="F64">
            <v>624.50117492708034</v>
          </cell>
          <cell r="G64">
            <v>705.27635116614226</v>
          </cell>
          <cell r="H64">
            <v>651.42623367343435</v>
          </cell>
          <cell r="I64">
            <v>678.35129241978848</v>
          </cell>
          <cell r="J64">
            <v>678.35129241978848</v>
          </cell>
          <cell r="K64">
            <v>678.35129241978848</v>
          </cell>
          <cell r="L64">
            <v>678.35129241978848</v>
          </cell>
          <cell r="M64">
            <v>678.35129241978848</v>
          </cell>
          <cell r="N64">
            <v>651.42623367343435</v>
          </cell>
          <cell r="O64">
            <v>678.35129241978848</v>
          </cell>
          <cell r="P64">
            <v>705.27635116614226</v>
          </cell>
        </row>
        <row r="65">
          <cell r="E65">
            <v>2493.4303729752969</v>
          </cell>
          <cell r="F65">
            <v>2377.9093393932467</v>
          </cell>
          <cell r="G65">
            <v>2724.4724401393987</v>
          </cell>
          <cell r="H65">
            <v>2493.4303729752969</v>
          </cell>
          <cell r="I65">
            <v>2608.951406557348</v>
          </cell>
          <cell r="J65">
            <v>2608.951406557348</v>
          </cell>
          <cell r="K65">
            <v>2608.951406557348</v>
          </cell>
          <cell r="L65">
            <v>2608.951406557348</v>
          </cell>
          <cell r="M65">
            <v>2608.951406557348</v>
          </cell>
          <cell r="N65">
            <v>2493.4303729752969</v>
          </cell>
          <cell r="O65">
            <v>2608.951406557348</v>
          </cell>
          <cell r="P65">
            <v>2724.4724401393987</v>
          </cell>
        </row>
        <row r="69">
          <cell r="E69">
            <v>1584.3767897058253</v>
          </cell>
          <cell r="F69">
            <v>1349.9969111439559</v>
          </cell>
          <cell r="G69">
            <v>1689.0216608774613</v>
          </cell>
          <cell r="H69">
            <v>1698.7506862778994</v>
          </cell>
          <cell r="I69">
            <v>1961.5206567032258</v>
          </cell>
          <cell r="J69">
            <v>1667.8113471092797</v>
          </cell>
          <cell r="K69">
            <v>1669.2856157590895</v>
          </cell>
          <cell r="L69">
            <v>1706.3798746939926</v>
          </cell>
          <cell r="M69">
            <v>1778.2181729512808</v>
          </cell>
          <cell r="N69">
            <v>1945.3569738806814</v>
          </cell>
          <cell r="O69">
            <v>1548.8194646136737</v>
          </cell>
          <cell r="P69">
            <v>1319.8171918953853</v>
          </cell>
        </row>
        <row r="70">
          <cell r="E70">
            <v>729.9265250907946</v>
          </cell>
          <cell r="F70">
            <v>798.72005067433747</v>
          </cell>
          <cell r="G70">
            <v>815.49326543926497</v>
          </cell>
          <cell r="H70">
            <v>905.24060063556249</v>
          </cell>
          <cell r="I70">
            <v>1036.2194367811771</v>
          </cell>
          <cell r="J70">
            <v>983.09167867442113</v>
          </cell>
          <cell r="K70">
            <v>995.73276003651256</v>
          </cell>
          <cell r="L70">
            <v>1009.8604176590037</v>
          </cell>
          <cell r="M70">
            <v>896.27807414594599</v>
          </cell>
          <cell r="N70">
            <v>1049.0412303330097</v>
          </cell>
          <cell r="O70">
            <v>1001.7862027847303</v>
          </cell>
          <cell r="P70">
            <v>762.03536376835166</v>
          </cell>
        </row>
        <row r="71">
          <cell r="E71">
            <v>2778.948375753379</v>
          </cell>
          <cell r="F71">
            <v>2665.2365483365516</v>
          </cell>
          <cell r="G71">
            <v>2934.1512305870351</v>
          </cell>
          <cell r="H71">
            <v>2778.948375753379</v>
          </cell>
          <cell r="I71">
            <v>2748.2186031702067</v>
          </cell>
          <cell r="J71">
            <v>2820.4394031702068</v>
          </cell>
          <cell r="K71">
            <v>2892.6602031702073</v>
          </cell>
          <cell r="L71">
            <v>2820.4394031702068</v>
          </cell>
          <cell r="M71">
            <v>2820.4394031702068</v>
          </cell>
          <cell r="N71">
            <v>2778.948375753379</v>
          </cell>
          <cell r="O71">
            <v>2820.4394031702068</v>
          </cell>
          <cell r="P71">
            <v>2645.2680305870344</v>
          </cell>
        </row>
        <row r="72">
          <cell r="E72">
            <v>151.49447294731033</v>
          </cell>
          <cell r="F72">
            <v>145.23283137839081</v>
          </cell>
          <cell r="G72">
            <v>164.01775608514939</v>
          </cell>
          <cell r="H72">
            <v>151.49447294731033</v>
          </cell>
          <cell r="I72">
            <v>157.75611451622987</v>
          </cell>
          <cell r="J72">
            <v>157.75611451622987</v>
          </cell>
          <cell r="K72">
            <v>157.75611451622987</v>
          </cell>
          <cell r="L72">
            <v>157.75611451622987</v>
          </cell>
          <cell r="M72">
            <v>157.75611451622987</v>
          </cell>
          <cell r="N72">
            <v>151.49447294731033</v>
          </cell>
          <cell r="O72">
            <v>157.75611451622987</v>
          </cell>
          <cell r="P72">
            <v>164.01775608514939</v>
          </cell>
        </row>
        <row r="73">
          <cell r="E73">
            <v>579.86752859890635</v>
          </cell>
          <cell r="F73">
            <v>553.00217195191794</v>
          </cell>
          <cell r="G73">
            <v>633.59824189288349</v>
          </cell>
          <cell r="H73">
            <v>579.86752859890635</v>
          </cell>
          <cell r="I73">
            <v>606.73288524589498</v>
          </cell>
          <cell r="J73">
            <v>606.73288524589498</v>
          </cell>
          <cell r="K73">
            <v>606.73288524589498</v>
          </cell>
          <cell r="L73">
            <v>606.73288524589498</v>
          </cell>
          <cell r="M73">
            <v>606.73288524589498</v>
          </cell>
          <cell r="N73">
            <v>579.86752859890635</v>
          </cell>
          <cell r="O73">
            <v>606.73288524589498</v>
          </cell>
          <cell r="P73">
            <v>633.59824189288349</v>
          </cell>
        </row>
      </sheetData>
      <sheetData sheetId="20">
        <row r="9">
          <cell r="E9">
            <v>12033.230002289851</v>
          </cell>
          <cell r="F9">
            <v>8284.5015196845761</v>
          </cell>
          <cell r="G9">
            <v>12593.872421572638</v>
          </cell>
          <cell r="H9">
            <v>13949.386357749641</v>
          </cell>
          <cell r="I9">
            <v>18228.029184951058</v>
          </cell>
          <cell r="J9">
            <v>12842.402635704893</v>
          </cell>
          <cell r="K9">
            <v>12785.971202947025</v>
          </cell>
          <cell r="L9">
            <v>13538.712403604201</v>
          </cell>
          <cell r="M9">
            <v>14835.669065378344</v>
          </cell>
          <cell r="N9">
            <v>18401.575166514634</v>
          </cell>
          <cell r="O9">
            <v>10694.143024278666</v>
          </cell>
          <cell r="P9">
            <v>6260.5070153244769</v>
          </cell>
        </row>
        <row r="10">
          <cell r="E10">
            <v>1098.2418293695573</v>
          </cell>
          <cell r="F10">
            <v>1388.2577128622224</v>
          </cell>
          <cell r="G10">
            <v>1299.7631102689124</v>
          </cell>
          <cell r="H10">
            <v>1704.4222113398771</v>
          </cell>
          <cell r="I10">
            <v>2125.0719441309857</v>
          </cell>
          <cell r="J10">
            <v>1931.4149083398981</v>
          </cell>
          <cell r="K10">
            <v>1965.1656269295465</v>
          </cell>
          <cell r="L10">
            <v>2023.9727042391462</v>
          </cell>
          <cell r="M10">
            <v>1631.2410415823874</v>
          </cell>
          <cell r="N10">
            <v>2201.6391083100903</v>
          </cell>
          <cell r="O10">
            <v>1996.0546341047971</v>
          </cell>
          <cell r="P10">
            <v>1154.7551685225799</v>
          </cell>
        </row>
        <row r="18">
          <cell r="E18">
            <v>366.49431479055386</v>
          </cell>
          <cell r="F18">
            <v>252.31984323912417</v>
          </cell>
          <cell r="G18">
            <v>383.56971842353209</v>
          </cell>
          <cell r="H18">
            <v>424.8544068350144</v>
          </cell>
          <cell r="I18">
            <v>555.16840157211345</v>
          </cell>
          <cell r="J18">
            <v>391.13916656969218</v>
          </cell>
          <cell r="K18">
            <v>389.42044272935101</v>
          </cell>
          <cell r="L18">
            <v>412.34657066814822</v>
          </cell>
          <cell r="M18">
            <v>451.84778879324909</v>
          </cell>
          <cell r="N18">
            <v>560.45406598521731</v>
          </cell>
          <cell r="O18">
            <v>325.70993982574618</v>
          </cell>
          <cell r="P18">
            <v>190.67534056825818</v>
          </cell>
        </row>
        <row r="19">
          <cell r="E19">
            <v>2135.4702237741394</v>
          </cell>
          <cell r="F19">
            <v>2699.3899972320992</v>
          </cell>
          <cell r="G19">
            <v>2527.3171588562186</v>
          </cell>
          <cell r="H19">
            <v>3314.154299827539</v>
          </cell>
          <cell r="I19">
            <v>4132.0843358102502</v>
          </cell>
          <cell r="J19">
            <v>3755.5289884386912</v>
          </cell>
          <cell r="K19">
            <v>3821.1553856963405</v>
          </cell>
          <cell r="L19">
            <v>3935.5024804650066</v>
          </cell>
          <cell r="M19">
            <v>3171.8575808546425</v>
          </cell>
          <cell r="N19">
            <v>4280.9649328251753</v>
          </cell>
          <cell r="O19">
            <v>3881.2173440926608</v>
          </cell>
          <cell r="P19">
            <v>2245.3572721272385</v>
          </cell>
        </row>
        <row r="24">
          <cell r="E24">
            <v>2076.8011171464718</v>
          </cell>
          <cell r="F24">
            <v>1429.8124450217035</v>
          </cell>
          <cell r="G24">
            <v>2173.5617377333483</v>
          </cell>
          <cell r="H24">
            <v>2407.5083053984149</v>
          </cell>
          <cell r="I24">
            <v>3145.9542755753096</v>
          </cell>
          <cell r="J24">
            <v>2216.4552772282559</v>
          </cell>
          <cell r="K24">
            <v>2206.7158421329891</v>
          </cell>
          <cell r="L24">
            <v>2336.6305671195064</v>
          </cell>
          <cell r="M24">
            <v>2560.4708031617447</v>
          </cell>
          <cell r="N24">
            <v>3175.9063739162311</v>
          </cell>
          <cell r="O24">
            <v>1845.6896590125616</v>
          </cell>
          <cell r="P24">
            <v>1080.493596553463</v>
          </cell>
        </row>
        <row r="25">
          <cell r="E25">
            <v>1240.6065109545</v>
          </cell>
          <cell r="F25">
            <v>1568.217046011029</v>
          </cell>
          <cell r="G25">
            <v>1468.2509208593269</v>
          </cell>
          <cell r="H25">
            <v>1925.3658313283797</v>
          </cell>
          <cell r="I25">
            <v>2400.5442331850022</v>
          </cell>
          <cell r="J25">
            <v>2181.7835075691441</v>
          </cell>
          <cell r="K25">
            <v>2219.9093193093026</v>
          </cell>
          <cell r="L25">
            <v>2286.3395362701467</v>
          </cell>
          <cell r="M25">
            <v>1842.6982136393638</v>
          </cell>
          <cell r="N25">
            <v>2487.0367704984351</v>
          </cell>
          <cell r="O25">
            <v>2254.8024570443076</v>
          </cell>
          <cell r="P25">
            <v>1304.4456533310624</v>
          </cell>
        </row>
        <row r="33">
          <cell r="E33">
            <v>17143.971406906338</v>
          </cell>
          <cell r="F33">
            <v>11803.086714615874</v>
          </cell>
          <cell r="G33">
            <v>17942.72931345793</v>
          </cell>
          <cell r="H33">
            <v>19873.955772111127</v>
          </cell>
          <cell r="I33">
            <v>25969.819499135989</v>
          </cell>
          <cell r="J33">
            <v>18296.815031426002</v>
          </cell>
          <cell r="K33">
            <v>18216.416097019566</v>
          </cell>
          <cell r="L33">
            <v>19288.860787132795</v>
          </cell>
          <cell r="M33">
            <v>21136.659584398487</v>
          </cell>
          <cell r="N33">
            <v>26217.073756317415</v>
          </cell>
          <cell r="O33">
            <v>15236.148747652276</v>
          </cell>
          <cell r="P33">
            <v>8919.4632898261825</v>
          </cell>
        </row>
        <row r="34">
          <cell r="E34">
            <v>-6108.2385798425639</v>
          </cell>
          <cell r="F34">
            <v>-4205.3307206520694</v>
          </cell>
          <cell r="G34">
            <v>-6392.8286403922011</v>
          </cell>
          <cell r="H34">
            <v>-7080.9067805835739</v>
          </cell>
          <cell r="I34">
            <v>-9252.8066928685585</v>
          </cell>
          <cell r="J34">
            <v>-6518.9861094948701</v>
          </cell>
          <cell r="K34">
            <v>-6490.3407121558503</v>
          </cell>
          <cell r="L34">
            <v>-6872.4428444691366</v>
          </cell>
          <cell r="M34">
            <v>-7530.7964798874846</v>
          </cell>
          <cell r="N34">
            <v>-9340.9010997536207</v>
          </cell>
          <cell r="O34">
            <v>-5428.4989970957695</v>
          </cell>
          <cell r="P34">
            <v>-3177.9223428043028</v>
          </cell>
        </row>
        <row r="35">
          <cell r="E35">
            <v>2591.2512870739024</v>
          </cell>
          <cell r="F35">
            <v>3275.5304788468493</v>
          </cell>
          <cell r="G35">
            <v>3066.7315178742519</v>
          </cell>
          <cell r="H35">
            <v>4021.5061298358419</v>
          </cell>
          <cell r="I35">
            <v>5014.009904826793</v>
          </cell>
          <cell r="J35">
            <v>4557.0850001064573</v>
          </cell>
          <cell r="K35">
            <v>4636.7182745331829</v>
          </cell>
          <cell r="L35">
            <v>4775.4708795537272</v>
          </cell>
          <cell r="M35">
            <v>3848.8385121468255</v>
          </cell>
          <cell r="N35">
            <v>5194.6666212447035</v>
          </cell>
          <cell r="O35">
            <v>4709.5994719696801</v>
          </cell>
          <cell r="P35">
            <v>2724.5919219877783</v>
          </cell>
        </row>
        <row r="36">
          <cell r="E36">
            <v>-2033.7811654991804</v>
          </cell>
          <cell r="F36">
            <v>-2570.8476164115227</v>
          </cell>
          <cell r="G36">
            <v>-2406.968722720208</v>
          </cell>
          <cell r="H36">
            <v>-3156.3374284071797</v>
          </cell>
          <cell r="I36">
            <v>-3935.3184150573811</v>
          </cell>
          <cell r="J36">
            <v>-3576.694274703515</v>
          </cell>
          <cell r="K36">
            <v>-3639.1956054250863</v>
          </cell>
          <cell r="L36">
            <v>-3748.0976004428635</v>
          </cell>
          <cell r="M36">
            <v>-3020.8167436710883</v>
          </cell>
          <cell r="N36">
            <v>-4077.1094598335003</v>
          </cell>
          <cell r="O36">
            <v>-3696.3974705644391</v>
          </cell>
          <cell r="P36">
            <v>-2138.4354972640367</v>
          </cell>
        </row>
        <row r="46">
          <cell r="E46">
            <v>13865.393159196723</v>
          </cell>
          <cell r="F46">
            <v>13998.727337936325</v>
          </cell>
          <cell r="G46">
            <v>14783.179262331254</v>
          </cell>
          <cell r="H46">
            <v>15563.376078633089</v>
          </cell>
          <cell r="I46">
            <v>15410.085140537256</v>
          </cell>
          <cell r="J46">
            <v>14656.489440238776</v>
          </cell>
          <cell r="K46">
            <v>14752.911795329437</v>
          </cell>
          <cell r="L46">
            <v>15036.746238319036</v>
          </cell>
          <cell r="M46">
            <v>15710.13716531562</v>
          </cell>
          <cell r="N46">
            <v>15136.634231762244</v>
          </cell>
          <cell r="O46">
            <v>13455.384824640274</v>
          </cell>
          <cell r="P46">
            <v>13585.118020461094</v>
          </cell>
        </row>
        <row r="47">
          <cell r="E47">
            <v>1081.4568719840122</v>
          </cell>
          <cell r="F47">
            <v>1121.0457684391847</v>
          </cell>
          <cell r="G47">
            <v>1179.5571302486326</v>
          </cell>
          <cell r="H47">
            <v>1336.5034712591375</v>
          </cell>
          <cell r="I47">
            <v>1381.7185798417083</v>
          </cell>
          <cell r="J47">
            <v>1350.5464637284711</v>
          </cell>
          <cell r="K47">
            <v>1368.070856019591</v>
          </cell>
          <cell r="L47">
            <v>1306.0431819111132</v>
          </cell>
          <cell r="M47">
            <v>1336.6517508438931</v>
          </cell>
          <cell r="N47">
            <v>1408.6199952483109</v>
          </cell>
          <cell r="O47">
            <v>1211.5752192862712</v>
          </cell>
          <cell r="P47">
            <v>1038.1848749705507</v>
          </cell>
        </row>
        <row r="63">
          <cell r="E63">
            <v>697.6</v>
          </cell>
          <cell r="F63">
            <v>697.6</v>
          </cell>
          <cell r="G63">
            <v>697.6</v>
          </cell>
          <cell r="H63">
            <v>697.6</v>
          </cell>
          <cell r="I63">
            <v>697.6</v>
          </cell>
          <cell r="J63">
            <v>697.6</v>
          </cell>
          <cell r="K63">
            <v>697.6</v>
          </cell>
          <cell r="L63">
            <v>697.6</v>
          </cell>
          <cell r="M63">
            <v>697.6</v>
          </cell>
          <cell r="N63">
            <v>697.6</v>
          </cell>
          <cell r="O63">
            <v>697.6</v>
          </cell>
          <cell r="P63">
            <v>697.6</v>
          </cell>
        </row>
        <row r="64">
          <cell r="E64">
            <v>261.59999999999997</v>
          </cell>
          <cell r="F64">
            <v>261.59999999999997</v>
          </cell>
          <cell r="G64">
            <v>261.59999999999997</v>
          </cell>
          <cell r="H64">
            <v>261.59999999999997</v>
          </cell>
          <cell r="I64">
            <v>261.59999999999997</v>
          </cell>
          <cell r="J64">
            <v>261.59999999999997</v>
          </cell>
          <cell r="K64">
            <v>261.59999999999997</v>
          </cell>
          <cell r="L64">
            <v>261.59999999999997</v>
          </cell>
          <cell r="M64">
            <v>261.59999999999997</v>
          </cell>
          <cell r="N64">
            <v>261.59999999999997</v>
          </cell>
          <cell r="O64">
            <v>261.59999999999997</v>
          </cell>
          <cell r="P64">
            <v>261.59999999999997</v>
          </cell>
        </row>
        <row r="65">
          <cell r="E65">
            <v>523.19999999999993</v>
          </cell>
          <cell r="F65">
            <v>523.19999999999993</v>
          </cell>
          <cell r="G65">
            <v>523.19999999999993</v>
          </cell>
          <cell r="H65">
            <v>523.19999999999993</v>
          </cell>
          <cell r="I65">
            <v>523.19999999999993</v>
          </cell>
          <cell r="J65">
            <v>523.19999999999993</v>
          </cell>
          <cell r="K65">
            <v>523.19999999999993</v>
          </cell>
          <cell r="L65">
            <v>523.19999999999993</v>
          </cell>
          <cell r="M65">
            <v>523.19999999999993</v>
          </cell>
          <cell r="N65">
            <v>523.19999999999993</v>
          </cell>
          <cell r="O65">
            <v>523.19999999999993</v>
          </cell>
          <cell r="P65">
            <v>523.19999999999993</v>
          </cell>
        </row>
        <row r="66">
          <cell r="E66">
            <v>152.60000000000002</v>
          </cell>
          <cell r="F66">
            <v>152.60000000000002</v>
          </cell>
          <cell r="G66">
            <v>152.60000000000002</v>
          </cell>
          <cell r="H66">
            <v>152.60000000000002</v>
          </cell>
          <cell r="I66">
            <v>152.60000000000002</v>
          </cell>
          <cell r="J66">
            <v>152.60000000000002</v>
          </cell>
          <cell r="K66">
            <v>152.60000000000002</v>
          </cell>
          <cell r="L66">
            <v>152.60000000000002</v>
          </cell>
          <cell r="M66">
            <v>152.60000000000002</v>
          </cell>
          <cell r="N66">
            <v>152.60000000000002</v>
          </cell>
          <cell r="O66">
            <v>152.60000000000002</v>
          </cell>
          <cell r="P66">
            <v>152.60000000000002</v>
          </cell>
        </row>
        <row r="67">
          <cell r="E67">
            <v>545</v>
          </cell>
          <cell r="F67">
            <v>545</v>
          </cell>
          <cell r="G67">
            <v>545</v>
          </cell>
          <cell r="H67">
            <v>545</v>
          </cell>
          <cell r="I67">
            <v>545</v>
          </cell>
          <cell r="J67">
            <v>545</v>
          </cell>
          <cell r="K67">
            <v>545</v>
          </cell>
          <cell r="L67">
            <v>545</v>
          </cell>
          <cell r="M67">
            <v>545</v>
          </cell>
          <cell r="N67">
            <v>545</v>
          </cell>
          <cell r="O67">
            <v>545</v>
          </cell>
          <cell r="P67">
            <v>545</v>
          </cell>
        </row>
        <row r="72">
          <cell r="E72">
            <v>244.32954319370256</v>
          </cell>
          <cell r="F72">
            <v>168.21322882608277</v>
          </cell>
          <cell r="G72">
            <v>255.71314561568806</v>
          </cell>
          <cell r="H72">
            <v>283.23627122334295</v>
          </cell>
          <cell r="I72">
            <v>370.1122677147423</v>
          </cell>
          <cell r="J72">
            <v>260.75944437979479</v>
          </cell>
          <cell r="K72">
            <v>259.61362848623401</v>
          </cell>
          <cell r="L72">
            <v>274.89771377876548</v>
          </cell>
          <cell r="M72">
            <v>301.2318591954994</v>
          </cell>
          <cell r="N72">
            <v>373.63604399014486</v>
          </cell>
          <cell r="O72">
            <v>217.13995988383078</v>
          </cell>
          <cell r="P72">
            <v>127.11689371217211</v>
          </cell>
        </row>
        <row r="73">
          <cell r="E73">
            <v>81.351246619967213</v>
          </cell>
          <cell r="F73">
            <v>102.83390465646092</v>
          </cell>
          <cell r="G73">
            <v>96.278748908808325</v>
          </cell>
          <cell r="H73">
            <v>126.25349713628719</v>
          </cell>
          <cell r="I73">
            <v>157.41273660229524</v>
          </cell>
          <cell r="J73">
            <v>143.06777098814061</v>
          </cell>
          <cell r="K73">
            <v>145.56782421700345</v>
          </cell>
          <cell r="L73">
            <v>149.92390401771453</v>
          </cell>
          <cell r="M73">
            <v>120.83266974684352</v>
          </cell>
          <cell r="N73">
            <v>163.08437839334002</v>
          </cell>
          <cell r="O73">
            <v>147.85589882257756</v>
          </cell>
          <cell r="P73">
            <v>85.537419890561466</v>
          </cell>
        </row>
        <row r="74">
          <cell r="E74">
            <v>546</v>
          </cell>
          <cell r="F74">
            <v>520</v>
          </cell>
          <cell r="G74">
            <v>572</v>
          </cell>
          <cell r="H74">
            <v>546</v>
          </cell>
          <cell r="I74">
            <v>520</v>
          </cell>
          <cell r="J74">
            <v>546</v>
          </cell>
          <cell r="K74">
            <v>572</v>
          </cell>
          <cell r="L74">
            <v>546</v>
          </cell>
          <cell r="M74">
            <v>546</v>
          </cell>
          <cell r="N74">
            <v>546</v>
          </cell>
          <cell r="O74">
            <v>546</v>
          </cell>
          <cell r="P74">
            <v>468</v>
          </cell>
        </row>
        <row r="75">
          <cell r="E75">
            <v>0</v>
          </cell>
          <cell r="F75">
            <v>0</v>
          </cell>
          <cell r="G75">
            <v>0</v>
          </cell>
          <cell r="H75">
            <v>0</v>
          </cell>
          <cell r="I75">
            <v>0</v>
          </cell>
          <cell r="J75">
            <v>0</v>
          </cell>
          <cell r="K75">
            <v>0</v>
          </cell>
          <cell r="L75">
            <v>0</v>
          </cell>
          <cell r="M75">
            <v>0</v>
          </cell>
          <cell r="N75">
            <v>0</v>
          </cell>
          <cell r="O75">
            <v>0</v>
          </cell>
          <cell r="P75">
            <v>0</v>
          </cell>
        </row>
        <row r="76">
          <cell r="E76">
            <v>126</v>
          </cell>
          <cell r="F76">
            <v>120</v>
          </cell>
          <cell r="G76">
            <v>132</v>
          </cell>
          <cell r="H76">
            <v>126</v>
          </cell>
          <cell r="I76">
            <v>120</v>
          </cell>
          <cell r="J76">
            <v>126</v>
          </cell>
          <cell r="K76">
            <v>132</v>
          </cell>
          <cell r="L76">
            <v>126</v>
          </cell>
          <cell r="M76">
            <v>126</v>
          </cell>
          <cell r="N76">
            <v>126</v>
          </cell>
          <cell r="O76">
            <v>126</v>
          </cell>
          <cell r="P76">
            <v>108</v>
          </cell>
        </row>
        <row r="81">
          <cell r="E81">
            <v>35</v>
          </cell>
          <cell r="F81">
            <v>35</v>
          </cell>
          <cell r="G81">
            <v>35</v>
          </cell>
          <cell r="H81">
            <v>35</v>
          </cell>
          <cell r="I81">
            <v>35</v>
          </cell>
          <cell r="J81">
            <v>35</v>
          </cell>
          <cell r="K81">
            <v>35</v>
          </cell>
          <cell r="L81">
            <v>35</v>
          </cell>
          <cell r="M81">
            <v>35</v>
          </cell>
          <cell r="N81">
            <v>35</v>
          </cell>
          <cell r="O81">
            <v>35</v>
          </cell>
          <cell r="P81">
            <v>35</v>
          </cell>
        </row>
        <row r="82">
          <cell r="E82">
            <v>10</v>
          </cell>
          <cell r="F82">
            <v>10</v>
          </cell>
          <cell r="G82">
            <v>10</v>
          </cell>
          <cell r="H82">
            <v>10</v>
          </cell>
          <cell r="I82">
            <v>10</v>
          </cell>
          <cell r="J82">
            <v>10</v>
          </cell>
          <cell r="K82">
            <v>10</v>
          </cell>
          <cell r="L82">
            <v>10</v>
          </cell>
          <cell r="M82">
            <v>10</v>
          </cell>
          <cell r="N82">
            <v>10</v>
          </cell>
          <cell r="O82">
            <v>10</v>
          </cell>
          <cell r="P82">
            <v>10</v>
          </cell>
        </row>
        <row r="83">
          <cell r="E83">
            <v>1300</v>
          </cell>
          <cell r="F83">
            <v>1300</v>
          </cell>
          <cell r="G83">
            <v>1300</v>
          </cell>
          <cell r="H83">
            <v>1300</v>
          </cell>
          <cell r="I83">
            <v>1300</v>
          </cell>
          <cell r="J83">
            <v>1300</v>
          </cell>
          <cell r="K83">
            <v>1300</v>
          </cell>
          <cell r="L83">
            <v>1300</v>
          </cell>
          <cell r="M83">
            <v>1300</v>
          </cell>
          <cell r="N83">
            <v>1300</v>
          </cell>
          <cell r="O83">
            <v>1300</v>
          </cell>
          <cell r="P83">
            <v>1300</v>
          </cell>
        </row>
        <row r="84">
          <cell r="E84">
            <v>0</v>
          </cell>
          <cell r="F84">
            <v>0</v>
          </cell>
          <cell r="G84">
            <v>0</v>
          </cell>
          <cell r="H84">
            <v>0</v>
          </cell>
          <cell r="I84">
            <v>0</v>
          </cell>
          <cell r="J84">
            <v>0</v>
          </cell>
          <cell r="K84">
            <v>0</v>
          </cell>
          <cell r="L84">
            <v>0</v>
          </cell>
          <cell r="M84">
            <v>0</v>
          </cell>
          <cell r="N84">
            <v>0</v>
          </cell>
          <cell r="O84">
            <v>0</v>
          </cell>
          <cell r="P84">
            <v>0</v>
          </cell>
        </row>
        <row r="85">
          <cell r="E85">
            <v>170</v>
          </cell>
          <cell r="F85">
            <v>170</v>
          </cell>
          <cell r="G85">
            <v>170</v>
          </cell>
          <cell r="H85">
            <v>170</v>
          </cell>
          <cell r="I85">
            <v>170</v>
          </cell>
          <cell r="J85">
            <v>170</v>
          </cell>
          <cell r="K85">
            <v>170</v>
          </cell>
          <cell r="L85">
            <v>170</v>
          </cell>
          <cell r="M85">
            <v>170</v>
          </cell>
          <cell r="N85">
            <v>170</v>
          </cell>
          <cell r="O85">
            <v>170</v>
          </cell>
          <cell r="P85">
            <v>170</v>
          </cell>
        </row>
        <row r="92">
          <cell r="E92">
            <v>0</v>
          </cell>
          <cell r="F92">
            <v>0</v>
          </cell>
          <cell r="G92">
            <v>0</v>
          </cell>
          <cell r="H92">
            <v>0</v>
          </cell>
          <cell r="I92">
            <v>0</v>
          </cell>
          <cell r="J92">
            <v>0</v>
          </cell>
          <cell r="K92">
            <v>0</v>
          </cell>
          <cell r="L92">
            <v>0</v>
          </cell>
          <cell r="M92">
            <v>0</v>
          </cell>
          <cell r="N92">
            <v>0</v>
          </cell>
          <cell r="O92">
            <v>0</v>
          </cell>
          <cell r="P92">
            <v>0</v>
          </cell>
        </row>
        <row r="93">
          <cell r="E93">
            <v>0</v>
          </cell>
          <cell r="F93">
            <v>0</v>
          </cell>
          <cell r="G93">
            <v>0</v>
          </cell>
          <cell r="H93">
            <v>0</v>
          </cell>
          <cell r="I93">
            <v>0</v>
          </cell>
          <cell r="J93">
            <v>0</v>
          </cell>
          <cell r="K93">
            <v>0</v>
          </cell>
          <cell r="L93">
            <v>0</v>
          </cell>
          <cell r="M93">
            <v>0</v>
          </cell>
          <cell r="N93">
            <v>0</v>
          </cell>
          <cell r="O93">
            <v>0</v>
          </cell>
          <cell r="P93">
            <v>0</v>
          </cell>
        </row>
        <row r="94">
          <cell r="E94">
            <v>1758.9169876094636</v>
          </cell>
          <cell r="F94">
            <v>1719.6466132661913</v>
          </cell>
          <cell r="G94">
            <v>2252.7530495778146</v>
          </cell>
          <cell r="H94">
            <v>4121.8098630045515</v>
          </cell>
          <cell r="I94">
            <v>3681.3243353251628</v>
          </cell>
          <cell r="J94">
            <v>2199.7310759511602</v>
          </cell>
          <cell r="K94">
            <v>2102.8829386082739</v>
          </cell>
          <cell r="L94">
            <v>2322.9627189227144</v>
          </cell>
          <cell r="M94">
            <v>1718.1880323523033</v>
          </cell>
          <cell r="N94">
            <v>2964.593979577799</v>
          </cell>
          <cell r="O94">
            <v>5549.880987709701</v>
          </cell>
          <cell r="P94">
            <v>2040.3094180948635</v>
          </cell>
        </row>
        <row r="95">
          <cell r="E95">
            <v>998.72169351846264</v>
          </cell>
          <cell r="F95">
            <v>866.47087059673436</v>
          </cell>
          <cell r="G95">
            <v>1112.6766673836501</v>
          </cell>
          <cell r="H95">
            <v>963.68031554049003</v>
          </cell>
          <cell r="I95">
            <v>1327.4300283816012</v>
          </cell>
          <cell r="J95">
            <v>1100.8786527995303</v>
          </cell>
          <cell r="K95">
            <v>1304.3946029318499</v>
          </cell>
          <cell r="L95">
            <v>1044.2511951877461</v>
          </cell>
          <cell r="M95">
            <v>799.95299894230106</v>
          </cell>
          <cell r="N95">
            <v>1141.2069518982451</v>
          </cell>
          <cell r="O95">
            <v>1143.510214642348</v>
          </cell>
          <cell r="P95">
            <v>696.82580817704115</v>
          </cell>
        </row>
        <row r="96">
          <cell r="E96">
            <v>1652.6753978584377</v>
          </cell>
          <cell r="F96">
            <v>1727.5096033468692</v>
          </cell>
          <cell r="G96">
            <v>1728.4969010161922</v>
          </cell>
          <cell r="H96">
            <v>2830.7432547726557</v>
          </cell>
          <cell r="I96">
            <v>2316.8335249374268</v>
          </cell>
          <cell r="J96">
            <v>1782.5831259687641</v>
          </cell>
          <cell r="K96">
            <v>1772.5775029718116</v>
          </cell>
          <cell r="L96">
            <v>2243.542254752278</v>
          </cell>
          <cell r="M96">
            <v>1660.9170138477077</v>
          </cell>
          <cell r="N96">
            <v>2095.5907420365202</v>
          </cell>
          <cell r="O96">
            <v>3101.0421346892153</v>
          </cell>
          <cell r="P96">
            <v>1615.4885438021217</v>
          </cell>
        </row>
        <row r="102">
          <cell r="E102">
            <v>0</v>
          </cell>
          <cell r="F102">
            <v>0</v>
          </cell>
          <cell r="G102">
            <v>0</v>
          </cell>
          <cell r="H102">
            <v>0</v>
          </cell>
          <cell r="I102">
            <v>0</v>
          </cell>
          <cell r="J102">
            <v>0</v>
          </cell>
          <cell r="K102">
            <v>0</v>
          </cell>
          <cell r="L102">
            <v>0</v>
          </cell>
          <cell r="M102">
            <v>0</v>
          </cell>
          <cell r="N102">
            <v>0</v>
          </cell>
          <cell r="O102">
            <v>0</v>
          </cell>
          <cell r="P102">
            <v>0</v>
          </cell>
        </row>
        <row r="103">
          <cell r="E103">
            <v>0</v>
          </cell>
          <cell r="F103">
            <v>0</v>
          </cell>
          <cell r="G103">
            <v>0</v>
          </cell>
          <cell r="H103">
            <v>0</v>
          </cell>
          <cell r="I103">
            <v>0</v>
          </cell>
          <cell r="J103">
            <v>0</v>
          </cell>
          <cell r="K103">
            <v>0</v>
          </cell>
          <cell r="L103">
            <v>0</v>
          </cell>
          <cell r="M103">
            <v>0</v>
          </cell>
          <cell r="N103">
            <v>0</v>
          </cell>
          <cell r="O103">
            <v>0</v>
          </cell>
          <cell r="P103">
            <v>0</v>
          </cell>
        </row>
        <row r="104">
          <cell r="E104">
            <v>7073.1916666666666</v>
          </cell>
          <cell r="F104">
            <v>7073.1916666666666</v>
          </cell>
          <cell r="G104">
            <v>7073.1916666666666</v>
          </cell>
          <cell r="H104">
            <v>7073.1916666666666</v>
          </cell>
          <cell r="I104">
            <v>7073.1916666666666</v>
          </cell>
          <cell r="J104">
            <v>7073.1916666666666</v>
          </cell>
          <cell r="K104">
            <v>7073.1916666666666</v>
          </cell>
          <cell r="L104">
            <v>7073.1916666666666</v>
          </cell>
          <cell r="M104">
            <v>7073.1916666666666</v>
          </cell>
          <cell r="N104">
            <v>7073.1916666666666</v>
          </cell>
          <cell r="O104">
            <v>7073.1916666666666</v>
          </cell>
          <cell r="P104">
            <v>7073.1916666666666</v>
          </cell>
        </row>
        <row r="105">
          <cell r="E105">
            <v>0</v>
          </cell>
          <cell r="F105">
            <v>0</v>
          </cell>
          <cell r="G105">
            <v>0</v>
          </cell>
          <cell r="H105">
            <v>0</v>
          </cell>
          <cell r="I105">
            <v>0</v>
          </cell>
          <cell r="J105">
            <v>0</v>
          </cell>
          <cell r="K105">
            <v>0</v>
          </cell>
          <cell r="L105">
            <v>0</v>
          </cell>
          <cell r="M105">
            <v>0</v>
          </cell>
          <cell r="N105">
            <v>0</v>
          </cell>
          <cell r="O105">
            <v>0</v>
          </cell>
          <cell r="P105">
            <v>0</v>
          </cell>
        </row>
        <row r="106">
          <cell r="E106">
            <v>3808.6416666666664</v>
          </cell>
          <cell r="F106">
            <v>3808.6416666666664</v>
          </cell>
          <cell r="G106">
            <v>3808.6416666666664</v>
          </cell>
          <cell r="H106">
            <v>3808.6416666666664</v>
          </cell>
          <cell r="I106">
            <v>3808.6416666666664</v>
          </cell>
          <cell r="J106">
            <v>3808.6416666666664</v>
          </cell>
          <cell r="K106">
            <v>3808.6416666666664</v>
          </cell>
          <cell r="L106">
            <v>3808.6416666666664</v>
          </cell>
          <cell r="M106">
            <v>3808.6416666666664</v>
          </cell>
          <cell r="N106">
            <v>3808.6416666666664</v>
          </cell>
          <cell r="O106">
            <v>3808.6416666666664</v>
          </cell>
          <cell r="P106">
            <v>3808.6416666666664</v>
          </cell>
        </row>
        <row r="115">
          <cell r="E115">
            <v>9088.8775000000005</v>
          </cell>
          <cell r="F115">
            <v>9088.8775000000005</v>
          </cell>
          <cell r="G115">
            <v>9088.8775000000005</v>
          </cell>
          <cell r="H115">
            <v>9088.8775000000005</v>
          </cell>
          <cell r="I115">
            <v>9088.8775000000005</v>
          </cell>
          <cell r="J115">
            <v>9088.8775000000005</v>
          </cell>
          <cell r="K115">
            <v>9088.8775000000005</v>
          </cell>
          <cell r="L115">
            <v>9088.8775000000005</v>
          </cell>
          <cell r="M115">
            <v>9088.8775000000005</v>
          </cell>
          <cell r="N115">
            <v>9088.8775000000005</v>
          </cell>
          <cell r="O115">
            <v>9088.8775000000005</v>
          </cell>
          <cell r="P115">
            <v>9088.8775000000005</v>
          </cell>
        </row>
        <row r="116">
          <cell r="E116">
            <v>215.04</v>
          </cell>
          <cell r="F116">
            <v>215.04</v>
          </cell>
          <cell r="G116">
            <v>215.04</v>
          </cell>
          <cell r="H116">
            <v>215.04</v>
          </cell>
          <cell r="I116">
            <v>215.04</v>
          </cell>
          <cell r="J116">
            <v>215.04</v>
          </cell>
          <cell r="K116">
            <v>215.04</v>
          </cell>
          <cell r="L116">
            <v>215.04</v>
          </cell>
          <cell r="M116">
            <v>215.04</v>
          </cell>
          <cell r="N116">
            <v>215.04</v>
          </cell>
          <cell r="O116">
            <v>215.04</v>
          </cell>
          <cell r="P116">
            <v>215.04</v>
          </cell>
        </row>
        <row r="117">
          <cell r="E117">
            <v>16764.080000000002</v>
          </cell>
          <cell r="F117">
            <v>16764.080000000002</v>
          </cell>
          <cell r="G117">
            <v>16764.080000000002</v>
          </cell>
          <cell r="H117">
            <v>21064.080000000002</v>
          </cell>
          <cell r="I117">
            <v>21064.080000000002</v>
          </cell>
          <cell r="J117">
            <v>16764.080000000002</v>
          </cell>
          <cell r="K117">
            <v>16764.080000000002</v>
          </cell>
          <cell r="L117">
            <v>16764.080000000002</v>
          </cell>
          <cell r="M117">
            <v>16764.080000000002</v>
          </cell>
          <cell r="N117">
            <v>22784.080000000002</v>
          </cell>
          <cell r="O117">
            <v>21064.080000000002</v>
          </cell>
          <cell r="P117">
            <v>21064.080000000002</v>
          </cell>
        </row>
        <row r="118">
          <cell r="E118">
            <v>298.94</v>
          </cell>
          <cell r="F118">
            <v>298.94</v>
          </cell>
          <cell r="G118">
            <v>298.94</v>
          </cell>
          <cell r="H118">
            <v>298.94</v>
          </cell>
          <cell r="I118">
            <v>298.94</v>
          </cell>
          <cell r="J118">
            <v>298.94</v>
          </cell>
          <cell r="K118">
            <v>298.94</v>
          </cell>
          <cell r="L118">
            <v>298.94</v>
          </cell>
          <cell r="M118">
            <v>298.94</v>
          </cell>
          <cell r="N118">
            <v>298.94</v>
          </cell>
          <cell r="O118">
            <v>298.94</v>
          </cell>
          <cell r="P118">
            <v>298.94</v>
          </cell>
        </row>
        <row r="119">
          <cell r="E119">
            <v>285.5</v>
          </cell>
          <cell r="F119">
            <v>285.5</v>
          </cell>
          <cell r="G119">
            <v>285.5</v>
          </cell>
          <cell r="H119">
            <v>285.5</v>
          </cell>
          <cell r="I119">
            <v>285.5</v>
          </cell>
          <cell r="J119">
            <v>285.5</v>
          </cell>
          <cell r="K119">
            <v>285.5</v>
          </cell>
          <cell r="L119">
            <v>285.5</v>
          </cell>
          <cell r="M119">
            <v>285.5</v>
          </cell>
          <cell r="N119">
            <v>285.5</v>
          </cell>
          <cell r="O119">
            <v>285.5</v>
          </cell>
          <cell r="P119">
            <v>285.5</v>
          </cell>
        </row>
        <row r="133">
          <cell r="E133">
            <v>6677.3962666666675</v>
          </cell>
          <cell r="F133">
            <v>6677.3962666666675</v>
          </cell>
          <cell r="G133">
            <v>6677.3962666666675</v>
          </cell>
          <cell r="H133">
            <v>6677.3962666666675</v>
          </cell>
          <cell r="I133">
            <v>6677.3962666666675</v>
          </cell>
          <cell r="J133">
            <v>6677.3962666666675</v>
          </cell>
          <cell r="K133">
            <v>6677.3962666666675</v>
          </cell>
          <cell r="L133">
            <v>6677.3962666666675</v>
          </cell>
          <cell r="M133">
            <v>6677.3962666666675</v>
          </cell>
          <cell r="N133">
            <v>6677.3962666666675</v>
          </cell>
          <cell r="O133">
            <v>6677.3962666666675</v>
          </cell>
          <cell r="P133">
            <v>6677.3962666666675</v>
          </cell>
        </row>
        <row r="134">
          <cell r="E134">
            <v>2662.7736</v>
          </cell>
          <cell r="F134">
            <v>2662.7736</v>
          </cell>
          <cell r="G134">
            <v>2662.7736</v>
          </cell>
          <cell r="H134">
            <v>2662.7736</v>
          </cell>
          <cell r="I134">
            <v>2662.7736</v>
          </cell>
          <cell r="J134">
            <v>2662.7736</v>
          </cell>
          <cell r="K134">
            <v>2662.7736</v>
          </cell>
          <cell r="L134">
            <v>2662.7736</v>
          </cell>
          <cell r="M134">
            <v>2662.7736</v>
          </cell>
          <cell r="N134">
            <v>2662.7736</v>
          </cell>
          <cell r="O134">
            <v>2662.7736</v>
          </cell>
          <cell r="P134">
            <v>2662.7736</v>
          </cell>
        </row>
        <row r="135">
          <cell r="E135">
            <v>4425.5472</v>
          </cell>
          <cell r="F135">
            <v>4425.5472</v>
          </cell>
          <cell r="G135">
            <v>4425.5472</v>
          </cell>
          <cell r="H135">
            <v>4425.5472</v>
          </cell>
          <cell r="I135">
            <v>4425.5472</v>
          </cell>
          <cell r="J135">
            <v>4425.5472</v>
          </cell>
          <cell r="K135">
            <v>4425.5472</v>
          </cell>
          <cell r="L135">
            <v>4425.5472</v>
          </cell>
          <cell r="M135">
            <v>4425.5472</v>
          </cell>
          <cell r="N135">
            <v>4425.5472</v>
          </cell>
          <cell r="O135">
            <v>4425.5472</v>
          </cell>
          <cell r="P135">
            <v>4425.5472</v>
          </cell>
        </row>
        <row r="136">
          <cell r="E136">
            <v>1436.6179333333334</v>
          </cell>
          <cell r="F136">
            <v>1436.6179333333334</v>
          </cell>
          <cell r="G136">
            <v>1436.6179333333334</v>
          </cell>
          <cell r="H136">
            <v>1436.6179333333334</v>
          </cell>
          <cell r="I136">
            <v>1436.6179333333334</v>
          </cell>
          <cell r="J136">
            <v>1436.6179333333334</v>
          </cell>
          <cell r="K136">
            <v>1436.6179333333334</v>
          </cell>
          <cell r="L136">
            <v>1436.6179333333334</v>
          </cell>
          <cell r="M136">
            <v>1436.6179333333334</v>
          </cell>
          <cell r="N136">
            <v>1436.6179333333334</v>
          </cell>
          <cell r="O136">
            <v>1436.6179333333334</v>
          </cell>
          <cell r="P136">
            <v>1436.6179333333334</v>
          </cell>
        </row>
        <row r="137">
          <cell r="E137">
            <v>4280.7783333333336</v>
          </cell>
          <cell r="F137">
            <v>4280.7783333333336</v>
          </cell>
          <cell r="G137">
            <v>4280.7783333333336</v>
          </cell>
          <cell r="H137">
            <v>4280.7783333333336</v>
          </cell>
          <cell r="I137">
            <v>4280.7783333333336</v>
          </cell>
          <cell r="J137">
            <v>4280.7783333333336</v>
          </cell>
          <cell r="K137">
            <v>4280.7783333333336</v>
          </cell>
          <cell r="L137">
            <v>4280.7783333333336</v>
          </cell>
          <cell r="M137">
            <v>4280.7783333333336</v>
          </cell>
          <cell r="N137">
            <v>4280.7783333333336</v>
          </cell>
          <cell r="O137">
            <v>4280.7783333333336</v>
          </cell>
          <cell r="P137">
            <v>4280.7783333333336</v>
          </cell>
        </row>
        <row r="150">
          <cell r="E150">
            <v>1596.4967999999999</v>
          </cell>
          <cell r="F150">
            <v>1596.4967999999999</v>
          </cell>
          <cell r="G150">
            <v>1596.4967999999999</v>
          </cell>
          <cell r="H150">
            <v>1596.4967999999999</v>
          </cell>
          <cell r="I150">
            <v>1596.4967999999999</v>
          </cell>
          <cell r="J150">
            <v>1596.4967999999999</v>
          </cell>
          <cell r="K150">
            <v>1596.4967999999999</v>
          </cell>
          <cell r="L150">
            <v>1596.4967999999999</v>
          </cell>
          <cell r="M150">
            <v>1596.4967999999999</v>
          </cell>
          <cell r="N150">
            <v>1596.4967999999999</v>
          </cell>
          <cell r="O150">
            <v>1596.4967999999999</v>
          </cell>
          <cell r="P150">
            <v>1596.4967999999999</v>
          </cell>
        </row>
        <row r="151">
          <cell r="E151">
            <v>598.68629999999996</v>
          </cell>
          <cell r="F151">
            <v>598.68629999999996</v>
          </cell>
          <cell r="G151">
            <v>598.68629999999996</v>
          </cell>
          <cell r="H151">
            <v>598.68629999999996</v>
          </cell>
          <cell r="I151">
            <v>598.68629999999996</v>
          </cell>
          <cell r="J151">
            <v>598.68629999999996</v>
          </cell>
          <cell r="K151">
            <v>598.68629999999996</v>
          </cell>
          <cell r="L151">
            <v>598.68629999999996</v>
          </cell>
          <cell r="M151">
            <v>598.68629999999996</v>
          </cell>
          <cell r="N151">
            <v>598.68629999999996</v>
          </cell>
          <cell r="O151">
            <v>598.68629999999996</v>
          </cell>
          <cell r="P151">
            <v>598.68629999999996</v>
          </cell>
        </row>
        <row r="152">
          <cell r="E152">
            <v>1197.3725999999999</v>
          </cell>
          <cell r="F152">
            <v>1197.3725999999999</v>
          </cell>
          <cell r="G152">
            <v>1197.3725999999999</v>
          </cell>
          <cell r="H152">
            <v>1197.3725999999999</v>
          </cell>
          <cell r="I152">
            <v>1197.3725999999999</v>
          </cell>
          <cell r="J152">
            <v>1197.3725999999999</v>
          </cell>
          <cell r="K152">
            <v>1197.3725999999999</v>
          </cell>
          <cell r="L152">
            <v>1197.3725999999999</v>
          </cell>
          <cell r="M152">
            <v>1197.3725999999999</v>
          </cell>
          <cell r="N152">
            <v>1197.3725999999999</v>
          </cell>
          <cell r="O152">
            <v>1197.3725999999999</v>
          </cell>
          <cell r="P152">
            <v>1197.3725999999999</v>
          </cell>
        </row>
        <row r="153">
          <cell r="E153">
            <v>349.23367500000001</v>
          </cell>
          <cell r="F153">
            <v>349.23367500000001</v>
          </cell>
          <cell r="G153">
            <v>349.23367500000001</v>
          </cell>
          <cell r="H153">
            <v>349.23367500000001</v>
          </cell>
          <cell r="I153">
            <v>349.23367500000001</v>
          </cell>
          <cell r="J153">
            <v>349.23367500000001</v>
          </cell>
          <cell r="K153">
            <v>349.23367500000001</v>
          </cell>
          <cell r="L153">
            <v>349.23367500000001</v>
          </cell>
          <cell r="M153">
            <v>349.23367500000001</v>
          </cell>
          <cell r="N153">
            <v>349.23367500000001</v>
          </cell>
          <cell r="O153">
            <v>349.23367500000001</v>
          </cell>
          <cell r="P153">
            <v>349.23367500000001</v>
          </cell>
        </row>
        <row r="154">
          <cell r="E154">
            <v>1247.2631249999999</v>
          </cell>
          <cell r="F154">
            <v>1247.2631249999999</v>
          </cell>
          <cell r="G154">
            <v>1247.2631249999999</v>
          </cell>
          <cell r="H154">
            <v>1247.2631249999999</v>
          </cell>
          <cell r="I154">
            <v>1247.2631249999999</v>
          </cell>
          <cell r="J154">
            <v>1247.2631249999999</v>
          </cell>
          <cell r="K154">
            <v>1247.2631249999999</v>
          </cell>
          <cell r="L154">
            <v>1247.2631249999999</v>
          </cell>
          <cell r="M154">
            <v>1247.2631249999999</v>
          </cell>
          <cell r="N154">
            <v>1247.2631249999999</v>
          </cell>
          <cell r="O154">
            <v>1247.2631249999999</v>
          </cell>
          <cell r="P154">
            <v>1247.2631249999999</v>
          </cell>
        </row>
        <row r="160">
          <cell r="E160">
            <v>589.91200000000003</v>
          </cell>
          <cell r="F160">
            <v>589.91200000000003</v>
          </cell>
          <cell r="G160">
            <v>589.91200000000003</v>
          </cell>
          <cell r="H160">
            <v>589.91200000000003</v>
          </cell>
          <cell r="I160">
            <v>589.91200000000003</v>
          </cell>
          <cell r="J160">
            <v>589.91200000000003</v>
          </cell>
          <cell r="K160">
            <v>589.91200000000003</v>
          </cell>
          <cell r="L160">
            <v>589.91200000000003</v>
          </cell>
          <cell r="M160">
            <v>589.91200000000003</v>
          </cell>
          <cell r="N160">
            <v>589.91200000000003</v>
          </cell>
          <cell r="O160">
            <v>589.91200000000003</v>
          </cell>
          <cell r="P160">
            <v>589.91200000000003</v>
          </cell>
        </row>
        <row r="161">
          <cell r="E161">
            <v>268.09199999999998</v>
          </cell>
          <cell r="F161">
            <v>268.09199999999998</v>
          </cell>
          <cell r="G161">
            <v>268.09199999999998</v>
          </cell>
          <cell r="H161">
            <v>268.09199999999998</v>
          </cell>
          <cell r="I161">
            <v>268.09199999999998</v>
          </cell>
          <cell r="J161">
            <v>268.09199999999998</v>
          </cell>
          <cell r="K161">
            <v>268.09199999999998</v>
          </cell>
          <cell r="L161">
            <v>268.09199999999998</v>
          </cell>
          <cell r="M161">
            <v>268.09199999999998</v>
          </cell>
          <cell r="N161">
            <v>268.09199999999998</v>
          </cell>
          <cell r="O161">
            <v>268.09199999999998</v>
          </cell>
          <cell r="P161">
            <v>268.09199999999998</v>
          </cell>
        </row>
        <row r="162">
          <cell r="E162">
            <v>461.18399999999997</v>
          </cell>
          <cell r="F162">
            <v>461.18399999999997</v>
          </cell>
          <cell r="G162">
            <v>461.18399999999997</v>
          </cell>
          <cell r="H162">
            <v>461.18399999999997</v>
          </cell>
          <cell r="I162">
            <v>461.18399999999997</v>
          </cell>
          <cell r="J162">
            <v>461.18399999999997</v>
          </cell>
          <cell r="K162">
            <v>461.18399999999997</v>
          </cell>
          <cell r="L162">
            <v>461.18399999999997</v>
          </cell>
          <cell r="M162">
            <v>461.18399999999997</v>
          </cell>
          <cell r="N162">
            <v>461.18399999999997</v>
          </cell>
          <cell r="O162">
            <v>461.18399999999997</v>
          </cell>
          <cell r="P162">
            <v>461.18399999999997</v>
          </cell>
        </row>
        <row r="163">
          <cell r="E163">
            <v>177.637</v>
          </cell>
          <cell r="F163">
            <v>177.637</v>
          </cell>
          <cell r="G163">
            <v>177.637</v>
          </cell>
          <cell r="H163">
            <v>177.637</v>
          </cell>
          <cell r="I163">
            <v>177.637</v>
          </cell>
          <cell r="J163">
            <v>177.637</v>
          </cell>
          <cell r="K163">
            <v>177.637</v>
          </cell>
          <cell r="L163">
            <v>177.637</v>
          </cell>
          <cell r="M163">
            <v>177.637</v>
          </cell>
          <cell r="N163">
            <v>177.637</v>
          </cell>
          <cell r="O163">
            <v>177.637</v>
          </cell>
          <cell r="P163">
            <v>177.637</v>
          </cell>
        </row>
        <row r="164">
          <cell r="E164">
            <v>452.27499999999998</v>
          </cell>
          <cell r="F164">
            <v>452.27499999999998</v>
          </cell>
          <cell r="G164">
            <v>452.27499999999998</v>
          </cell>
          <cell r="H164">
            <v>452.27499999999998</v>
          </cell>
          <cell r="I164">
            <v>452.27499999999998</v>
          </cell>
          <cell r="J164">
            <v>452.27499999999998</v>
          </cell>
          <cell r="K164">
            <v>452.27499999999998</v>
          </cell>
          <cell r="L164">
            <v>452.27499999999998</v>
          </cell>
          <cell r="M164">
            <v>452.27499999999998</v>
          </cell>
          <cell r="N164">
            <v>452.27499999999998</v>
          </cell>
          <cell r="O164">
            <v>452.27499999999998</v>
          </cell>
          <cell r="P164">
            <v>452.27499999999998</v>
          </cell>
        </row>
        <row r="170">
          <cell r="E170">
            <v>276.8</v>
          </cell>
          <cell r="F170">
            <v>276.8</v>
          </cell>
          <cell r="G170">
            <v>276.8</v>
          </cell>
          <cell r="H170">
            <v>276.8</v>
          </cell>
          <cell r="I170">
            <v>276.8</v>
          </cell>
          <cell r="J170">
            <v>276.8</v>
          </cell>
          <cell r="K170">
            <v>276.8</v>
          </cell>
          <cell r="L170">
            <v>276.8</v>
          </cell>
          <cell r="M170">
            <v>276.8</v>
          </cell>
          <cell r="N170">
            <v>276.8</v>
          </cell>
          <cell r="O170">
            <v>276.8</v>
          </cell>
          <cell r="P170">
            <v>276.8</v>
          </cell>
        </row>
        <row r="171">
          <cell r="E171">
            <v>103.8</v>
          </cell>
          <cell r="F171">
            <v>103.8</v>
          </cell>
          <cell r="G171">
            <v>103.8</v>
          </cell>
          <cell r="H171">
            <v>103.8</v>
          </cell>
          <cell r="I171">
            <v>103.8</v>
          </cell>
          <cell r="J171">
            <v>103.8</v>
          </cell>
          <cell r="K171">
            <v>103.8</v>
          </cell>
          <cell r="L171">
            <v>103.8</v>
          </cell>
          <cell r="M171">
            <v>103.8</v>
          </cell>
          <cell r="N171">
            <v>103.8</v>
          </cell>
          <cell r="O171">
            <v>103.8</v>
          </cell>
          <cell r="P171">
            <v>103.8</v>
          </cell>
        </row>
        <row r="172">
          <cell r="E172">
            <v>207.6</v>
          </cell>
          <cell r="F172">
            <v>207.6</v>
          </cell>
          <cell r="G172">
            <v>207.6</v>
          </cell>
          <cell r="H172">
            <v>207.6</v>
          </cell>
          <cell r="I172">
            <v>207.6</v>
          </cell>
          <cell r="J172">
            <v>207.6</v>
          </cell>
          <cell r="K172">
            <v>207.6</v>
          </cell>
          <cell r="L172">
            <v>207.6</v>
          </cell>
          <cell r="M172">
            <v>207.6</v>
          </cell>
          <cell r="N172">
            <v>207.6</v>
          </cell>
          <cell r="O172">
            <v>207.6</v>
          </cell>
          <cell r="P172">
            <v>207.6</v>
          </cell>
        </row>
        <row r="173">
          <cell r="E173">
            <v>60.550000000000004</v>
          </cell>
          <cell r="F173">
            <v>60.550000000000004</v>
          </cell>
          <cell r="G173">
            <v>60.550000000000004</v>
          </cell>
          <cell r="H173">
            <v>60.550000000000004</v>
          </cell>
          <cell r="I173">
            <v>60.550000000000004</v>
          </cell>
          <cell r="J173">
            <v>60.550000000000004</v>
          </cell>
          <cell r="K173">
            <v>60.550000000000004</v>
          </cell>
          <cell r="L173">
            <v>60.550000000000004</v>
          </cell>
          <cell r="M173">
            <v>60.550000000000004</v>
          </cell>
          <cell r="N173">
            <v>60.550000000000004</v>
          </cell>
          <cell r="O173">
            <v>60.550000000000004</v>
          </cell>
          <cell r="P173">
            <v>60.550000000000004</v>
          </cell>
        </row>
        <row r="174">
          <cell r="E174">
            <v>216.25</v>
          </cell>
          <cell r="F174">
            <v>216.25</v>
          </cell>
          <cell r="G174">
            <v>216.25</v>
          </cell>
          <cell r="H174">
            <v>216.25</v>
          </cell>
          <cell r="I174">
            <v>216.25</v>
          </cell>
          <cell r="J174">
            <v>216.25</v>
          </cell>
          <cell r="K174">
            <v>216.25</v>
          </cell>
          <cell r="L174">
            <v>216.25</v>
          </cell>
          <cell r="M174">
            <v>216.25</v>
          </cell>
          <cell r="N174">
            <v>216.25</v>
          </cell>
          <cell r="O174">
            <v>216.25</v>
          </cell>
          <cell r="P174">
            <v>216.25</v>
          </cell>
        </row>
        <row r="181">
          <cell r="E181">
            <v>9409.894666666667</v>
          </cell>
          <cell r="F181">
            <v>9409.894666666667</v>
          </cell>
          <cell r="G181">
            <v>9409.894666666667</v>
          </cell>
          <cell r="H181">
            <v>9857.894666666667</v>
          </cell>
          <cell r="I181">
            <v>9857.894666666667</v>
          </cell>
          <cell r="J181">
            <v>9409.894666666667</v>
          </cell>
          <cell r="K181">
            <v>9409.894666666667</v>
          </cell>
          <cell r="L181">
            <v>9409.894666666667</v>
          </cell>
          <cell r="M181">
            <v>9409.894666666667</v>
          </cell>
          <cell r="N181">
            <v>9857.894666666667</v>
          </cell>
          <cell r="O181">
            <v>9857.894666666667</v>
          </cell>
          <cell r="P181">
            <v>9409.894666666667</v>
          </cell>
        </row>
        <row r="182">
          <cell r="E182">
            <v>2766.5604999999996</v>
          </cell>
          <cell r="F182">
            <v>2766.5604999999996</v>
          </cell>
          <cell r="G182">
            <v>2766.5604999999996</v>
          </cell>
          <cell r="H182">
            <v>2934.5604999999996</v>
          </cell>
          <cell r="I182">
            <v>2934.5604999999996</v>
          </cell>
          <cell r="J182">
            <v>2766.5604999999996</v>
          </cell>
          <cell r="K182">
            <v>2766.5604999999996</v>
          </cell>
          <cell r="L182">
            <v>2766.5604999999996</v>
          </cell>
          <cell r="M182">
            <v>2766.5604999999996</v>
          </cell>
          <cell r="N182">
            <v>2934.5604999999996</v>
          </cell>
          <cell r="O182">
            <v>2934.5604999999996</v>
          </cell>
          <cell r="P182">
            <v>2766.5604999999996</v>
          </cell>
        </row>
        <row r="183">
          <cell r="E183">
            <v>3513.5209999999993</v>
          </cell>
          <cell r="F183">
            <v>3513.5209999999993</v>
          </cell>
          <cell r="G183">
            <v>3513.5209999999993</v>
          </cell>
          <cell r="H183">
            <v>3849.5209999999993</v>
          </cell>
          <cell r="I183">
            <v>3849.5209999999993</v>
          </cell>
          <cell r="J183">
            <v>3513.5209999999993</v>
          </cell>
          <cell r="K183">
            <v>3513.5209999999993</v>
          </cell>
          <cell r="L183">
            <v>3513.5209999999993</v>
          </cell>
          <cell r="M183">
            <v>3513.5209999999993</v>
          </cell>
          <cell r="N183">
            <v>3849.5209999999993</v>
          </cell>
          <cell r="O183">
            <v>3849.5209999999993</v>
          </cell>
          <cell r="P183">
            <v>3513.5209999999993</v>
          </cell>
        </row>
        <row r="184">
          <cell r="E184">
            <v>1024.7769583333334</v>
          </cell>
          <cell r="F184">
            <v>1024.7769583333334</v>
          </cell>
          <cell r="G184">
            <v>1024.7769583333334</v>
          </cell>
          <cell r="H184">
            <v>1122.7769583333334</v>
          </cell>
          <cell r="I184">
            <v>1122.7769583333334</v>
          </cell>
          <cell r="J184">
            <v>1024.7769583333334</v>
          </cell>
          <cell r="K184">
            <v>1024.7769583333334</v>
          </cell>
          <cell r="L184">
            <v>1024.7769583333334</v>
          </cell>
          <cell r="M184">
            <v>1024.7769583333334</v>
          </cell>
          <cell r="N184">
            <v>1122.7769583333334</v>
          </cell>
          <cell r="O184">
            <v>1122.7769583333334</v>
          </cell>
          <cell r="P184">
            <v>1024.7769583333334</v>
          </cell>
        </row>
        <row r="185">
          <cell r="E185">
            <v>7272.824908333333</v>
          </cell>
          <cell r="F185">
            <v>7060.8431083333326</v>
          </cell>
          <cell r="G185">
            <v>7738.2632083333328</v>
          </cell>
          <cell r="H185">
            <v>7507.6174083333326</v>
          </cell>
          <cell r="I185">
            <v>9198.8635083333338</v>
          </cell>
          <cell r="J185">
            <v>7507.8482083333329</v>
          </cell>
          <cell r="K185">
            <v>7507.8482083333329</v>
          </cell>
          <cell r="L185">
            <v>7120.7510083333327</v>
          </cell>
          <cell r="M185">
            <v>7332.7328083333323</v>
          </cell>
          <cell r="N185">
            <v>7867.0648083333326</v>
          </cell>
          <cell r="O185">
            <v>8314.0699083333329</v>
          </cell>
          <cell r="P185">
            <v>6982.5020083333329</v>
          </cell>
        </row>
        <row r="213">
          <cell r="E213">
            <v>1349.1200000000001</v>
          </cell>
          <cell r="F213">
            <v>1349.1200000000001</v>
          </cell>
          <cell r="G213">
            <v>1349.1200000000001</v>
          </cell>
          <cell r="H213">
            <v>1349.1200000000001</v>
          </cell>
          <cell r="I213">
            <v>1349.1200000000001</v>
          </cell>
          <cell r="J213">
            <v>1349.1200000000001</v>
          </cell>
          <cell r="K213">
            <v>1349.1200000000001</v>
          </cell>
          <cell r="L213">
            <v>1349.1200000000001</v>
          </cell>
          <cell r="M213">
            <v>1349.1200000000001</v>
          </cell>
          <cell r="N213">
            <v>1349.1200000000001</v>
          </cell>
          <cell r="O213">
            <v>1349.1200000000001</v>
          </cell>
          <cell r="P213">
            <v>1349.1200000000001</v>
          </cell>
        </row>
        <row r="214">
          <cell r="E214">
            <v>430.91999999999996</v>
          </cell>
          <cell r="F214">
            <v>430.91999999999996</v>
          </cell>
          <cell r="G214">
            <v>430.91999999999996</v>
          </cell>
          <cell r="H214">
            <v>430.91999999999996</v>
          </cell>
          <cell r="I214">
            <v>430.91999999999996</v>
          </cell>
          <cell r="J214">
            <v>430.91999999999996</v>
          </cell>
          <cell r="K214">
            <v>430.91999999999996</v>
          </cell>
          <cell r="L214">
            <v>430.91999999999996</v>
          </cell>
          <cell r="M214">
            <v>430.91999999999996</v>
          </cell>
          <cell r="N214">
            <v>430.91999999999996</v>
          </cell>
          <cell r="O214">
            <v>430.91999999999996</v>
          </cell>
          <cell r="P214">
            <v>430.91999999999996</v>
          </cell>
        </row>
        <row r="215">
          <cell r="E215">
            <v>961.83999999999992</v>
          </cell>
          <cell r="F215">
            <v>961.83999999999992</v>
          </cell>
          <cell r="G215">
            <v>961.83999999999992</v>
          </cell>
          <cell r="H215">
            <v>961.83999999999992</v>
          </cell>
          <cell r="I215">
            <v>961.83999999999992</v>
          </cell>
          <cell r="J215">
            <v>961.83999999999992</v>
          </cell>
          <cell r="K215">
            <v>961.83999999999992</v>
          </cell>
          <cell r="L215">
            <v>961.83999999999992</v>
          </cell>
          <cell r="M215">
            <v>961.83999999999992</v>
          </cell>
          <cell r="N215">
            <v>961.83999999999992</v>
          </cell>
          <cell r="O215">
            <v>961.83999999999992</v>
          </cell>
          <cell r="P215">
            <v>961.83999999999992</v>
          </cell>
        </row>
        <row r="216">
          <cell r="E216">
            <v>251.37000000000003</v>
          </cell>
          <cell r="F216">
            <v>251.37000000000003</v>
          </cell>
          <cell r="G216">
            <v>251.37000000000003</v>
          </cell>
          <cell r="H216">
            <v>251.37000000000003</v>
          </cell>
          <cell r="I216">
            <v>251.37000000000003</v>
          </cell>
          <cell r="J216">
            <v>251.37000000000003</v>
          </cell>
          <cell r="K216">
            <v>251.37000000000003</v>
          </cell>
          <cell r="L216">
            <v>251.37000000000003</v>
          </cell>
          <cell r="M216">
            <v>251.37000000000003</v>
          </cell>
          <cell r="N216">
            <v>251.37000000000003</v>
          </cell>
          <cell r="O216">
            <v>251.37000000000003</v>
          </cell>
          <cell r="P216">
            <v>251.37000000000003</v>
          </cell>
        </row>
        <row r="217">
          <cell r="E217">
            <v>897.75</v>
          </cell>
          <cell r="F217">
            <v>897.75</v>
          </cell>
          <cell r="G217">
            <v>897.75</v>
          </cell>
          <cell r="H217">
            <v>897.75</v>
          </cell>
          <cell r="I217">
            <v>897.75</v>
          </cell>
          <cell r="J217">
            <v>897.75</v>
          </cell>
          <cell r="K217">
            <v>897.75</v>
          </cell>
          <cell r="L217">
            <v>897.75</v>
          </cell>
          <cell r="M217">
            <v>897.75</v>
          </cell>
          <cell r="N217">
            <v>897.75</v>
          </cell>
          <cell r="O217">
            <v>897.75</v>
          </cell>
          <cell r="P217">
            <v>897.75</v>
          </cell>
        </row>
        <row r="229">
          <cell r="E229">
            <v>1438.3466666666668</v>
          </cell>
          <cell r="F229">
            <v>1438.3466666666668</v>
          </cell>
          <cell r="G229">
            <v>1438.3466666666668</v>
          </cell>
          <cell r="H229">
            <v>1438.3466666666668</v>
          </cell>
          <cell r="I229">
            <v>1438.3466666666668</v>
          </cell>
          <cell r="J229">
            <v>1438.3466666666668</v>
          </cell>
          <cell r="K229">
            <v>1438.3466666666668</v>
          </cell>
          <cell r="L229">
            <v>1438.3466666666668</v>
          </cell>
          <cell r="M229">
            <v>1438.3466666666668</v>
          </cell>
          <cell r="N229">
            <v>1438.3466666666668</v>
          </cell>
          <cell r="O229">
            <v>1438.3466666666668</v>
          </cell>
          <cell r="P229">
            <v>1438.3466666666668</v>
          </cell>
        </row>
        <row r="230">
          <cell r="E230">
            <v>70.63</v>
          </cell>
          <cell r="F230">
            <v>70.63</v>
          </cell>
          <cell r="G230">
            <v>70.63</v>
          </cell>
          <cell r="H230">
            <v>70.63</v>
          </cell>
          <cell r="I230">
            <v>70.63</v>
          </cell>
          <cell r="J230">
            <v>70.63</v>
          </cell>
          <cell r="K230">
            <v>70.63</v>
          </cell>
          <cell r="L230">
            <v>70.63</v>
          </cell>
          <cell r="M230">
            <v>70.63</v>
          </cell>
          <cell r="N230">
            <v>70.63</v>
          </cell>
          <cell r="O230">
            <v>70.63</v>
          </cell>
          <cell r="P230">
            <v>70.63</v>
          </cell>
        </row>
        <row r="231">
          <cell r="E231">
            <v>1391.26</v>
          </cell>
          <cell r="F231">
            <v>1391.26</v>
          </cell>
          <cell r="G231">
            <v>1391.26</v>
          </cell>
          <cell r="H231">
            <v>1391.26</v>
          </cell>
          <cell r="I231">
            <v>1391.26</v>
          </cell>
          <cell r="J231">
            <v>1391.26</v>
          </cell>
          <cell r="K231">
            <v>1391.26</v>
          </cell>
          <cell r="L231">
            <v>1391.26</v>
          </cell>
          <cell r="M231">
            <v>1391.26</v>
          </cell>
          <cell r="N231">
            <v>1391.26</v>
          </cell>
          <cell r="O231">
            <v>1391.26</v>
          </cell>
          <cell r="P231">
            <v>1391.26</v>
          </cell>
        </row>
        <row r="232">
          <cell r="E232">
            <v>41.200833333333343</v>
          </cell>
          <cell r="F232">
            <v>41.200833333333343</v>
          </cell>
          <cell r="G232">
            <v>41.200833333333343</v>
          </cell>
          <cell r="H232">
            <v>41.200833333333343</v>
          </cell>
          <cell r="I232">
            <v>41.200833333333343</v>
          </cell>
          <cell r="J232">
            <v>41.200833333333343</v>
          </cell>
          <cell r="K232">
            <v>41.200833333333343</v>
          </cell>
          <cell r="L232">
            <v>41.200833333333343</v>
          </cell>
          <cell r="M232">
            <v>41.200833333333343</v>
          </cell>
          <cell r="N232">
            <v>41.200833333333343</v>
          </cell>
          <cell r="O232">
            <v>41.200833333333343</v>
          </cell>
          <cell r="P232">
            <v>41.200833333333343</v>
          </cell>
        </row>
        <row r="233">
          <cell r="E233">
            <v>247.14583333333334</v>
          </cell>
          <cell r="F233">
            <v>247.14583333333334</v>
          </cell>
          <cell r="G233">
            <v>247.14583333333334</v>
          </cell>
          <cell r="H233">
            <v>247.14583333333334</v>
          </cell>
          <cell r="I233">
            <v>247.14583333333334</v>
          </cell>
          <cell r="J233">
            <v>247.14583333333334</v>
          </cell>
          <cell r="K233">
            <v>247.14583333333334</v>
          </cell>
          <cell r="L233">
            <v>247.14583333333334</v>
          </cell>
          <cell r="M233">
            <v>247.14583333333334</v>
          </cell>
          <cell r="N233">
            <v>247.14583333333334</v>
          </cell>
          <cell r="O233">
            <v>247.14583333333334</v>
          </cell>
          <cell r="P233">
            <v>247.14583333333334</v>
          </cell>
        </row>
        <row r="240">
          <cell r="E240">
            <v>2087.673832859015</v>
          </cell>
          <cell r="F240">
            <v>1800.7473835324845</v>
          </cell>
          <cell r="G240">
            <v>2083.3141574587762</v>
          </cell>
          <cell r="H240">
            <v>4004.986042493329</v>
          </cell>
          <cell r="I240">
            <v>3670.657400387608</v>
          </cell>
          <cell r="J240">
            <v>2426.1879529419884</v>
          </cell>
          <cell r="K240">
            <v>2287.3779570920533</v>
          </cell>
          <cell r="L240">
            <v>2521.1800718091527</v>
          </cell>
          <cell r="M240">
            <v>1909.2920190954228</v>
          </cell>
          <cell r="N240">
            <v>3579.0423375094747</v>
          </cell>
          <cell r="O240">
            <v>5208.1297278014263</v>
          </cell>
          <cell r="P240">
            <v>2363.8111170192706</v>
          </cell>
        </row>
        <row r="241">
          <cell r="E241">
            <v>782.87768732213056</v>
          </cell>
          <cell r="F241">
            <v>675.2802688246818</v>
          </cell>
          <cell r="G241">
            <v>781.24280904704108</v>
          </cell>
          <cell r="H241">
            <v>1501.8697659349984</v>
          </cell>
          <cell r="I241">
            <v>1376.496525145353</v>
          </cell>
          <cell r="J241">
            <v>909.82048235324567</v>
          </cell>
          <cell r="K241">
            <v>857.76673390951987</v>
          </cell>
          <cell r="L241">
            <v>945.44252692843224</v>
          </cell>
          <cell r="M241">
            <v>715.98450716078355</v>
          </cell>
          <cell r="N241">
            <v>1342.1408765660528</v>
          </cell>
          <cell r="O241">
            <v>1953.0486479255346</v>
          </cell>
          <cell r="P241">
            <v>886.42916888222646</v>
          </cell>
        </row>
        <row r="242">
          <cell r="E242">
            <v>1565.7553746442611</v>
          </cell>
          <cell r="F242">
            <v>1350.5605376493636</v>
          </cell>
          <cell r="G242">
            <v>1562.4856180940822</v>
          </cell>
          <cell r="H242">
            <v>3003.7395318699969</v>
          </cell>
          <cell r="I242">
            <v>2752.9930502907059</v>
          </cell>
          <cell r="J242">
            <v>1819.6409647064913</v>
          </cell>
          <cell r="K242">
            <v>1715.5334678190397</v>
          </cell>
          <cell r="L242">
            <v>1890.8850538568645</v>
          </cell>
          <cell r="M242">
            <v>1431.9690143215671</v>
          </cell>
          <cell r="N242">
            <v>2684.2817531321057</v>
          </cell>
          <cell r="O242">
            <v>3906.0972958510692</v>
          </cell>
          <cell r="P242">
            <v>1772.8583377644529</v>
          </cell>
        </row>
        <row r="243">
          <cell r="E243">
            <v>456.67865093790959</v>
          </cell>
          <cell r="F243">
            <v>393.91349014773107</v>
          </cell>
          <cell r="G243">
            <v>455.72497194410732</v>
          </cell>
          <cell r="H243">
            <v>876.09069679541574</v>
          </cell>
          <cell r="I243">
            <v>802.95630633478925</v>
          </cell>
          <cell r="J243">
            <v>530.72861470605994</v>
          </cell>
          <cell r="K243">
            <v>500.36392811388669</v>
          </cell>
          <cell r="L243">
            <v>551.50814070825209</v>
          </cell>
          <cell r="M243">
            <v>417.65762917712379</v>
          </cell>
          <cell r="N243">
            <v>782.91551133019755</v>
          </cell>
          <cell r="O243">
            <v>1139.2783779565621</v>
          </cell>
          <cell r="P243">
            <v>517.08368184796541</v>
          </cell>
        </row>
        <row r="244">
          <cell r="E244">
            <v>1630.9951819211053</v>
          </cell>
          <cell r="F244">
            <v>1406.8338933847535</v>
          </cell>
          <cell r="G244">
            <v>1627.5891855146688</v>
          </cell>
          <cell r="H244">
            <v>3128.8953456979134</v>
          </cell>
          <cell r="I244">
            <v>2867.7010940528189</v>
          </cell>
          <cell r="J244">
            <v>1895.4593382359283</v>
          </cell>
          <cell r="K244">
            <v>1787.0140289781664</v>
          </cell>
          <cell r="L244">
            <v>1969.6719311009003</v>
          </cell>
          <cell r="M244">
            <v>1491.6343899182989</v>
          </cell>
          <cell r="N244">
            <v>2796.126826179277</v>
          </cell>
          <cell r="O244">
            <v>4068.8513498448642</v>
          </cell>
          <cell r="P244">
            <v>1846.7274351713049</v>
          </cell>
        </row>
        <row r="261">
          <cell r="E261">
            <v>8320</v>
          </cell>
          <cell r="F261">
            <v>8320</v>
          </cell>
          <cell r="G261">
            <v>8320</v>
          </cell>
          <cell r="H261">
            <v>8320</v>
          </cell>
          <cell r="I261">
            <v>8320</v>
          </cell>
          <cell r="J261">
            <v>8320</v>
          </cell>
          <cell r="K261">
            <v>8320</v>
          </cell>
          <cell r="L261">
            <v>8320</v>
          </cell>
          <cell r="M261">
            <v>8320</v>
          </cell>
          <cell r="N261">
            <v>8320</v>
          </cell>
          <cell r="O261">
            <v>8320</v>
          </cell>
          <cell r="P261">
            <v>8320</v>
          </cell>
        </row>
        <row r="262">
          <cell r="E262">
            <v>3120</v>
          </cell>
          <cell r="F262">
            <v>3120</v>
          </cell>
          <cell r="G262">
            <v>3120</v>
          </cell>
          <cell r="H262">
            <v>3120</v>
          </cell>
          <cell r="I262">
            <v>3120</v>
          </cell>
          <cell r="J262">
            <v>3120</v>
          </cell>
          <cell r="K262">
            <v>3120</v>
          </cell>
          <cell r="L262">
            <v>3120</v>
          </cell>
          <cell r="M262">
            <v>3120</v>
          </cell>
          <cell r="N262">
            <v>3120</v>
          </cell>
          <cell r="O262">
            <v>3120</v>
          </cell>
          <cell r="P262">
            <v>3120</v>
          </cell>
        </row>
        <row r="263">
          <cell r="E263">
            <v>6240</v>
          </cell>
          <cell r="F263">
            <v>6240</v>
          </cell>
          <cell r="G263">
            <v>6240</v>
          </cell>
          <cell r="H263">
            <v>6240</v>
          </cell>
          <cell r="I263">
            <v>6240</v>
          </cell>
          <cell r="J263">
            <v>6240</v>
          </cell>
          <cell r="K263">
            <v>6240</v>
          </cell>
          <cell r="L263">
            <v>6240</v>
          </cell>
          <cell r="M263">
            <v>6240</v>
          </cell>
          <cell r="N263">
            <v>6240</v>
          </cell>
          <cell r="O263">
            <v>6240</v>
          </cell>
          <cell r="P263">
            <v>6240</v>
          </cell>
        </row>
        <row r="264">
          <cell r="E264">
            <v>1820.0000000000002</v>
          </cell>
          <cell r="F264">
            <v>1820.0000000000002</v>
          </cell>
          <cell r="G264">
            <v>1820.0000000000002</v>
          </cell>
          <cell r="H264">
            <v>1820.0000000000002</v>
          </cell>
          <cell r="I264">
            <v>1820.0000000000002</v>
          </cell>
          <cell r="J264">
            <v>1820.0000000000002</v>
          </cell>
          <cell r="K264">
            <v>1820.0000000000002</v>
          </cell>
          <cell r="L264">
            <v>1820.0000000000002</v>
          </cell>
          <cell r="M264">
            <v>1820.0000000000002</v>
          </cell>
          <cell r="N264">
            <v>1820.0000000000002</v>
          </cell>
          <cell r="O264">
            <v>1820.0000000000002</v>
          </cell>
          <cell r="P264">
            <v>1820.0000000000002</v>
          </cell>
        </row>
        <row r="265">
          <cell r="E265">
            <v>6500</v>
          </cell>
          <cell r="F265">
            <v>6500</v>
          </cell>
          <cell r="G265">
            <v>6500</v>
          </cell>
          <cell r="H265">
            <v>6500</v>
          </cell>
          <cell r="I265">
            <v>6500</v>
          </cell>
          <cell r="J265">
            <v>6500</v>
          </cell>
          <cell r="K265">
            <v>6500</v>
          </cell>
          <cell r="L265">
            <v>6500</v>
          </cell>
          <cell r="M265">
            <v>6500</v>
          </cell>
          <cell r="N265">
            <v>6500</v>
          </cell>
          <cell r="O265">
            <v>6500</v>
          </cell>
          <cell r="P265">
            <v>6500</v>
          </cell>
        </row>
        <row r="270">
          <cell r="E270">
            <v>1539.2</v>
          </cell>
          <cell r="F270">
            <v>1539.2</v>
          </cell>
          <cell r="G270">
            <v>1539.2</v>
          </cell>
          <cell r="H270">
            <v>1539.2</v>
          </cell>
          <cell r="I270">
            <v>1539.2</v>
          </cell>
          <cell r="J270">
            <v>1539.2</v>
          </cell>
          <cell r="K270">
            <v>1539.2</v>
          </cell>
          <cell r="L270">
            <v>1539.2</v>
          </cell>
          <cell r="M270">
            <v>1539.2</v>
          </cell>
          <cell r="N270">
            <v>1539.2</v>
          </cell>
          <cell r="O270">
            <v>1539.2</v>
          </cell>
          <cell r="P270">
            <v>1539.2</v>
          </cell>
        </row>
        <row r="271">
          <cell r="E271">
            <v>577.19999999999993</v>
          </cell>
          <cell r="F271">
            <v>577.19999999999993</v>
          </cell>
          <cell r="G271">
            <v>577.19999999999993</v>
          </cell>
          <cell r="H271">
            <v>577.19999999999993</v>
          </cell>
          <cell r="I271">
            <v>577.19999999999993</v>
          </cell>
          <cell r="J271">
            <v>577.19999999999993</v>
          </cell>
          <cell r="K271">
            <v>577.19999999999993</v>
          </cell>
          <cell r="L271">
            <v>577.19999999999993</v>
          </cell>
          <cell r="M271">
            <v>577.19999999999993</v>
          </cell>
          <cell r="N271">
            <v>577.19999999999993</v>
          </cell>
          <cell r="O271">
            <v>577.19999999999993</v>
          </cell>
          <cell r="P271">
            <v>577.19999999999993</v>
          </cell>
        </row>
        <row r="272">
          <cell r="E272">
            <v>1154.3999999999999</v>
          </cell>
          <cell r="F272">
            <v>1154.3999999999999</v>
          </cell>
          <cell r="G272">
            <v>1154.3999999999999</v>
          </cell>
          <cell r="H272">
            <v>1154.3999999999999</v>
          </cell>
          <cell r="I272">
            <v>1154.3999999999999</v>
          </cell>
          <cell r="J272">
            <v>1154.3999999999999</v>
          </cell>
          <cell r="K272">
            <v>1154.3999999999999</v>
          </cell>
          <cell r="L272">
            <v>1154.3999999999999</v>
          </cell>
          <cell r="M272">
            <v>1154.3999999999999</v>
          </cell>
          <cell r="N272">
            <v>1154.3999999999999</v>
          </cell>
          <cell r="O272">
            <v>1154.3999999999999</v>
          </cell>
          <cell r="P272">
            <v>1154.3999999999999</v>
          </cell>
        </row>
        <row r="273">
          <cell r="E273">
            <v>336.70000000000005</v>
          </cell>
          <cell r="F273">
            <v>336.70000000000005</v>
          </cell>
          <cell r="G273">
            <v>336.70000000000005</v>
          </cell>
          <cell r="H273">
            <v>336.70000000000005</v>
          </cell>
          <cell r="I273">
            <v>336.70000000000005</v>
          </cell>
          <cell r="J273">
            <v>336.70000000000005</v>
          </cell>
          <cell r="K273">
            <v>336.70000000000005</v>
          </cell>
          <cell r="L273">
            <v>336.70000000000005</v>
          </cell>
          <cell r="M273">
            <v>336.70000000000005</v>
          </cell>
          <cell r="N273">
            <v>336.70000000000005</v>
          </cell>
          <cell r="O273">
            <v>336.70000000000005</v>
          </cell>
          <cell r="P273">
            <v>336.70000000000005</v>
          </cell>
        </row>
        <row r="274">
          <cell r="E274">
            <v>1202.5</v>
          </cell>
          <cell r="F274">
            <v>1202.5</v>
          </cell>
          <cell r="G274">
            <v>1202.5</v>
          </cell>
          <cell r="H274">
            <v>1202.5</v>
          </cell>
          <cell r="I274">
            <v>1202.5</v>
          </cell>
          <cell r="J274">
            <v>1202.5</v>
          </cell>
          <cell r="K274">
            <v>1202.5</v>
          </cell>
          <cell r="L274">
            <v>1202.5</v>
          </cell>
          <cell r="M274">
            <v>1202.5</v>
          </cell>
          <cell r="N274">
            <v>1202.5</v>
          </cell>
          <cell r="O274">
            <v>1202.5</v>
          </cell>
          <cell r="P274">
            <v>1202.5</v>
          </cell>
        </row>
        <row r="280">
          <cell r="E280">
            <v>1024</v>
          </cell>
          <cell r="F280">
            <v>1024</v>
          </cell>
          <cell r="G280">
            <v>1024</v>
          </cell>
          <cell r="H280">
            <v>1024</v>
          </cell>
          <cell r="I280">
            <v>1024</v>
          </cell>
          <cell r="J280">
            <v>1024</v>
          </cell>
          <cell r="K280">
            <v>1024</v>
          </cell>
          <cell r="L280">
            <v>1024</v>
          </cell>
          <cell r="M280">
            <v>1024</v>
          </cell>
          <cell r="N280">
            <v>1024</v>
          </cell>
          <cell r="O280">
            <v>1024</v>
          </cell>
          <cell r="P280">
            <v>1024</v>
          </cell>
        </row>
        <row r="281">
          <cell r="E281">
            <v>384</v>
          </cell>
          <cell r="F281">
            <v>384</v>
          </cell>
          <cell r="G281">
            <v>384</v>
          </cell>
          <cell r="H281">
            <v>384</v>
          </cell>
          <cell r="I281">
            <v>384</v>
          </cell>
          <cell r="J281">
            <v>384</v>
          </cell>
          <cell r="K281">
            <v>384</v>
          </cell>
          <cell r="L281">
            <v>384</v>
          </cell>
          <cell r="M281">
            <v>384</v>
          </cell>
          <cell r="N281">
            <v>384</v>
          </cell>
          <cell r="O281">
            <v>384</v>
          </cell>
          <cell r="P281">
            <v>384</v>
          </cell>
        </row>
        <row r="282">
          <cell r="E282">
            <v>768</v>
          </cell>
          <cell r="F282">
            <v>768</v>
          </cell>
          <cell r="G282">
            <v>768</v>
          </cell>
          <cell r="H282">
            <v>768</v>
          </cell>
          <cell r="I282">
            <v>768</v>
          </cell>
          <cell r="J282">
            <v>768</v>
          </cell>
          <cell r="K282">
            <v>768</v>
          </cell>
          <cell r="L282">
            <v>768</v>
          </cell>
          <cell r="M282">
            <v>768</v>
          </cell>
          <cell r="N282">
            <v>768</v>
          </cell>
          <cell r="O282">
            <v>768</v>
          </cell>
          <cell r="P282">
            <v>768</v>
          </cell>
        </row>
        <row r="283">
          <cell r="E283">
            <v>224.00000000000003</v>
          </cell>
          <cell r="F283">
            <v>224.00000000000003</v>
          </cell>
          <cell r="G283">
            <v>224.00000000000003</v>
          </cell>
          <cell r="H283">
            <v>224.00000000000003</v>
          </cell>
          <cell r="I283">
            <v>224.00000000000003</v>
          </cell>
          <cell r="J283">
            <v>224.00000000000003</v>
          </cell>
          <cell r="K283">
            <v>224.00000000000003</v>
          </cell>
          <cell r="L283">
            <v>224.00000000000003</v>
          </cell>
          <cell r="M283">
            <v>224.00000000000003</v>
          </cell>
          <cell r="N283">
            <v>224.00000000000003</v>
          </cell>
          <cell r="O283">
            <v>224.00000000000003</v>
          </cell>
          <cell r="P283">
            <v>224.00000000000003</v>
          </cell>
        </row>
        <row r="284">
          <cell r="E284">
            <v>800</v>
          </cell>
          <cell r="F284">
            <v>800</v>
          </cell>
          <cell r="G284">
            <v>800</v>
          </cell>
          <cell r="H284">
            <v>800</v>
          </cell>
          <cell r="I284">
            <v>800</v>
          </cell>
          <cell r="J284">
            <v>800</v>
          </cell>
          <cell r="K284">
            <v>800</v>
          </cell>
          <cell r="L284">
            <v>800</v>
          </cell>
          <cell r="M284">
            <v>800</v>
          </cell>
          <cell r="N284">
            <v>800</v>
          </cell>
          <cell r="O284">
            <v>800</v>
          </cell>
          <cell r="P284">
            <v>800</v>
          </cell>
        </row>
        <row r="298">
          <cell r="E298">
            <v>2933.44</v>
          </cell>
          <cell r="F298">
            <v>2933.44</v>
          </cell>
          <cell r="G298">
            <v>2933.44</v>
          </cell>
          <cell r="H298">
            <v>2933.44</v>
          </cell>
          <cell r="I298">
            <v>2933.44</v>
          </cell>
          <cell r="J298">
            <v>2933.44</v>
          </cell>
          <cell r="K298">
            <v>2933.44</v>
          </cell>
          <cell r="L298">
            <v>2933.44</v>
          </cell>
          <cell r="M298">
            <v>2933.44</v>
          </cell>
          <cell r="N298">
            <v>2933.44</v>
          </cell>
          <cell r="O298">
            <v>2933.44</v>
          </cell>
          <cell r="P298">
            <v>2933.44</v>
          </cell>
        </row>
        <row r="299">
          <cell r="E299">
            <v>1100.04</v>
          </cell>
          <cell r="F299">
            <v>1100.04</v>
          </cell>
          <cell r="G299">
            <v>1100.04</v>
          </cell>
          <cell r="H299">
            <v>1100.04</v>
          </cell>
          <cell r="I299">
            <v>1100.04</v>
          </cell>
          <cell r="J299">
            <v>1100.04</v>
          </cell>
          <cell r="K299">
            <v>1100.04</v>
          </cell>
          <cell r="L299">
            <v>1100.04</v>
          </cell>
          <cell r="M299">
            <v>1100.04</v>
          </cell>
          <cell r="N299">
            <v>1100.04</v>
          </cell>
          <cell r="O299">
            <v>1100.04</v>
          </cell>
          <cell r="P299">
            <v>1100.04</v>
          </cell>
        </row>
        <row r="300">
          <cell r="E300">
            <v>2200.08</v>
          </cell>
          <cell r="F300">
            <v>2200.08</v>
          </cell>
          <cell r="G300">
            <v>2200.08</v>
          </cell>
          <cell r="H300">
            <v>2200.08</v>
          </cell>
          <cell r="I300">
            <v>2200.08</v>
          </cell>
          <cell r="J300">
            <v>2200.08</v>
          </cell>
          <cell r="K300">
            <v>2200.08</v>
          </cell>
          <cell r="L300">
            <v>2200.08</v>
          </cell>
          <cell r="M300">
            <v>2200.08</v>
          </cell>
          <cell r="N300">
            <v>2200.08</v>
          </cell>
          <cell r="O300">
            <v>2200.08</v>
          </cell>
          <cell r="P300">
            <v>2200.08</v>
          </cell>
        </row>
        <row r="301">
          <cell r="E301">
            <v>641.69000000000005</v>
          </cell>
          <cell r="F301">
            <v>641.69000000000005</v>
          </cell>
          <cell r="G301">
            <v>641.69000000000005</v>
          </cell>
          <cell r="H301">
            <v>641.69000000000005</v>
          </cell>
          <cell r="I301">
            <v>641.69000000000005</v>
          </cell>
          <cell r="J301">
            <v>641.69000000000005</v>
          </cell>
          <cell r="K301">
            <v>641.69000000000005</v>
          </cell>
          <cell r="L301">
            <v>641.69000000000005</v>
          </cell>
          <cell r="M301">
            <v>641.69000000000005</v>
          </cell>
          <cell r="N301">
            <v>641.69000000000005</v>
          </cell>
          <cell r="O301">
            <v>641.69000000000005</v>
          </cell>
          <cell r="P301">
            <v>641.69000000000005</v>
          </cell>
        </row>
        <row r="302">
          <cell r="E302">
            <v>2291.75</v>
          </cell>
          <cell r="F302">
            <v>2291.75</v>
          </cell>
          <cell r="G302">
            <v>2291.75</v>
          </cell>
          <cell r="H302">
            <v>2291.75</v>
          </cell>
          <cell r="I302">
            <v>2291.75</v>
          </cell>
          <cell r="J302">
            <v>2291.75</v>
          </cell>
          <cell r="K302">
            <v>2291.75</v>
          </cell>
          <cell r="L302">
            <v>2291.75</v>
          </cell>
          <cell r="M302">
            <v>2291.75</v>
          </cell>
          <cell r="N302">
            <v>2291.75</v>
          </cell>
          <cell r="O302">
            <v>2291.75</v>
          </cell>
          <cell r="P302">
            <v>2291.75</v>
          </cell>
        </row>
        <row r="307">
          <cell r="E307">
            <v>1186.5866666666668</v>
          </cell>
          <cell r="F307">
            <v>1186.5866666666668</v>
          </cell>
          <cell r="G307">
            <v>1186.5866666666668</v>
          </cell>
          <cell r="H307">
            <v>1186.5866666666668</v>
          </cell>
          <cell r="I307">
            <v>1186.5866666666668</v>
          </cell>
          <cell r="J307">
            <v>1186.5866666666668</v>
          </cell>
          <cell r="K307">
            <v>1186.5866666666668</v>
          </cell>
          <cell r="L307">
            <v>1186.5866666666668</v>
          </cell>
          <cell r="M307">
            <v>1186.5866666666668</v>
          </cell>
          <cell r="N307">
            <v>1186.5866666666668</v>
          </cell>
          <cell r="O307">
            <v>1186.5866666666668</v>
          </cell>
          <cell r="P307">
            <v>1186.5866666666668</v>
          </cell>
        </row>
        <row r="308">
          <cell r="E308">
            <v>444.97</v>
          </cell>
          <cell r="F308">
            <v>444.97</v>
          </cell>
          <cell r="G308">
            <v>444.97</v>
          </cell>
          <cell r="H308">
            <v>444.97</v>
          </cell>
          <cell r="I308">
            <v>444.97</v>
          </cell>
          <cell r="J308">
            <v>444.97</v>
          </cell>
          <cell r="K308">
            <v>444.97</v>
          </cell>
          <cell r="L308">
            <v>444.97</v>
          </cell>
          <cell r="M308">
            <v>444.97</v>
          </cell>
          <cell r="N308">
            <v>444.97</v>
          </cell>
          <cell r="O308">
            <v>444.97</v>
          </cell>
          <cell r="P308">
            <v>444.97</v>
          </cell>
        </row>
        <row r="309">
          <cell r="E309">
            <v>889.94</v>
          </cell>
          <cell r="F309">
            <v>889.94</v>
          </cell>
          <cell r="G309">
            <v>889.94</v>
          </cell>
          <cell r="H309">
            <v>889.94</v>
          </cell>
          <cell r="I309">
            <v>889.94</v>
          </cell>
          <cell r="J309">
            <v>889.94</v>
          </cell>
          <cell r="K309">
            <v>889.94</v>
          </cell>
          <cell r="L309">
            <v>889.94</v>
          </cell>
          <cell r="M309">
            <v>889.94</v>
          </cell>
          <cell r="N309">
            <v>889.94</v>
          </cell>
          <cell r="O309">
            <v>889.94</v>
          </cell>
          <cell r="P309">
            <v>889.94</v>
          </cell>
        </row>
        <row r="310">
          <cell r="E310">
            <v>259.56583333333339</v>
          </cell>
          <cell r="F310">
            <v>259.56583333333339</v>
          </cell>
          <cell r="G310">
            <v>259.56583333333339</v>
          </cell>
          <cell r="H310">
            <v>259.56583333333339</v>
          </cell>
          <cell r="I310">
            <v>259.56583333333339</v>
          </cell>
          <cell r="J310">
            <v>259.56583333333339</v>
          </cell>
          <cell r="K310">
            <v>259.56583333333339</v>
          </cell>
          <cell r="L310">
            <v>259.56583333333339</v>
          </cell>
          <cell r="M310">
            <v>259.56583333333339</v>
          </cell>
          <cell r="N310">
            <v>259.56583333333339</v>
          </cell>
          <cell r="O310">
            <v>259.56583333333339</v>
          </cell>
          <cell r="P310">
            <v>259.56583333333339</v>
          </cell>
        </row>
        <row r="311">
          <cell r="E311">
            <v>927.02083333333337</v>
          </cell>
          <cell r="F311">
            <v>927.02083333333337</v>
          </cell>
          <cell r="G311">
            <v>927.02083333333337</v>
          </cell>
          <cell r="H311">
            <v>927.02083333333337</v>
          </cell>
          <cell r="I311">
            <v>927.02083333333337</v>
          </cell>
          <cell r="J311">
            <v>927.02083333333337</v>
          </cell>
          <cell r="K311">
            <v>927.02083333333337</v>
          </cell>
          <cell r="L311">
            <v>927.02083333333337</v>
          </cell>
          <cell r="M311">
            <v>927.02083333333337</v>
          </cell>
          <cell r="N311">
            <v>927.02083333333337</v>
          </cell>
          <cell r="O311">
            <v>927.02083333333337</v>
          </cell>
          <cell r="P311">
            <v>927.02083333333337</v>
          </cell>
        </row>
        <row r="316">
          <cell r="E316">
            <v>1219.2</v>
          </cell>
          <cell r="F316">
            <v>1219.2</v>
          </cell>
          <cell r="G316">
            <v>1219.2</v>
          </cell>
          <cell r="H316">
            <v>1219.2</v>
          </cell>
          <cell r="I316">
            <v>1219.2</v>
          </cell>
          <cell r="J316">
            <v>1219.2</v>
          </cell>
          <cell r="K316">
            <v>1219.2</v>
          </cell>
          <cell r="L316">
            <v>1219.2</v>
          </cell>
          <cell r="M316">
            <v>1219.2</v>
          </cell>
          <cell r="N316">
            <v>1219.2</v>
          </cell>
          <cell r="O316">
            <v>1219.2</v>
          </cell>
          <cell r="P316">
            <v>1219.2</v>
          </cell>
        </row>
        <row r="317">
          <cell r="E317">
            <v>457.2</v>
          </cell>
          <cell r="F317">
            <v>457.2</v>
          </cell>
          <cell r="G317">
            <v>457.2</v>
          </cell>
          <cell r="H317">
            <v>457.2</v>
          </cell>
          <cell r="I317">
            <v>457.2</v>
          </cell>
          <cell r="J317">
            <v>457.2</v>
          </cell>
          <cell r="K317">
            <v>457.2</v>
          </cell>
          <cell r="L317">
            <v>457.2</v>
          </cell>
          <cell r="M317">
            <v>457.2</v>
          </cell>
          <cell r="N317">
            <v>457.2</v>
          </cell>
          <cell r="O317">
            <v>457.2</v>
          </cell>
          <cell r="P317">
            <v>457.2</v>
          </cell>
        </row>
        <row r="318">
          <cell r="E318">
            <v>914.4</v>
          </cell>
          <cell r="F318">
            <v>914.4</v>
          </cell>
          <cell r="G318">
            <v>914.4</v>
          </cell>
          <cell r="H318">
            <v>914.4</v>
          </cell>
          <cell r="I318">
            <v>914.4</v>
          </cell>
          <cell r="J318">
            <v>914.4</v>
          </cell>
          <cell r="K318">
            <v>914.4</v>
          </cell>
          <cell r="L318">
            <v>914.4</v>
          </cell>
          <cell r="M318">
            <v>914.4</v>
          </cell>
          <cell r="N318">
            <v>914.4</v>
          </cell>
          <cell r="O318">
            <v>914.4</v>
          </cell>
          <cell r="P318">
            <v>914.4</v>
          </cell>
        </row>
        <row r="319">
          <cell r="E319">
            <v>266.70000000000005</v>
          </cell>
          <cell r="F319">
            <v>266.70000000000005</v>
          </cell>
          <cell r="G319">
            <v>266.70000000000005</v>
          </cell>
          <cell r="H319">
            <v>266.70000000000005</v>
          </cell>
          <cell r="I319">
            <v>266.70000000000005</v>
          </cell>
          <cell r="J319">
            <v>266.70000000000005</v>
          </cell>
          <cell r="K319">
            <v>266.70000000000005</v>
          </cell>
          <cell r="L319">
            <v>266.70000000000005</v>
          </cell>
          <cell r="M319">
            <v>266.70000000000005</v>
          </cell>
          <cell r="N319">
            <v>266.70000000000005</v>
          </cell>
          <cell r="O319">
            <v>266.70000000000005</v>
          </cell>
          <cell r="P319">
            <v>266.70000000000005</v>
          </cell>
        </row>
        <row r="320">
          <cell r="E320">
            <v>952.5</v>
          </cell>
          <cell r="F320">
            <v>952.5</v>
          </cell>
          <cell r="G320">
            <v>952.5</v>
          </cell>
          <cell r="H320">
            <v>952.5</v>
          </cell>
          <cell r="I320">
            <v>952.5</v>
          </cell>
          <cell r="J320">
            <v>952.5</v>
          </cell>
          <cell r="K320">
            <v>952.5</v>
          </cell>
          <cell r="L320">
            <v>952.5</v>
          </cell>
          <cell r="M320">
            <v>952.5</v>
          </cell>
          <cell r="N320">
            <v>952.5</v>
          </cell>
          <cell r="O320">
            <v>952.5</v>
          </cell>
          <cell r="P320">
            <v>952.5</v>
          </cell>
        </row>
        <row r="325">
          <cell r="E325">
            <v>1989.4933333333336</v>
          </cell>
          <cell r="F325">
            <v>1989.4933333333336</v>
          </cell>
          <cell r="G325">
            <v>1989.4933333333336</v>
          </cell>
          <cell r="H325">
            <v>1989.4933333333336</v>
          </cell>
          <cell r="I325">
            <v>1989.4933333333336</v>
          </cell>
          <cell r="J325">
            <v>1989.4933333333336</v>
          </cell>
          <cell r="K325">
            <v>1989.4933333333336</v>
          </cell>
          <cell r="L325">
            <v>1989.4933333333336</v>
          </cell>
          <cell r="M325">
            <v>1989.4933333333336</v>
          </cell>
          <cell r="N325">
            <v>1989.4933333333336</v>
          </cell>
          <cell r="O325">
            <v>1989.4933333333336</v>
          </cell>
          <cell r="P325">
            <v>1989.4933333333336</v>
          </cell>
        </row>
        <row r="326">
          <cell r="E326">
            <v>746.06000000000006</v>
          </cell>
          <cell r="F326">
            <v>746.06000000000006</v>
          </cell>
          <cell r="G326">
            <v>746.06000000000006</v>
          </cell>
          <cell r="H326">
            <v>746.06000000000006</v>
          </cell>
          <cell r="I326">
            <v>746.06000000000006</v>
          </cell>
          <cell r="J326">
            <v>746.06000000000006</v>
          </cell>
          <cell r="K326">
            <v>746.06000000000006</v>
          </cell>
          <cell r="L326">
            <v>746.06000000000006</v>
          </cell>
          <cell r="M326">
            <v>746.06000000000006</v>
          </cell>
          <cell r="N326">
            <v>746.06000000000006</v>
          </cell>
          <cell r="O326">
            <v>746.06000000000006</v>
          </cell>
          <cell r="P326">
            <v>746.06000000000006</v>
          </cell>
        </row>
        <row r="327">
          <cell r="E327">
            <v>1492.1200000000001</v>
          </cell>
          <cell r="F327">
            <v>1492.1200000000001</v>
          </cell>
          <cell r="G327">
            <v>1492.1200000000001</v>
          </cell>
          <cell r="H327">
            <v>1492.1200000000001</v>
          </cell>
          <cell r="I327">
            <v>1492.1200000000001</v>
          </cell>
          <cell r="J327">
            <v>1492.1200000000001</v>
          </cell>
          <cell r="K327">
            <v>1492.1200000000001</v>
          </cell>
          <cell r="L327">
            <v>1492.1200000000001</v>
          </cell>
          <cell r="M327">
            <v>1492.1200000000001</v>
          </cell>
          <cell r="N327">
            <v>1492.1200000000001</v>
          </cell>
          <cell r="O327">
            <v>1492.1200000000001</v>
          </cell>
          <cell r="P327">
            <v>1492.1200000000001</v>
          </cell>
        </row>
        <row r="328">
          <cell r="E328">
            <v>435.20166666666671</v>
          </cell>
          <cell r="F328">
            <v>435.20166666666671</v>
          </cell>
          <cell r="G328">
            <v>435.20166666666671</v>
          </cell>
          <cell r="H328">
            <v>435.20166666666671</v>
          </cell>
          <cell r="I328">
            <v>435.20166666666671</v>
          </cell>
          <cell r="J328">
            <v>435.20166666666671</v>
          </cell>
          <cell r="K328">
            <v>435.20166666666671</v>
          </cell>
          <cell r="L328">
            <v>435.20166666666671</v>
          </cell>
          <cell r="M328">
            <v>435.20166666666671</v>
          </cell>
          <cell r="N328">
            <v>435.20166666666671</v>
          </cell>
          <cell r="O328">
            <v>435.20166666666671</v>
          </cell>
          <cell r="P328">
            <v>435.20166666666671</v>
          </cell>
        </row>
        <row r="329">
          <cell r="E329">
            <v>1554.2916666666667</v>
          </cell>
          <cell r="F329">
            <v>1554.2916666666667</v>
          </cell>
          <cell r="G329">
            <v>1554.2916666666667</v>
          </cell>
          <cell r="H329">
            <v>1554.2916666666667</v>
          </cell>
          <cell r="I329">
            <v>1554.2916666666667</v>
          </cell>
          <cell r="J329">
            <v>1554.2916666666667</v>
          </cell>
          <cell r="K329">
            <v>1554.2916666666667</v>
          </cell>
          <cell r="L329">
            <v>1554.2916666666667</v>
          </cell>
          <cell r="M329">
            <v>1554.2916666666667</v>
          </cell>
          <cell r="N329">
            <v>1554.2916666666667</v>
          </cell>
          <cell r="O329">
            <v>1554.2916666666667</v>
          </cell>
          <cell r="P329">
            <v>1554.2916666666667</v>
          </cell>
        </row>
        <row r="340">
          <cell r="E340">
            <v>0</v>
          </cell>
          <cell r="F340">
            <v>0</v>
          </cell>
          <cell r="G340">
            <v>0</v>
          </cell>
          <cell r="H340">
            <v>0</v>
          </cell>
          <cell r="I340">
            <v>0</v>
          </cell>
          <cell r="J340">
            <v>0</v>
          </cell>
          <cell r="K340">
            <v>0</v>
          </cell>
          <cell r="L340">
            <v>0</v>
          </cell>
          <cell r="M340">
            <v>0</v>
          </cell>
          <cell r="N340">
            <v>0</v>
          </cell>
          <cell r="O340">
            <v>0</v>
          </cell>
          <cell r="P340">
            <v>0</v>
          </cell>
        </row>
        <row r="341">
          <cell r="E341">
            <v>0</v>
          </cell>
          <cell r="F341">
            <v>0</v>
          </cell>
          <cell r="G341">
            <v>0</v>
          </cell>
          <cell r="H341">
            <v>0</v>
          </cell>
          <cell r="I341">
            <v>0</v>
          </cell>
          <cell r="J341">
            <v>0</v>
          </cell>
          <cell r="K341">
            <v>0</v>
          </cell>
          <cell r="L341">
            <v>0</v>
          </cell>
          <cell r="M341">
            <v>0</v>
          </cell>
          <cell r="N341">
            <v>0</v>
          </cell>
          <cell r="O341">
            <v>0</v>
          </cell>
          <cell r="P341">
            <v>0</v>
          </cell>
        </row>
        <row r="342">
          <cell r="E342">
            <v>1000</v>
          </cell>
          <cell r="F342">
            <v>1000</v>
          </cell>
          <cell r="G342">
            <v>1000</v>
          </cell>
          <cell r="H342">
            <v>1000</v>
          </cell>
          <cell r="I342">
            <v>1000</v>
          </cell>
          <cell r="J342">
            <v>1000</v>
          </cell>
          <cell r="K342">
            <v>1000</v>
          </cell>
          <cell r="L342">
            <v>1000</v>
          </cell>
          <cell r="M342">
            <v>1000</v>
          </cell>
          <cell r="N342">
            <v>1000</v>
          </cell>
          <cell r="O342">
            <v>1000</v>
          </cell>
          <cell r="P342">
            <v>1000</v>
          </cell>
        </row>
        <row r="343">
          <cell r="E343">
            <v>0</v>
          </cell>
          <cell r="F343">
            <v>0</v>
          </cell>
          <cell r="G343">
            <v>0</v>
          </cell>
          <cell r="H343">
            <v>0</v>
          </cell>
          <cell r="I343">
            <v>0</v>
          </cell>
          <cell r="J343">
            <v>0</v>
          </cell>
          <cell r="K343">
            <v>0</v>
          </cell>
          <cell r="L343">
            <v>0</v>
          </cell>
          <cell r="M343">
            <v>0</v>
          </cell>
          <cell r="N343">
            <v>0</v>
          </cell>
          <cell r="O343">
            <v>0</v>
          </cell>
          <cell r="P343">
            <v>0</v>
          </cell>
        </row>
        <row r="344">
          <cell r="E344">
            <v>0</v>
          </cell>
          <cell r="F344">
            <v>0</v>
          </cell>
          <cell r="G344">
            <v>0</v>
          </cell>
          <cell r="H344">
            <v>0</v>
          </cell>
          <cell r="I344">
            <v>0</v>
          </cell>
          <cell r="J344">
            <v>0</v>
          </cell>
          <cell r="K344">
            <v>0</v>
          </cell>
          <cell r="L344">
            <v>0</v>
          </cell>
          <cell r="M344">
            <v>0</v>
          </cell>
          <cell r="N344">
            <v>0</v>
          </cell>
          <cell r="O344">
            <v>0</v>
          </cell>
          <cell r="P344">
            <v>0</v>
          </cell>
        </row>
        <row r="349">
          <cell r="E349">
            <v>128</v>
          </cell>
          <cell r="F349">
            <v>128</v>
          </cell>
          <cell r="G349">
            <v>128</v>
          </cell>
          <cell r="H349">
            <v>128</v>
          </cell>
          <cell r="I349">
            <v>128</v>
          </cell>
          <cell r="J349">
            <v>128</v>
          </cell>
          <cell r="K349">
            <v>128</v>
          </cell>
          <cell r="L349">
            <v>128</v>
          </cell>
          <cell r="M349">
            <v>128</v>
          </cell>
          <cell r="N349">
            <v>128</v>
          </cell>
          <cell r="O349">
            <v>128</v>
          </cell>
          <cell r="P349">
            <v>128</v>
          </cell>
        </row>
        <row r="350">
          <cell r="E350">
            <v>48</v>
          </cell>
          <cell r="F350">
            <v>48</v>
          </cell>
          <cell r="G350">
            <v>48</v>
          </cell>
          <cell r="H350">
            <v>48</v>
          </cell>
          <cell r="I350">
            <v>48</v>
          </cell>
          <cell r="J350">
            <v>48</v>
          </cell>
          <cell r="K350">
            <v>48</v>
          </cell>
          <cell r="L350">
            <v>48</v>
          </cell>
          <cell r="M350">
            <v>48</v>
          </cell>
          <cell r="N350">
            <v>48</v>
          </cell>
          <cell r="O350">
            <v>48</v>
          </cell>
          <cell r="P350">
            <v>48</v>
          </cell>
        </row>
        <row r="351">
          <cell r="E351">
            <v>296</v>
          </cell>
          <cell r="F351">
            <v>296</v>
          </cell>
          <cell r="G351">
            <v>296</v>
          </cell>
          <cell r="H351">
            <v>296</v>
          </cell>
          <cell r="I351">
            <v>296</v>
          </cell>
          <cell r="J351">
            <v>296</v>
          </cell>
          <cell r="K351">
            <v>296</v>
          </cell>
          <cell r="L351">
            <v>296</v>
          </cell>
          <cell r="M351">
            <v>296</v>
          </cell>
          <cell r="N351">
            <v>296</v>
          </cell>
          <cell r="O351">
            <v>296</v>
          </cell>
          <cell r="P351">
            <v>296</v>
          </cell>
        </row>
        <row r="352">
          <cell r="E352">
            <v>28.000000000000004</v>
          </cell>
          <cell r="F352">
            <v>28.000000000000004</v>
          </cell>
          <cell r="G352">
            <v>28.000000000000004</v>
          </cell>
          <cell r="H352">
            <v>28.000000000000004</v>
          </cell>
          <cell r="I352">
            <v>28.000000000000004</v>
          </cell>
          <cell r="J352">
            <v>28.000000000000004</v>
          </cell>
          <cell r="K352">
            <v>28.000000000000004</v>
          </cell>
          <cell r="L352">
            <v>28.000000000000004</v>
          </cell>
          <cell r="M352">
            <v>28.000000000000004</v>
          </cell>
          <cell r="N352">
            <v>28.000000000000004</v>
          </cell>
          <cell r="O352">
            <v>28.000000000000004</v>
          </cell>
          <cell r="P352">
            <v>28.000000000000004</v>
          </cell>
        </row>
        <row r="353">
          <cell r="E353">
            <v>400</v>
          </cell>
          <cell r="F353">
            <v>400</v>
          </cell>
          <cell r="G353">
            <v>400</v>
          </cell>
          <cell r="H353">
            <v>400</v>
          </cell>
          <cell r="I353">
            <v>400</v>
          </cell>
          <cell r="J353">
            <v>400</v>
          </cell>
          <cell r="K353">
            <v>400</v>
          </cell>
          <cell r="L353">
            <v>400</v>
          </cell>
          <cell r="M353">
            <v>400</v>
          </cell>
          <cell r="N353">
            <v>400</v>
          </cell>
          <cell r="O353">
            <v>400</v>
          </cell>
          <cell r="P353">
            <v>400</v>
          </cell>
        </row>
        <row r="375">
          <cell r="E375">
            <v>146</v>
          </cell>
          <cell r="F375">
            <v>146</v>
          </cell>
          <cell r="G375">
            <v>146</v>
          </cell>
          <cell r="H375">
            <v>146</v>
          </cell>
          <cell r="I375">
            <v>146</v>
          </cell>
          <cell r="J375">
            <v>146</v>
          </cell>
          <cell r="K375">
            <v>146</v>
          </cell>
          <cell r="L375">
            <v>146</v>
          </cell>
          <cell r="M375">
            <v>146</v>
          </cell>
          <cell r="N375">
            <v>146</v>
          </cell>
          <cell r="O375">
            <v>146</v>
          </cell>
          <cell r="P375">
            <v>146</v>
          </cell>
        </row>
        <row r="376">
          <cell r="E376">
            <v>54.75</v>
          </cell>
          <cell r="F376">
            <v>54.75</v>
          </cell>
          <cell r="G376">
            <v>54.75</v>
          </cell>
          <cell r="H376">
            <v>54.75</v>
          </cell>
          <cell r="I376">
            <v>54.75</v>
          </cell>
          <cell r="J376">
            <v>54.75</v>
          </cell>
          <cell r="K376">
            <v>54.75</v>
          </cell>
          <cell r="L376">
            <v>54.75</v>
          </cell>
          <cell r="M376">
            <v>54.75</v>
          </cell>
          <cell r="N376">
            <v>54.75</v>
          </cell>
          <cell r="O376">
            <v>54.75</v>
          </cell>
          <cell r="P376">
            <v>54.75</v>
          </cell>
        </row>
        <row r="377">
          <cell r="E377">
            <v>109.5</v>
          </cell>
          <cell r="F377">
            <v>109.5</v>
          </cell>
          <cell r="G377">
            <v>109.5</v>
          </cell>
          <cell r="H377">
            <v>109.5</v>
          </cell>
          <cell r="I377">
            <v>109.5</v>
          </cell>
          <cell r="J377">
            <v>109.5</v>
          </cell>
          <cell r="K377">
            <v>109.5</v>
          </cell>
          <cell r="L377">
            <v>109.5</v>
          </cell>
          <cell r="M377">
            <v>109.5</v>
          </cell>
          <cell r="N377">
            <v>109.5</v>
          </cell>
          <cell r="O377">
            <v>109.5</v>
          </cell>
          <cell r="P377">
            <v>109.5</v>
          </cell>
        </row>
        <row r="378">
          <cell r="E378">
            <v>31.937500000000004</v>
          </cell>
          <cell r="F378">
            <v>31.937500000000004</v>
          </cell>
          <cell r="G378">
            <v>31.937500000000004</v>
          </cell>
          <cell r="H378">
            <v>31.937500000000004</v>
          </cell>
          <cell r="I378">
            <v>31.937500000000004</v>
          </cell>
          <cell r="J378">
            <v>31.937500000000004</v>
          </cell>
          <cell r="K378">
            <v>31.937500000000004</v>
          </cell>
          <cell r="L378">
            <v>31.937500000000004</v>
          </cell>
          <cell r="M378">
            <v>31.937500000000004</v>
          </cell>
          <cell r="N378">
            <v>31.937500000000004</v>
          </cell>
          <cell r="O378">
            <v>31.937500000000004</v>
          </cell>
          <cell r="P378">
            <v>31.937500000000004</v>
          </cell>
        </row>
        <row r="379">
          <cell r="E379">
            <v>114.0625</v>
          </cell>
          <cell r="F379">
            <v>114.0625</v>
          </cell>
          <cell r="G379">
            <v>114.0625</v>
          </cell>
          <cell r="H379">
            <v>114.0625</v>
          </cell>
          <cell r="I379">
            <v>114.0625</v>
          </cell>
          <cell r="J379">
            <v>114.0625</v>
          </cell>
          <cell r="K379">
            <v>114.0625</v>
          </cell>
          <cell r="L379">
            <v>114.0625</v>
          </cell>
          <cell r="M379">
            <v>114.0625</v>
          </cell>
          <cell r="N379">
            <v>114.0625</v>
          </cell>
          <cell r="O379">
            <v>114.0625</v>
          </cell>
          <cell r="P379">
            <v>114.0625</v>
          </cell>
        </row>
        <row r="386">
          <cell r="E386">
            <v>190.36262383256107</v>
          </cell>
          <cell r="F386">
            <v>183.14979929280875</v>
          </cell>
          <cell r="G386">
            <v>187.89193174437256</v>
          </cell>
          <cell r="H386">
            <v>184.74379261317256</v>
          </cell>
          <cell r="I386">
            <v>185.42123965618407</v>
          </cell>
          <cell r="J386">
            <v>182.35280026976434</v>
          </cell>
          <cell r="K386">
            <v>182.95054756799556</v>
          </cell>
          <cell r="L386">
            <v>181.71520152390136</v>
          </cell>
          <cell r="M386">
            <v>178.76631175465201</v>
          </cell>
          <cell r="N386">
            <v>179.24450943571284</v>
          </cell>
          <cell r="O386">
            <v>176.37531941124377</v>
          </cell>
          <cell r="P386">
            <v>176.7738173475243</v>
          </cell>
        </row>
        <row r="387">
          <cell r="E387">
            <v>71.385983937210398</v>
          </cell>
          <cell r="F387">
            <v>68.681174734803278</v>
          </cell>
          <cell r="G387">
            <v>70.459474404139712</v>
          </cell>
          <cell r="H387">
            <v>69.27892222993971</v>
          </cell>
          <cell r="I387">
            <v>69.532964871069026</v>
          </cell>
          <cell r="J387">
            <v>68.382300101161618</v>
          </cell>
          <cell r="K387">
            <v>68.606455337998341</v>
          </cell>
          <cell r="L387">
            <v>68.143200571462998</v>
          </cell>
          <cell r="M387">
            <v>67.03736690799451</v>
          </cell>
          <cell r="N387">
            <v>67.216691038392312</v>
          </cell>
          <cell r="O387">
            <v>66.140744779216405</v>
          </cell>
          <cell r="P387">
            <v>66.290181505321613</v>
          </cell>
        </row>
        <row r="388">
          <cell r="E388">
            <v>142.7719678744208</v>
          </cell>
          <cell r="F388">
            <v>137.36234946960656</v>
          </cell>
          <cell r="G388">
            <v>140.91894880827942</v>
          </cell>
          <cell r="H388">
            <v>138.55784445987942</v>
          </cell>
          <cell r="I388">
            <v>139.06592974213805</v>
          </cell>
          <cell r="J388">
            <v>136.76460020232324</v>
          </cell>
          <cell r="K388">
            <v>137.21291067599668</v>
          </cell>
          <cell r="L388">
            <v>136.286401142926</v>
          </cell>
          <cell r="M388">
            <v>134.07473381598902</v>
          </cell>
          <cell r="N388">
            <v>134.43338207678462</v>
          </cell>
          <cell r="O388">
            <v>132.28148955843281</v>
          </cell>
          <cell r="P388">
            <v>132.58036301064323</v>
          </cell>
        </row>
        <row r="389">
          <cell r="E389">
            <v>41.641823963372737</v>
          </cell>
          <cell r="F389">
            <v>40.064018595301917</v>
          </cell>
          <cell r="G389">
            <v>41.101360069081501</v>
          </cell>
          <cell r="H389">
            <v>40.412704634131501</v>
          </cell>
          <cell r="I389">
            <v>40.560896174790273</v>
          </cell>
          <cell r="J389">
            <v>39.889675059010955</v>
          </cell>
          <cell r="K389">
            <v>40.02043228049903</v>
          </cell>
          <cell r="L389">
            <v>39.750200333353419</v>
          </cell>
          <cell r="M389">
            <v>39.105130696330129</v>
          </cell>
          <cell r="N389">
            <v>39.209736439062183</v>
          </cell>
          <cell r="O389">
            <v>38.582101121209575</v>
          </cell>
          <cell r="P389">
            <v>38.669272544770948</v>
          </cell>
        </row>
        <row r="390">
          <cell r="E390">
            <v>148.72079986918834</v>
          </cell>
          <cell r="F390">
            <v>143.08578069750683</v>
          </cell>
          <cell r="G390">
            <v>146.79057167529106</v>
          </cell>
          <cell r="H390">
            <v>144.33108797904106</v>
          </cell>
          <cell r="I390">
            <v>144.86034348139381</v>
          </cell>
          <cell r="J390">
            <v>142.46312521075339</v>
          </cell>
          <cell r="K390">
            <v>142.93011528749653</v>
          </cell>
          <cell r="L390">
            <v>141.96500119054792</v>
          </cell>
          <cell r="M390">
            <v>139.66118105832189</v>
          </cell>
          <cell r="N390">
            <v>140.03477299665064</v>
          </cell>
          <cell r="O390">
            <v>137.79321829003419</v>
          </cell>
          <cell r="P390">
            <v>138.10454480275337</v>
          </cell>
        </row>
      </sheetData>
      <sheetData sheetId="21">
        <row r="4">
          <cell r="E4">
            <v>23.607095531789504</v>
          </cell>
          <cell r="F4">
            <v>16.252745004560932</v>
          </cell>
          <cell r="G4">
            <v>24.706978036209659</v>
          </cell>
          <cell r="H4">
            <v>27.366259623939069</v>
          </cell>
          <cell r="I4">
            <v>35.760209540040471</v>
          </cell>
          <cell r="J4">
            <v>25.194550907869203</v>
          </cell>
          <cell r="K4">
            <v>25.083842293153349</v>
          </cell>
          <cell r="L4">
            <v>26.560589054517198</v>
          </cell>
          <cell r="M4">
            <v>29.104991497524331</v>
          </cell>
          <cell r="N4">
            <v>36.100676444200857</v>
          </cell>
          <cell r="O4">
            <v>20.980040766836964</v>
          </cell>
          <cell r="P4">
            <v>12.282021299358465</v>
          </cell>
        </row>
        <row r="6">
          <cell r="E6">
            <v>22546.103374183371</v>
          </cell>
          <cell r="F6">
            <v>15522.285174541163</v>
          </cell>
          <cell r="G6">
            <v>23596.552998988725</v>
          </cell>
          <cell r="H6">
            <v>26136.316414495388</v>
          </cell>
          <cell r="I6">
            <v>34153.010474605122</v>
          </cell>
          <cell r="J6">
            <v>24062.212501746297</v>
          </cell>
          <cell r="K6">
            <v>23956.479550886877</v>
          </cell>
          <cell r="L6">
            <v>25366.855727590391</v>
          </cell>
          <cell r="M6">
            <v>27796.903101623062</v>
          </cell>
          <cell r="N6">
            <v>34478.175508412503</v>
          </cell>
          <cell r="O6">
            <v>20037.118386152903</v>
          </cell>
          <cell r="P6">
            <v>11730.020810326554</v>
          </cell>
        </row>
        <row r="7">
          <cell r="E7">
            <v>648132.80782528082</v>
          </cell>
          <cell r="F7">
            <v>446219.11410022038</v>
          </cell>
          <cell r="G7">
            <v>678330.08198413614</v>
          </cell>
          <cell r="H7">
            <v>751340.65797524713</v>
          </cell>
          <cell r="I7">
            <v>981796.55292181112</v>
          </cell>
          <cell r="J7">
            <v>691716.39517554897</v>
          </cell>
          <cell r="K7">
            <v>688676.8901585252</v>
          </cell>
          <cell r="L7">
            <v>729220.9724917697</v>
          </cell>
          <cell r="M7">
            <v>799077.54156453046</v>
          </cell>
          <cell r="N7">
            <v>991144.07177553454</v>
          </cell>
          <cell r="O7">
            <v>576007.01925350889</v>
          </cell>
          <cell r="P7">
            <v>337202.89477388666</v>
          </cell>
        </row>
        <row r="20">
          <cell r="E20">
            <v>31.709860994845965</v>
          </cell>
          <cell r="F20">
            <v>21.831244940119799</v>
          </cell>
          <cell r="G20">
            <v>33.187260926525845</v>
          </cell>
          <cell r="H20">
            <v>36.759299230835644</v>
          </cell>
          <cell r="I20">
            <v>48.03434086731508</v>
          </cell>
          <cell r="J20">
            <v>33.84218554291342</v>
          </cell>
          <cell r="K20">
            <v>33.693477931727436</v>
          </cell>
          <cell r="L20">
            <v>35.677094868608911</v>
          </cell>
          <cell r="M20">
            <v>39.094823562681199</v>
          </cell>
          <cell r="N20">
            <v>48.491667698976073</v>
          </cell>
          <cell r="O20">
            <v>28.181110865025232</v>
          </cell>
          <cell r="P20">
            <v>16.497632570425399</v>
          </cell>
        </row>
        <row r="22">
          <cell r="E22">
            <v>53991.330142115097</v>
          </cell>
          <cell r="F22">
            <v>37171.33774780565</v>
          </cell>
          <cell r="G22">
            <v>56506.850076946466</v>
          </cell>
          <cell r="H22">
            <v>62588.841398183045</v>
          </cell>
          <cell r="I22">
            <v>81786.481383429287</v>
          </cell>
          <cell r="J22">
            <v>57621.968531339153</v>
          </cell>
          <cell r="K22">
            <v>57368.769006702554</v>
          </cell>
          <cell r="L22">
            <v>60746.207871290018</v>
          </cell>
          <cell r="M22">
            <v>66565.461329633137</v>
          </cell>
          <cell r="N22">
            <v>82565.156633852777</v>
          </cell>
          <cell r="O22">
            <v>47983.04416195424</v>
          </cell>
          <cell r="P22">
            <v>28089.972605617077</v>
          </cell>
        </row>
        <row r="23">
          <cell r="E23">
            <v>1004219.5878457768</v>
          </cell>
        </row>
        <row r="35">
          <cell r="E35">
            <v>5.7654292717901754</v>
          </cell>
          <cell r="F35">
            <v>3.9693172618399633</v>
          </cell>
          <cell r="G35">
            <v>6.0340474411865177</v>
          </cell>
          <cell r="H35">
            <v>6.683508951061027</v>
          </cell>
          <cell r="I35">
            <v>8.7335165213300154</v>
          </cell>
          <cell r="J35">
            <v>6.1531246441660761</v>
          </cell>
          <cell r="K35">
            <v>6.1260868966777151</v>
          </cell>
          <cell r="L35">
            <v>6.4867445215652566</v>
          </cell>
          <cell r="M35">
            <v>7.1081497386693089</v>
          </cell>
          <cell r="N35">
            <v>8.8166668543592852</v>
          </cell>
          <cell r="O35">
            <v>5.1238383390954967</v>
          </cell>
          <cell r="P35">
            <v>2.999569558259163</v>
          </cell>
        </row>
        <row r="37">
          <cell r="E37">
            <v>4554.8839016302545</v>
          </cell>
          <cell r="F37">
            <v>3135.8947346524515</v>
          </cell>
          <cell r="G37">
            <v>4767.1013303402733</v>
          </cell>
          <cell r="H37">
            <v>5280.1978642844579</v>
          </cell>
          <cell r="I37">
            <v>6899.7731014183692</v>
          </cell>
          <cell r="J37">
            <v>4861.176343549886</v>
          </cell>
          <cell r="K37">
            <v>4839.8156096018238</v>
          </cell>
          <cell r="L37">
            <v>5124.7473175733949</v>
          </cell>
          <cell r="M37">
            <v>5615.6784323865422</v>
          </cell>
          <cell r="N37">
            <v>6965.4646736285013</v>
          </cell>
          <cell r="O37">
            <v>4048.0053895545125</v>
          </cell>
          <cell r="P37">
            <v>2369.7612872618843</v>
          </cell>
        </row>
        <row r="38">
          <cell r="E38">
            <v>178305.47971259354</v>
          </cell>
        </row>
        <row r="50">
          <cell r="E50">
            <v>0</v>
          </cell>
          <cell r="F50">
            <v>1.4542911384503485</v>
          </cell>
          <cell r="G50">
            <v>2.210773577378093</v>
          </cell>
          <cell r="H50">
            <v>2.4487253600827237</v>
          </cell>
          <cell r="I50">
            <v>3.1998136824649825</v>
          </cell>
          <cell r="J50">
            <v>2.2544014634000713</v>
          </cell>
          <cell r="K50">
            <v>2.2444952871027013</v>
          </cell>
          <cell r="L50">
            <v>2.3766341798364534</v>
          </cell>
          <cell r="M50">
            <v>2.6043066083694977</v>
          </cell>
          <cell r="N50">
            <v>3.2302785671055241</v>
          </cell>
          <cell r="O50">
            <v>1.8772882588741699</v>
          </cell>
          <cell r="P50">
            <v>1.0989918769354361</v>
          </cell>
        </row>
        <row r="52">
          <cell r="E52">
            <v>0</v>
          </cell>
          <cell r="F52">
            <v>1163.4329107602789</v>
          </cell>
          <cell r="G52">
            <v>1768.6188619024745</v>
          </cell>
          <cell r="H52">
            <v>1958.9802880661789</v>
          </cell>
          <cell r="I52">
            <v>2559.8509459719862</v>
          </cell>
          <cell r="J52">
            <v>1803.5211707200569</v>
          </cell>
          <cell r="K52">
            <v>1795.596229682161</v>
          </cell>
          <cell r="L52">
            <v>1901.3073438691627</v>
          </cell>
          <cell r="M52">
            <v>2083.445286695598</v>
          </cell>
          <cell r="N52">
            <v>2584.2228536844191</v>
          </cell>
          <cell r="O52">
            <v>1501.830607099336</v>
          </cell>
          <cell r="P52">
            <v>879.19350154834888</v>
          </cell>
        </row>
        <row r="118">
          <cell r="E118">
            <v>36963.084678853753</v>
          </cell>
          <cell r="F118">
            <v>36963.084678853753</v>
          </cell>
          <cell r="G118">
            <v>73926.169357707506</v>
          </cell>
          <cell r="H118">
            <v>73926.169357707506</v>
          </cell>
          <cell r="I118">
            <v>81318.786293478261</v>
          </cell>
          <cell r="J118">
            <v>59140.935486166003</v>
          </cell>
          <cell r="K118">
            <v>51748.318550395255</v>
          </cell>
          <cell r="L118">
            <v>73926.169357707506</v>
          </cell>
          <cell r="M118">
            <v>73926.169357707506</v>
          </cell>
          <cell r="N118">
            <v>81318.786293478261</v>
          </cell>
          <cell r="O118">
            <v>73926.169357707506</v>
          </cell>
          <cell r="P118">
            <v>22177.85080731225</v>
          </cell>
        </row>
        <row r="123">
          <cell r="E123">
            <v>19827.767250000001</v>
          </cell>
          <cell r="F123">
            <v>1201.2880890289925</v>
          </cell>
          <cell r="G123">
            <v>758.49607159347272</v>
          </cell>
          <cell r="H123">
            <v>7158.5199510629927</v>
          </cell>
          <cell r="I123">
            <v>9354.2258593001643</v>
          </cell>
          <cell r="J123">
            <v>6590.4401189808532</v>
          </cell>
          <cell r="K123">
            <v>6561.4807420660518</v>
          </cell>
          <cell r="L123">
            <v>6947.771060843972</v>
          </cell>
          <cell r="M123">
            <v>7613.3408501427211</v>
          </cell>
          <cell r="N123">
            <v>9443.285860908014</v>
          </cell>
          <cell r="O123">
            <v>5488.0002772516173</v>
          </cell>
          <cell r="P123">
            <v>3212.7552584470782</v>
          </cell>
        </row>
        <row r="134">
          <cell r="E134">
            <v>19185.977379285494</v>
          </cell>
          <cell r="F134">
            <v>13208.943793568151</v>
          </cell>
          <cell r="G134">
            <v>20079.87475947191</v>
          </cell>
          <cell r="H134">
            <v>22241.12819781301</v>
          </cell>
          <cell r="I134">
            <v>29063.065822300134</v>
          </cell>
          <cell r="J134">
            <v>20476.135369923384</v>
          </cell>
          <cell r="K134">
            <v>20386.160176881524</v>
          </cell>
          <cell r="L134">
            <v>21586.342974477557</v>
          </cell>
          <cell r="M134">
            <v>23654.231743326585</v>
          </cell>
          <cell r="N134">
            <v>29339.770354326123</v>
          </cell>
          <cell r="O134">
            <v>17050.915349877814</v>
          </cell>
          <cell r="P134">
            <v>9981.854078748318</v>
          </cell>
        </row>
        <row r="150">
          <cell r="E150">
            <v>5746.6182778184229</v>
          </cell>
          <cell r="F150">
            <v>3956.3664823637873</v>
          </cell>
          <cell r="G150">
            <v>6014.3600207550835</v>
          </cell>
          <cell r="H150">
            <v>6661.7025181552026</v>
          </cell>
          <cell r="I150">
            <v>8705.0214832521433</v>
          </cell>
          <cell r="J150">
            <v>6133.0487079031527</v>
          </cell>
          <cell r="K150">
            <v>6106.0991770732644</v>
          </cell>
          <cell r="L150">
            <v>6465.5800763281077</v>
          </cell>
          <cell r="M150">
            <v>7084.9578208465273</v>
          </cell>
          <cell r="N150">
            <v>8787.9005198454288</v>
          </cell>
          <cell r="O150">
            <v>5107.1206780913872</v>
          </cell>
          <cell r="P150">
            <v>2989.7827961260559</v>
          </cell>
        </row>
        <row r="151">
          <cell r="E151">
            <v>45037.450223832748</v>
          </cell>
          <cell r="F151">
            <v>31006.872198990608</v>
          </cell>
          <cell r="G151">
            <v>47135.79830219681</v>
          </cell>
          <cell r="H151">
            <v>52209.156944611699</v>
          </cell>
          <cell r="I151">
            <v>68223.075345487727</v>
          </cell>
          <cell r="J151">
            <v>48065.986385194476</v>
          </cell>
          <cell r="K151">
            <v>47854.777271481165</v>
          </cell>
          <cell r="L151">
            <v>50672.104319129583</v>
          </cell>
          <cell r="M151">
            <v>55526.297340122779</v>
          </cell>
          <cell r="N151">
            <v>68872.615702044393</v>
          </cell>
          <cell r="O151">
            <v>40025.573686437143</v>
          </cell>
          <cell r="P151">
            <v>23431.553541732112</v>
          </cell>
        </row>
        <row r="152">
          <cell r="E152">
            <v>1135.9594270106184</v>
          </cell>
          <cell r="F152">
            <v>782.0724441881905</v>
          </cell>
          <cell r="G152">
            <v>1188.8851203818188</v>
          </cell>
          <cell r="H152">
            <v>1316.8481721934702</v>
          </cell>
          <cell r="I152">
            <v>1720.7600606428655</v>
          </cell>
          <cell r="J152">
            <v>1212.3468376087628</v>
          </cell>
          <cell r="K152">
            <v>1207.0196047702964</v>
          </cell>
          <cell r="L152">
            <v>1278.0797825299746</v>
          </cell>
          <cell r="M152">
            <v>1400.5149180743135</v>
          </cell>
          <cell r="N152">
            <v>1737.1431260159566</v>
          </cell>
          <cell r="O152">
            <v>1009.5471107855067</v>
          </cell>
          <cell r="P152">
            <v>591.00357597840639</v>
          </cell>
        </row>
        <row r="263">
          <cell r="E263">
            <v>23668.051734021457</v>
          </cell>
          <cell r="F263">
            <v>18320.291705879852</v>
          </cell>
          <cell r="G263">
            <v>25136.952920169508</v>
          </cell>
          <cell r="H263">
            <v>26906.442650735586</v>
          </cell>
          <cell r="I263">
            <v>32987.777536659116</v>
          </cell>
          <cell r="J263">
            <v>25273.554544564715</v>
          </cell>
          <cell r="K263">
            <v>25420.313740269692</v>
          </cell>
          <cell r="L263">
            <v>26300.666249615977</v>
          </cell>
          <cell r="M263">
            <v>28213.779392163589</v>
          </cell>
          <cell r="N263">
            <v>33473.771516991066</v>
          </cell>
          <cell r="O263">
            <v>22104.70255640211</v>
          </cell>
          <cell r="P263">
            <v>14874.74052991485</v>
          </cell>
        </row>
        <row r="271">
          <cell r="E271">
            <v>15576.008378598535</v>
          </cell>
          <cell r="F271">
            <v>10723.593337662775</v>
          </cell>
          <cell r="G271">
            <v>16301.713033000113</v>
          </cell>
          <cell r="H271">
            <v>18056.312290488113</v>
          </cell>
          <cell r="I271">
            <v>23594.65706681482</v>
          </cell>
          <cell r="J271">
            <v>16623.414579211916</v>
          </cell>
          <cell r="K271">
            <v>16550.368815997419</v>
          </cell>
          <cell r="L271">
            <v>17524.729253396297</v>
          </cell>
          <cell r="M271">
            <v>19203.531023713083</v>
          </cell>
          <cell r="N271">
            <v>23819.297804371734</v>
          </cell>
          <cell r="O271">
            <v>13842.67244259421</v>
          </cell>
          <cell r="P271">
            <v>8103.7019741509721</v>
          </cell>
        </row>
      </sheetData>
      <sheetData sheetId="22">
        <row r="4">
          <cell r="E4">
            <v>19.24044771677282</v>
          </cell>
          <cell r="F4">
            <v>24.321328169648581</v>
          </cell>
          <cell r="G4">
            <v>22.770963096237939</v>
          </cell>
          <cell r="H4">
            <v>29.860314520542744</v>
          </cell>
          <cell r="I4">
            <v>37.229810905039251</v>
          </cell>
          <cell r="J4">
            <v>33.83707173550448</v>
          </cell>
          <cell r="K4">
            <v>34.428361303122216</v>
          </cell>
          <cell r="L4">
            <v>35.458621184045796</v>
          </cell>
          <cell r="M4">
            <v>28.578230344802019</v>
          </cell>
          <cell r="N4">
            <v>38.571215393388869</v>
          </cell>
          <cell r="O4">
            <v>34.969515638793077</v>
          </cell>
          <cell r="P4">
            <v>20.230522869800058</v>
          </cell>
        </row>
        <row r="6">
          <cell r="E6">
            <v>14430.335787579615</v>
          </cell>
          <cell r="F6">
            <v>18240.996127236434</v>
          </cell>
          <cell r="G6">
            <v>17078.222322178455</v>
          </cell>
          <cell r="H6">
            <v>22395.235890407057</v>
          </cell>
          <cell r="I6">
            <v>27922.358178779439</v>
          </cell>
          <cell r="J6">
            <v>25377.803801628361</v>
          </cell>
          <cell r="K6">
            <v>25821.270977341661</v>
          </cell>
          <cell r="L6">
            <v>26593.965888034349</v>
          </cell>
          <cell r="M6">
            <v>21433.672758601515</v>
          </cell>
          <cell r="N6">
            <v>28928.41154504165</v>
          </cell>
          <cell r="O6">
            <v>26227.136729094807</v>
          </cell>
          <cell r="P6">
            <v>15172.892152350043</v>
          </cell>
        </row>
        <row r="20">
          <cell r="E20">
            <v>1.0973639382189821</v>
          </cell>
          <cell r="F20">
            <v>1.3871479944666489</v>
          </cell>
          <cell r="G20">
            <v>1.2987241309641409</v>
          </cell>
          <cell r="H20">
            <v>1.7030597635290536</v>
          </cell>
          <cell r="I20">
            <v>2.1233732455345575</v>
          </cell>
          <cell r="J20">
            <v>1.9298710115306736</v>
          </cell>
          <cell r="K20">
            <v>1.9635947511286436</v>
          </cell>
          <cell r="L20">
            <v>2.0223548203828403</v>
          </cell>
          <cell r="M20">
            <v>1.6299370919088603</v>
          </cell>
          <cell r="N20">
            <v>2.1998792049461331</v>
          </cell>
          <cell r="O20">
            <v>1.994459066851316</v>
          </cell>
          <cell r="P20">
            <v>1.1538321028403073</v>
          </cell>
        </row>
        <row r="22">
          <cell r="E22">
            <v>823.02295366423664</v>
          </cell>
          <cell r="F22">
            <v>1040.3609958499867</v>
          </cell>
          <cell r="G22">
            <v>974.04309822310563</v>
          </cell>
          <cell r="H22">
            <v>1277.2948226467902</v>
          </cell>
          <cell r="I22">
            <v>1592.5299341509181</v>
          </cell>
          <cell r="J22">
            <v>1447.4032586480052</v>
          </cell>
          <cell r="K22">
            <v>1472.6960633464828</v>
          </cell>
          <cell r="L22">
            <v>1516.7661152871303</v>
          </cell>
          <cell r="M22">
            <v>1222.4528189316452</v>
          </cell>
          <cell r="N22">
            <v>1649.9094037095999</v>
          </cell>
          <cell r="O22">
            <v>1495.8443001384869</v>
          </cell>
          <cell r="P22">
            <v>865.37407713023049</v>
          </cell>
        </row>
        <row r="35">
          <cell r="E35">
            <v>17.233619349756211</v>
          </cell>
          <cell r="F35">
            <v>21.784550854855535</v>
          </cell>
          <cell r="G35">
            <v>20.395892860944919</v>
          </cell>
          <cell r="H35">
            <v>26.745806630187154</v>
          </cell>
          <cell r="I35">
            <v>33.34664551706517</v>
          </cell>
          <cell r="J35">
            <v>30.307777801435051</v>
          </cell>
          <cell r="K35">
            <v>30.837394340707309</v>
          </cell>
          <cell r="L35">
            <v>31.760195456384267</v>
          </cell>
          <cell r="M35">
            <v>25.597447143739217</v>
          </cell>
          <cell r="N35">
            <v>34.548138054378612</v>
          </cell>
          <cell r="O35">
            <v>31.322104882151301</v>
          </cell>
          <cell r="P35">
            <v>18.120427108395255</v>
          </cell>
        </row>
        <row r="37">
          <cell r="E37">
            <v>2068.0343219707452</v>
          </cell>
          <cell r="F37">
            <v>2614.1461025826643</v>
          </cell>
          <cell r="G37">
            <v>2447.5071433133903</v>
          </cell>
          <cell r="H37">
            <v>3209.4967956224586</v>
          </cell>
          <cell r="I37">
            <v>4001.5974620478205</v>
          </cell>
          <cell r="J37">
            <v>3636.9333361722061</v>
          </cell>
          <cell r="K37">
            <v>3700.4873208848771</v>
          </cell>
          <cell r="L37">
            <v>3811.2234547661119</v>
          </cell>
          <cell r="M37">
            <v>3071.6936572487061</v>
          </cell>
          <cell r="N37">
            <v>4145.7765665254337</v>
          </cell>
          <cell r="O37">
            <v>3758.6525858581563</v>
          </cell>
          <cell r="P37">
            <v>2174.4512530074308</v>
          </cell>
        </row>
        <row r="68">
          <cell r="E68">
            <v>641081.32723401533</v>
          </cell>
          <cell r="F68">
            <v>810373.52002469823</v>
          </cell>
          <cell r="G68">
            <v>758716.19304405223</v>
          </cell>
          <cell r="H68">
            <v>994929.55394000048</v>
          </cell>
          <cell r="I68">
            <v>1240477.1936189239</v>
          </cell>
          <cell r="J68">
            <v>1127432.9567185473</v>
          </cell>
          <cell r="K68">
            <v>1147134.4057891713</v>
          </cell>
          <cell r="L68">
            <v>1181462.1086358507</v>
          </cell>
          <cell r="M68">
            <v>952211.20158621995</v>
          </cell>
          <cell r="N68">
            <v>1285172.0667532524</v>
          </cell>
          <cell r="O68">
            <v>1165165.3760065578</v>
          </cell>
          <cell r="P68">
            <v>674070.09664871078</v>
          </cell>
        </row>
        <row r="111">
          <cell r="E111"/>
          <cell r="F111"/>
          <cell r="G111">
            <v>8500</v>
          </cell>
          <cell r="H111"/>
          <cell r="I111"/>
          <cell r="J111">
            <v>8500</v>
          </cell>
          <cell r="K111"/>
          <cell r="L111"/>
          <cell r="M111">
            <v>8500</v>
          </cell>
          <cell r="N111"/>
          <cell r="O111"/>
          <cell r="P111">
            <v>8500</v>
          </cell>
        </row>
        <row r="116">
          <cell r="E116">
            <v>0</v>
          </cell>
          <cell r="F116">
            <v>0</v>
          </cell>
          <cell r="G116">
            <v>0</v>
          </cell>
          <cell r="H116">
            <v>0</v>
          </cell>
          <cell r="I116">
            <v>0</v>
          </cell>
          <cell r="J116">
            <v>0</v>
          </cell>
          <cell r="K116">
            <v>0</v>
          </cell>
          <cell r="L116">
            <v>0</v>
          </cell>
          <cell r="M116">
            <v>0</v>
          </cell>
          <cell r="N116">
            <v>0</v>
          </cell>
          <cell r="O116">
            <v>0</v>
          </cell>
          <cell r="P116">
            <v>0</v>
          </cell>
        </row>
        <row r="121">
          <cell r="E121">
            <v>6388.1066408329252</v>
          </cell>
          <cell r="F121">
            <v>8075.0323631485935</v>
          </cell>
          <cell r="G121">
            <v>7560.2887580641736</v>
          </cell>
          <cell r="H121">
            <v>9914.0558626269521</v>
          </cell>
          <cell r="I121">
            <v>12360.835141695234</v>
          </cell>
          <cell r="J121">
            <v>11234.396716843741</v>
          </cell>
          <cell r="K121">
            <v>11430.713396640196</v>
          </cell>
          <cell r="L121">
            <v>11772.774562991033</v>
          </cell>
          <cell r="M121">
            <v>9488.3853918708883</v>
          </cell>
          <cell r="N121">
            <v>12806.200813337025</v>
          </cell>
          <cell r="O121">
            <v>11610.384455042904</v>
          </cell>
          <cell r="P121">
            <v>6716.8258969063399</v>
          </cell>
        </row>
        <row r="125">
          <cell r="E125">
            <v>0</v>
          </cell>
          <cell r="F125">
            <v>0</v>
          </cell>
          <cell r="G125">
            <v>0</v>
          </cell>
          <cell r="H125">
            <v>0</v>
          </cell>
          <cell r="I125">
            <v>0</v>
          </cell>
          <cell r="J125">
            <v>0</v>
          </cell>
          <cell r="K125">
            <v>0</v>
          </cell>
          <cell r="L125">
            <v>0</v>
          </cell>
          <cell r="M125">
            <v>0</v>
          </cell>
          <cell r="N125">
            <v>0</v>
          </cell>
          <cell r="O125">
            <v>0</v>
          </cell>
          <cell r="P125">
            <v>0</v>
          </cell>
        </row>
        <row r="136">
          <cell r="E136">
            <v>16353.50352375072</v>
          </cell>
          <cell r="F136">
            <v>20672.020307402596</v>
          </cell>
          <cell r="G136">
            <v>19354.280665147871</v>
          </cell>
          <cell r="H136">
            <v>25379.906222572354</v>
          </cell>
          <cell r="I136">
            <v>31643.64222633859</v>
          </cell>
          <cell r="J136">
            <v>28759.968583142301</v>
          </cell>
          <cell r="K136">
            <v>29262.537762921016</v>
          </cell>
          <cell r="L136">
            <v>30138.211699467469</v>
          </cell>
          <cell r="M136">
            <v>24290.193114314305</v>
          </cell>
          <cell r="N136">
            <v>32783.774896322007</v>
          </cell>
          <cell r="O136">
            <v>29722.494280854407</v>
          </cell>
          <cell r="P136">
            <v>17195.022273321931</v>
          </cell>
        </row>
        <row r="137">
          <cell r="E137">
            <v>18533.970660250816</v>
          </cell>
          <cell r="F137">
            <v>23428.289681722941</v>
          </cell>
          <cell r="G137">
            <v>21934.851420500923</v>
          </cell>
          <cell r="H137">
            <v>28763.893718915333</v>
          </cell>
          <cell r="I137">
            <v>35862.794523183737</v>
          </cell>
          <cell r="J137">
            <v>32594.631060894608</v>
          </cell>
          <cell r="K137">
            <v>33164.209464643813</v>
          </cell>
          <cell r="L137">
            <v>34156.63992606313</v>
          </cell>
          <cell r="M137">
            <v>27528.88552955621</v>
          </cell>
          <cell r="N137">
            <v>37154.944882498276</v>
          </cell>
          <cell r="O137">
            <v>33685.493518301657</v>
          </cell>
          <cell r="P137">
            <v>19487.691909764857</v>
          </cell>
        </row>
        <row r="138">
          <cell r="E138">
            <v>0</v>
          </cell>
          <cell r="H138">
            <v>0</v>
          </cell>
          <cell r="K138">
            <v>0</v>
          </cell>
          <cell r="N138">
            <v>0</v>
          </cell>
          <cell r="Q138">
            <v>0</v>
          </cell>
        </row>
        <row r="230">
          <cell r="E230">
            <v>10838.942353141567</v>
          </cell>
          <cell r="F230">
            <v>12124.881778695681</v>
          </cell>
          <cell r="G230">
            <v>11976.554224242554</v>
          </cell>
          <cell r="H230">
            <v>13827.748403134117</v>
          </cell>
          <cell r="I230">
            <v>15757.785280090277</v>
          </cell>
          <cell r="J230">
            <v>14946.948506398108</v>
          </cell>
          <cell r="K230">
            <v>15257.358299444291</v>
          </cell>
          <cell r="L230">
            <v>15403.309861179125</v>
          </cell>
          <cell r="M230">
            <v>13466.924580024272</v>
          </cell>
          <cell r="N230">
            <v>16279.303936806695</v>
          </cell>
          <cell r="O230">
            <v>15265.658265377819</v>
          </cell>
          <cell r="P230">
            <v>10685.584511465499</v>
          </cell>
        </row>
        <row r="238">
          <cell r="E238">
            <v>10466.242255200459</v>
          </cell>
          <cell r="F238">
            <v>13230.092996737661</v>
          </cell>
          <cell r="G238">
            <v>12386.739625694638</v>
          </cell>
          <cell r="H238">
            <v>16243.139982446304</v>
          </cell>
          <cell r="I238">
            <v>20251.931024856698</v>
          </cell>
          <cell r="J238">
            <v>18406.379893211069</v>
          </cell>
          <cell r="K238">
            <v>18728.02416826945</v>
          </cell>
          <cell r="L238">
            <v>19288.455487659179</v>
          </cell>
          <cell r="M238">
            <v>15545.723593161152</v>
          </cell>
          <cell r="N238">
            <v>20981.615933646088</v>
          </cell>
          <cell r="O238">
            <v>19022.396339746818</v>
          </cell>
          <cell r="P238">
            <v>11004.814254926037</v>
          </cell>
        </row>
      </sheetData>
      <sheetData sheetId="23"/>
      <sheetData sheetId="24">
        <row r="7">
          <cell r="C7">
            <v>5000</v>
          </cell>
        </row>
      </sheetData>
      <sheetData sheetId="25"/>
      <sheetData sheetId="26"/>
      <sheetData sheetId="27"/>
      <sheetData sheetId="28"/>
      <sheetData sheetId="29"/>
      <sheetData sheetId="30"/>
      <sheetData sheetId="31"/>
      <sheetData sheetId="32"/>
      <sheetData sheetId="33"/>
      <sheetData sheetId="34"/>
      <sheetData sheetId="35">
        <row r="5">
          <cell r="E5">
            <v>56941.626710577031</v>
          </cell>
          <cell r="F5">
            <v>55670.32225880849</v>
          </cell>
          <cell r="G5">
            <v>72928.639682144712</v>
          </cell>
          <cell r="H5">
            <v>133435.83594025267</v>
          </cell>
          <cell r="I5">
            <v>119175.94609597976</v>
          </cell>
          <cell r="J5">
            <v>71212.153087851053</v>
          </cell>
          <cell r="K5">
            <v>68076.876936082044</v>
          </cell>
          <cell r="L5">
            <v>75201.545573368028</v>
          </cell>
          <cell r="M5">
            <v>55623.103447169939</v>
          </cell>
          <cell r="N5">
            <v>95973.149911395405</v>
          </cell>
          <cell r="O5">
            <v>179666.95058178654</v>
          </cell>
          <cell r="P5">
            <v>66051.176989955682</v>
          </cell>
        </row>
        <row r="6">
          <cell r="E6">
            <v>75870.988065822879</v>
          </cell>
          <cell r="F6">
            <v>74177.058150922123</v>
          </cell>
          <cell r="G6">
            <v>97172.635743349791</v>
          </cell>
          <cell r="H6">
            <v>177794.51169587806</v>
          </cell>
          <cell r="I6">
            <v>158794.14246347235</v>
          </cell>
          <cell r="J6">
            <v>94885.529781787787</v>
          </cell>
          <cell r="K6">
            <v>90707.979661855235</v>
          </cell>
          <cell r="L6">
            <v>100201.13397407754</v>
          </cell>
          <cell r="M6">
            <v>74114.142177121088</v>
          </cell>
          <cell r="N6">
            <v>127877.93626932583</v>
          </cell>
          <cell r="O6">
            <v>239394.44393992759</v>
          </cell>
          <cell r="P6">
            <v>88008.867161633272</v>
          </cell>
        </row>
        <row r="8">
          <cell r="E8">
            <v>32171.38226530352</v>
          </cell>
          <cell r="F8">
            <v>32331.962322221443</v>
          </cell>
          <cell r="G8">
            <v>35195.645918063725</v>
          </cell>
          <cell r="H8">
            <v>32637.314558560218</v>
          </cell>
          <cell r="I8">
            <v>46489.158388346921</v>
          </cell>
          <cell r="J8">
            <v>43733.246217656502</v>
          </cell>
          <cell r="K8">
            <v>53094.189524096088</v>
          </cell>
          <cell r="L8">
            <v>55595.496227062911</v>
          </cell>
          <cell r="M8">
            <v>42699.982092681421</v>
          </cell>
          <cell r="N8">
            <v>40927.265930054535</v>
          </cell>
          <cell r="O8">
            <v>42721.975155266453</v>
          </cell>
          <cell r="P8">
            <v>36576.835603948479</v>
          </cell>
        </row>
        <row r="9">
          <cell r="E9">
            <v>46079.956800909669</v>
          </cell>
          <cell r="F9">
            <v>46309.960038720368</v>
          </cell>
          <cell r="G9">
            <v>50411.692917329121</v>
          </cell>
          <cell r="H9">
            <v>46747.324456062386</v>
          </cell>
          <cell r="I9">
            <v>66587.701845687625</v>
          </cell>
          <cell r="J9">
            <v>62640.332947290139</v>
          </cell>
          <cell r="K9">
            <v>76048.26984037504</v>
          </cell>
          <cell r="L9">
            <v>79630.960315656353</v>
          </cell>
          <cell r="M9">
            <v>61160.360285558061</v>
          </cell>
          <cell r="N9">
            <v>58621.250106191612</v>
          </cell>
          <cell r="O9">
            <v>61191.86155477554</v>
          </cell>
          <cell r="P9">
            <v>52390.008941632252</v>
          </cell>
        </row>
        <row r="11">
          <cell r="E11">
            <v>34702.332573736632</v>
          </cell>
          <cell r="F11">
            <v>40328.235085467459</v>
          </cell>
          <cell r="G11">
            <v>38513.041356783542</v>
          </cell>
          <cell r="H11">
            <v>40018.899905731188</v>
          </cell>
          <cell r="I11">
            <v>48687.680748074017</v>
          </cell>
          <cell r="J11">
            <v>42597.96833014633</v>
          </cell>
          <cell r="K11">
            <v>41572.557937194295</v>
          </cell>
          <cell r="L11">
            <v>43583.980989771517</v>
          </cell>
          <cell r="M11">
            <v>42957.039538587269</v>
          </cell>
          <cell r="N11">
            <v>53773.388129053397</v>
          </cell>
          <cell r="O11">
            <v>44578.294793128822</v>
          </cell>
          <cell r="P11">
            <v>37563.910553407448</v>
          </cell>
        </row>
        <row r="12">
          <cell r="E12">
            <v>47328.252104281775</v>
          </cell>
          <cell r="F12">
            <v>55001.054266025283</v>
          </cell>
          <cell r="G12">
            <v>52525.429717539402</v>
          </cell>
          <cell r="H12">
            <v>54579.172153629144</v>
          </cell>
          <cell r="I12">
            <v>66401.957964104484</v>
          </cell>
          <cell r="J12">
            <v>58096.595667611946</v>
          </cell>
          <cell r="K12">
            <v>56698.105191939605</v>
          </cell>
          <cell r="L12">
            <v>59441.354139786585</v>
          </cell>
          <cell r="M12">
            <v>58586.309511497566</v>
          </cell>
          <cell r="N12">
            <v>73338.02315638389</v>
          </cell>
          <cell r="O12">
            <v>60797.434001452049</v>
          </cell>
          <cell r="P12">
            <v>51230.972007912125</v>
          </cell>
        </row>
        <row r="14">
          <cell r="E14">
            <v>200.04445242369837</v>
          </cell>
          <cell r="F14">
            <v>18.490298898793917</v>
          </cell>
          <cell r="G14">
            <v>0</v>
          </cell>
          <cell r="H14">
            <v>164.53843106611848</v>
          </cell>
          <cell r="I14">
            <v>17.725457809694795</v>
          </cell>
          <cell r="J14">
            <v>42.527687467226009</v>
          </cell>
          <cell r="K14">
            <v>36.980597797587833</v>
          </cell>
          <cell r="L14">
            <v>178.23253896868667</v>
          </cell>
          <cell r="M14">
            <v>79.006358300092543</v>
          </cell>
          <cell r="N14">
            <v>218.66687230923773</v>
          </cell>
          <cell r="O14">
            <v>409.85058760175826</v>
          </cell>
          <cell r="P14">
            <v>44.376717357105399</v>
          </cell>
        </row>
        <row r="15">
          <cell r="E15">
            <v>270.33034111310593</v>
          </cell>
          <cell r="F15">
            <v>24.986890403775561</v>
          </cell>
          <cell r="G15">
            <v>0</v>
          </cell>
          <cell r="H15">
            <v>222.34923117043039</v>
          </cell>
          <cell r="I15">
            <v>23.953321364452425</v>
          </cell>
          <cell r="J15">
            <v>57.469847928683798</v>
          </cell>
          <cell r="K15">
            <v>49.973780807551123</v>
          </cell>
          <cell r="L15">
            <v>240.85478239011712</v>
          </cell>
          <cell r="M15">
            <v>106.76534905417911</v>
          </cell>
          <cell r="N15">
            <v>295.49577339086181</v>
          </cell>
          <cell r="O15">
            <v>553.85214540778145</v>
          </cell>
          <cell r="P15">
            <v>59.968536969061347</v>
          </cell>
        </row>
        <row r="18">
          <cell r="E18">
            <v>-2959.7191851556272</v>
          </cell>
          <cell r="F18">
            <v>-3065.6632097438992</v>
          </cell>
          <cell r="G18">
            <v>-3475.7080423797106</v>
          </cell>
          <cell r="H18">
            <v>-4750.6399655734394</v>
          </cell>
          <cell r="I18">
            <v>-5033.4209187872038</v>
          </cell>
          <cell r="J18">
            <v>-3776.1121398973351</v>
          </cell>
          <cell r="K18">
            <v>-3947.0420261874815</v>
          </cell>
          <cell r="L18">
            <v>-4222.0781123780662</v>
          </cell>
          <cell r="M18">
            <v>-3419.54898262199</v>
          </cell>
          <cell r="N18">
            <v>-4500.6152400611772</v>
          </cell>
          <cell r="O18">
            <v>-6146.4338340456598</v>
          </cell>
          <cell r="P18">
            <v>-3344.4785909260709</v>
          </cell>
        </row>
        <row r="20">
          <cell r="E20">
            <v>4604.8981845003154</v>
          </cell>
          <cell r="F20">
            <v>4356.7341443281002</v>
          </cell>
          <cell r="G20">
            <v>5813.2599871796947</v>
          </cell>
          <cell r="H20">
            <v>8131.8284606673242</v>
          </cell>
          <cell r="I20">
            <v>9349.3041315221144</v>
          </cell>
          <cell r="J20">
            <v>6703.3458307640494</v>
          </cell>
          <cell r="K20">
            <v>5796.888359525592</v>
          </cell>
          <cell r="L20">
            <v>5850.9337425010481</v>
          </cell>
          <cell r="M20">
            <v>6977.3348150670872</v>
          </cell>
          <cell r="N20">
            <v>6202.5566233403651</v>
          </cell>
          <cell r="O20">
            <v>4770.4497635545613</v>
          </cell>
          <cell r="P20">
            <v>3442.4659570497488</v>
          </cell>
        </row>
        <row r="21">
          <cell r="E21">
            <v>19187.075768751314</v>
          </cell>
          <cell r="F21">
            <v>18153.058934700417</v>
          </cell>
          <cell r="G21">
            <v>24221.91661324873</v>
          </cell>
          <cell r="H21">
            <v>33882.618586113851</v>
          </cell>
          <cell r="I21">
            <v>38955.433881342142</v>
          </cell>
          <cell r="J21">
            <v>27930.607628183541</v>
          </cell>
          <cell r="K21">
            <v>24153.7014980233</v>
          </cell>
          <cell r="L21">
            <v>24378.890593754368</v>
          </cell>
          <cell r="M21">
            <v>29072.228396112863</v>
          </cell>
          <cell r="N21">
            <v>25843.985930584855</v>
          </cell>
          <cell r="O21">
            <v>19876.874014810674</v>
          </cell>
          <cell r="P21">
            <v>14343.608154373955</v>
          </cell>
        </row>
        <row r="30">
          <cell r="E30">
            <v>17889.166892491088</v>
          </cell>
          <cell r="F30">
            <v>15520.281688264424</v>
          </cell>
          <cell r="G30">
            <v>19930.33567748265</v>
          </cell>
          <cell r="H30">
            <v>17261.50348750145</v>
          </cell>
          <cell r="I30">
            <v>23777.011623893057</v>
          </cell>
          <cell r="J30">
            <v>19719.00888517897</v>
          </cell>
          <cell r="K30">
            <v>23364.399608969885</v>
          </cell>
          <cell r="L30">
            <v>18704.694240279401</v>
          </cell>
          <cell r="M30">
            <v>14328.809314046428</v>
          </cell>
          <cell r="N30">
            <v>20441.371959646287</v>
          </cell>
          <cell r="O30">
            <v>20482.628149327473</v>
          </cell>
          <cell r="P30">
            <v>12481.588472918884</v>
          </cell>
        </row>
        <row r="31">
          <cell r="E31">
            <v>78517.102612357092</v>
          </cell>
          <cell r="F31">
            <v>68119.860316225822</v>
          </cell>
          <cell r="G31">
            <v>87475.969165700837</v>
          </cell>
          <cell r="H31">
            <v>75762.233575036022</v>
          </cell>
          <cell r="I31">
            <v>104359.36299929337</v>
          </cell>
          <cell r="J31">
            <v>86548.437574332362</v>
          </cell>
          <cell r="K31">
            <v>102548.37313545501</v>
          </cell>
          <cell r="L31">
            <v>82096.522762792156</v>
          </cell>
          <cell r="M31">
            <v>62890.384889646244</v>
          </cell>
          <cell r="N31">
            <v>89718.951661555475</v>
          </cell>
          <cell r="O31">
            <v>89900.028650666252</v>
          </cell>
          <cell r="P31">
            <v>54782.772656939349</v>
          </cell>
        </row>
        <row r="36">
          <cell r="E36">
            <v>20254.963799062432</v>
          </cell>
          <cell r="F36">
            <v>21172.121593668639</v>
          </cell>
          <cell r="G36">
            <v>21184.221778966337</v>
          </cell>
          <cell r="H36">
            <v>34693.202442632086</v>
          </cell>
          <cell r="I36">
            <v>28394.795031662608</v>
          </cell>
          <cell r="J36">
            <v>21847.095159826171</v>
          </cell>
          <cell r="K36">
            <v>21724.467611879998</v>
          </cell>
          <cell r="L36">
            <v>27496.547241254921</v>
          </cell>
          <cell r="M36">
            <v>20355.97191821563</v>
          </cell>
          <cell r="N36">
            <v>25683.273722475948</v>
          </cell>
          <cell r="O36">
            <v>38005.948572169371</v>
          </cell>
          <cell r="P36">
            <v>19799.206798209314</v>
          </cell>
        </row>
        <row r="37">
          <cell r="E37">
            <v>56558.019542723647</v>
          </cell>
          <cell r="F37">
            <v>59119.003061909214</v>
          </cell>
          <cell r="G37">
            <v>59152.790459572665</v>
          </cell>
          <cell r="H37">
            <v>96873.973274683376</v>
          </cell>
          <cell r="I37">
            <v>79286.904101341468</v>
          </cell>
          <cell r="J37">
            <v>61003.734554113929</v>
          </cell>
          <cell r="K37">
            <v>60661.32114266479</v>
          </cell>
          <cell r="L37">
            <v>76778.723065419894</v>
          </cell>
          <cell r="M37">
            <v>56840.064933360416</v>
          </cell>
          <cell r="N37">
            <v>71715.511887715809</v>
          </cell>
          <cell r="O37">
            <v>106124.16805129041</v>
          </cell>
          <cell r="P37">
            <v>55285.407376308569</v>
          </cell>
        </row>
        <row r="39">
          <cell r="E39">
            <v>14346.960942942509</v>
          </cell>
          <cell r="F39">
            <v>13623.390645369172</v>
          </cell>
          <cell r="G39">
            <v>11862.116557231619</v>
          </cell>
          <cell r="H39">
            <v>9400.794260302544</v>
          </cell>
          <cell r="I39">
            <v>12446.627568754568</v>
          </cell>
          <cell r="J39">
            <v>10148.234901910209</v>
          </cell>
          <cell r="K39">
            <v>15594.372920911424</v>
          </cell>
          <cell r="L39">
            <v>9965.8505615293889</v>
          </cell>
          <cell r="M39">
            <v>9235.3462095297673</v>
          </cell>
          <cell r="N39">
            <v>11469.991940432761</v>
          </cell>
          <cell r="O39">
            <v>14505.74316737102</v>
          </cell>
          <cell r="P39">
            <v>9940.6670595916221</v>
          </cell>
        </row>
        <row r="40">
          <cell r="E40">
            <v>52423.803994647475</v>
          </cell>
          <cell r="F40">
            <v>49779.877688080589</v>
          </cell>
          <cell r="G40">
            <v>43344.181100867499</v>
          </cell>
          <cell r="H40">
            <v>34350.507933775058</v>
          </cell>
          <cell r="I40">
            <v>45479.984691792146</v>
          </cell>
          <cell r="J40">
            <v>37081.656491933565</v>
          </cell>
          <cell r="K40">
            <v>56981.848119371069</v>
          </cell>
          <cell r="L40">
            <v>36415.224001468006</v>
          </cell>
          <cell r="M40">
            <v>33745.96065581825</v>
          </cell>
          <cell r="N40">
            <v>41911.357513050338</v>
          </cell>
          <cell r="O40">
            <v>53003.994339095931</v>
          </cell>
          <cell r="P40">
            <v>36323.203470100096</v>
          </cell>
        </row>
        <row r="42">
          <cell r="E42">
            <v>17334.681763161359</v>
          </cell>
          <cell r="F42">
            <v>20712.037930507497</v>
          </cell>
          <cell r="G42">
            <v>17661.004567836397</v>
          </cell>
          <cell r="H42">
            <v>13093.511394382103</v>
          </cell>
          <cell r="I42">
            <v>20969.845164056951</v>
          </cell>
          <cell r="J42">
            <v>19908.858349313956</v>
          </cell>
          <cell r="K42">
            <v>22374.044354580437</v>
          </cell>
          <cell r="L42">
            <v>30841.808590040197</v>
          </cell>
          <cell r="M42">
            <v>24597.172241455097</v>
          </cell>
          <cell r="N42">
            <v>19522.782399677508</v>
          </cell>
          <cell r="O42">
            <v>14588.925340455306</v>
          </cell>
          <cell r="P42">
            <v>17757.908415161732</v>
          </cell>
        </row>
        <row r="43">
          <cell r="E43">
            <v>72277.206868378125</v>
          </cell>
          <cell r="F43">
            <v>86359.142361086677</v>
          </cell>
          <cell r="G43">
            <v>73637.814532344011</v>
          </cell>
          <cell r="H43">
            <v>54593.585542272544</v>
          </cell>
          <cell r="I43">
            <v>87434.073358148133</v>
          </cell>
          <cell r="J43">
            <v>83010.273455644725</v>
          </cell>
          <cell r="K43">
            <v>93288.902236146867</v>
          </cell>
          <cell r="L43">
            <v>128595.36795157875</v>
          </cell>
          <cell r="M43">
            <v>102558.26618351226</v>
          </cell>
          <cell r="N43">
            <v>81400.524187672578</v>
          </cell>
          <cell r="O43">
            <v>60828.735665644577</v>
          </cell>
          <cell r="P43">
            <v>74041.85652833608</v>
          </cell>
        </row>
        <row r="45">
          <cell r="E45">
            <v>13538.548748516956</v>
          </cell>
          <cell r="F45">
            <v>12844.717251459924</v>
          </cell>
          <cell r="G45">
            <v>13150.333328444585</v>
          </cell>
          <cell r="H45">
            <v>15256.536069325215</v>
          </cell>
          <cell r="I45">
            <v>22788.34158794993</v>
          </cell>
          <cell r="J45">
            <v>19400.198016831986</v>
          </cell>
          <cell r="K45">
            <v>18390.387344050661</v>
          </cell>
          <cell r="L45">
            <v>20827.175761676212</v>
          </cell>
          <cell r="M45">
            <v>18438.560884038885</v>
          </cell>
          <cell r="N45">
            <v>24811.322733005723</v>
          </cell>
          <cell r="O45">
            <v>19988.77478192456</v>
          </cell>
          <cell r="P45">
            <v>11235.656760663192</v>
          </cell>
        </row>
        <row r="46">
          <cell r="E46">
            <v>41032.786125816012</v>
          </cell>
          <cell r="F46">
            <v>38929.913805087061</v>
          </cell>
          <cell r="G46">
            <v>39856.178455491056</v>
          </cell>
          <cell r="H46">
            <v>46239.681459358391</v>
          </cell>
          <cell r="I46">
            <v>69067.162508301903</v>
          </cell>
          <cell r="J46">
            <v>58798.338788738147</v>
          </cell>
          <cell r="K46">
            <v>55737.793221153479</v>
          </cell>
          <cell r="L46">
            <v>63123.239019784436</v>
          </cell>
          <cell r="M46">
            <v>55883.798129063332</v>
          </cell>
          <cell r="N46">
            <v>75198.436561639828</v>
          </cell>
          <cell r="O46">
            <v>60582.203881613321</v>
          </cell>
          <cell r="P46">
            <v>34053.155135543893</v>
          </cell>
        </row>
        <row r="48">
          <cell r="E48">
            <v>3427.3631536537873</v>
          </cell>
          <cell r="F48">
            <v>2625.628096827847</v>
          </cell>
          <cell r="G48">
            <v>2842.6667387139237</v>
          </cell>
          <cell r="H48">
            <v>3713.2069843414915</v>
          </cell>
          <cell r="I48">
            <v>4409.0532674499009</v>
          </cell>
          <cell r="J48">
            <v>3645.4694058450782</v>
          </cell>
          <cell r="K48">
            <v>4405.6192248976149</v>
          </cell>
          <cell r="L48">
            <v>4017.8139247521685</v>
          </cell>
          <cell r="M48">
            <v>2985.0191018687615</v>
          </cell>
          <cell r="N48">
            <v>5141.0094590352328</v>
          </cell>
          <cell r="O48">
            <v>6680.6818794458341</v>
          </cell>
          <cell r="P48">
            <v>3592.1966609185047</v>
          </cell>
        </row>
        <row r="49">
          <cell r="E49">
            <v>11548.272056930771</v>
          </cell>
          <cell r="F49">
            <v>8846.8791380232742</v>
          </cell>
          <cell r="G49">
            <v>9578.1763980452179</v>
          </cell>
          <cell r="H49">
            <v>12511.403821668857</v>
          </cell>
          <cell r="I49">
            <v>14856.011564380127</v>
          </cell>
          <cell r="J49">
            <v>12283.166558827203</v>
          </cell>
          <cell r="K49">
            <v>14844.440786534014</v>
          </cell>
          <cell r="L49">
            <v>13537.756635942922</v>
          </cell>
          <cell r="M49">
            <v>10057.82321221679</v>
          </cell>
          <cell r="N49">
            <v>17322.289240608017</v>
          </cell>
          <cell r="O49">
            <v>22510.112996751133</v>
          </cell>
          <cell r="P49">
            <v>12103.667590071675</v>
          </cell>
        </row>
        <row r="51">
          <cell r="E51">
            <v>11355.585272542243</v>
          </cell>
          <cell r="F51">
            <v>10747.62343554942</v>
          </cell>
          <cell r="G51">
            <v>10944.927525755322</v>
          </cell>
          <cell r="H51">
            <v>8273.4617258366816</v>
          </cell>
          <cell r="I51">
            <v>10412.440565290894</v>
          </cell>
          <cell r="J51">
            <v>10334.933863027187</v>
          </cell>
          <cell r="K51">
            <v>9856.2565650069664</v>
          </cell>
          <cell r="L51">
            <v>8194.0355682417594</v>
          </cell>
          <cell r="M51">
            <v>9617.3701667594141</v>
          </cell>
          <cell r="N51">
            <v>10292.662172198781</v>
          </cell>
          <cell r="O51">
            <v>10594.807733770376</v>
          </cell>
          <cell r="P51">
            <v>9293.0890965424624</v>
          </cell>
        </row>
        <row r="52">
          <cell r="E52">
            <v>59510.634595705029</v>
          </cell>
          <cell r="F52">
            <v>56324.520110096171</v>
          </cell>
          <cell r="G52">
            <v>57358.521558253393</v>
          </cell>
          <cell r="H52">
            <v>43358.307457594434</v>
          </cell>
          <cell r="I52">
            <v>54567.944395506944</v>
          </cell>
          <cell r="J52">
            <v>54161.758987495748</v>
          </cell>
          <cell r="K52">
            <v>51653.179368916273</v>
          </cell>
          <cell r="L52">
            <v>42942.062858260448</v>
          </cell>
          <cell r="M52">
            <v>50401.259647053143</v>
          </cell>
          <cell r="N52">
            <v>53940.227900699661</v>
          </cell>
          <cell r="O52">
            <v>55523.666682395837</v>
          </cell>
          <cell r="P52">
            <v>48701.81643802295</v>
          </cell>
        </row>
        <row r="55">
          <cell r="E55">
            <v>9299.8945100890614</v>
          </cell>
          <cell r="F55">
            <v>9490.3813998439782</v>
          </cell>
          <cell r="G55">
            <v>8969.4594467607076</v>
          </cell>
          <cell r="H55">
            <v>9127.9645427277192</v>
          </cell>
          <cell r="I55">
            <v>11117.747793097567</v>
          </cell>
          <cell r="J55">
            <v>9711.6505853186191</v>
          </cell>
          <cell r="K55">
            <v>10562.177689201206</v>
          </cell>
          <cell r="L55">
            <v>11456.971757632731</v>
          </cell>
          <cell r="M55">
            <v>9811.4571788389731</v>
          </cell>
          <cell r="N55">
            <v>10825.96821907405</v>
          </cell>
          <cell r="O55">
            <v>11367.587361020038</v>
          </cell>
          <cell r="P55">
            <v>8258.7395163953588</v>
          </cell>
        </row>
        <row r="56">
          <cell r="E56">
            <v>100</v>
          </cell>
          <cell r="F56">
            <v>100</v>
          </cell>
          <cell r="G56">
            <v>100</v>
          </cell>
          <cell r="H56">
            <v>100</v>
          </cell>
          <cell r="I56">
            <v>100</v>
          </cell>
          <cell r="J56">
            <v>100</v>
          </cell>
          <cell r="K56">
            <v>100</v>
          </cell>
          <cell r="L56">
            <v>100</v>
          </cell>
          <cell r="M56">
            <v>100</v>
          </cell>
          <cell r="N56">
            <v>100</v>
          </cell>
          <cell r="O56">
            <v>100</v>
          </cell>
          <cell r="P56">
            <v>100</v>
          </cell>
        </row>
        <row r="57">
          <cell r="E57">
            <v>8722.9488315485669</v>
          </cell>
          <cell r="F57">
            <v>7759.0659449638952</v>
          </cell>
          <cell r="G57">
            <v>5159.7213696646086</v>
          </cell>
          <cell r="H57">
            <v>4774.820479412364</v>
          </cell>
          <cell r="I57">
            <v>7750.8062323799395</v>
          </cell>
          <cell r="J57">
            <v>4451.8595760619792</v>
          </cell>
          <cell r="K57">
            <v>3551.1874197149614</v>
          </cell>
          <cell r="L57">
            <v>5472.1734030992802</v>
          </cell>
          <cell r="M57">
            <v>6598.2126717829642</v>
          </cell>
          <cell r="N57">
            <v>15072.981568134874</v>
          </cell>
          <cell r="O57">
            <v>19577.166397707981</v>
          </cell>
          <cell r="P57">
            <v>6092.1911055285873</v>
          </cell>
        </row>
        <row r="58">
          <cell r="E58">
            <v>44733.070931018294</v>
          </cell>
          <cell r="F58">
            <v>39790.081769045617</v>
          </cell>
          <cell r="G58">
            <v>26460.109588023632</v>
          </cell>
          <cell r="H58">
            <v>24486.258868781351</v>
          </cell>
          <cell r="I58">
            <v>39747.724268615071</v>
          </cell>
          <cell r="J58">
            <v>22830.049108010149</v>
          </cell>
          <cell r="K58">
            <v>18211.2175369998</v>
          </cell>
          <cell r="L58">
            <v>28062.427708201438</v>
          </cell>
          <cell r="M58">
            <v>33836.988060425458</v>
          </cell>
          <cell r="N58">
            <v>77297.34137505063</v>
          </cell>
          <cell r="O58">
            <v>100395.72511645118</v>
          </cell>
          <cell r="P58">
            <v>31242.005669377369</v>
          </cell>
        </row>
        <row r="60">
          <cell r="E60">
            <v>3935.6528941518782</v>
          </cell>
          <cell r="F60">
            <v>4141.76055158299</v>
          </cell>
          <cell r="G60">
            <v>4539.7880469252923</v>
          </cell>
          <cell r="H60">
            <v>6736.0229570983438</v>
          </cell>
          <cell r="I60">
            <v>6824.2827099136339</v>
          </cell>
          <cell r="J60">
            <v>5763.7970602192099</v>
          </cell>
          <cell r="K60">
            <v>5675.7641794674519</v>
          </cell>
          <cell r="L60">
            <v>5655.7750843325257</v>
          </cell>
          <cell r="M60">
            <v>4785.2680820646456</v>
          </cell>
          <cell r="N60">
            <v>7057.1065843052293</v>
          </cell>
          <cell r="O60">
            <v>9111.2348052598063</v>
          </cell>
          <cell r="P60">
            <v>4291.5024560885067</v>
          </cell>
        </row>
        <row r="61">
          <cell r="E61">
            <v>13115.788065400957</v>
          </cell>
          <cell r="F61">
            <v>13802.65360619588</v>
          </cell>
          <cell r="G61">
            <v>15129.102968859246</v>
          </cell>
          <cell r="H61">
            <v>22448.181251008446</v>
          </cell>
          <cell r="I61">
            <v>22742.311918463936</v>
          </cell>
          <cell r="J61">
            <v>19208.182918302584</v>
          </cell>
          <cell r="K61">
            <v>18914.808314957238</v>
          </cell>
          <cell r="L61">
            <v>18848.193513687947</v>
          </cell>
          <cell r="M61">
            <v>15947.179207228528</v>
          </cell>
          <cell r="N61">
            <v>23518.210778249882</v>
          </cell>
          <cell r="O61">
            <v>30363.710401764107</v>
          </cell>
          <cell r="P61">
            <v>14301.677055881244</v>
          </cell>
        </row>
        <row r="63">
          <cell r="E63">
            <v>0</v>
          </cell>
        </row>
        <row r="64">
          <cell r="E64">
            <v>0</v>
          </cell>
        </row>
        <row r="70">
          <cell r="E70">
            <v>309.1242508979725</v>
          </cell>
          <cell r="F70">
            <v>302.22260338597385</v>
          </cell>
          <cell r="G70">
            <v>395.91441996095165</v>
          </cell>
          <cell r="H70">
            <v>724.39540650343611</v>
          </cell>
          <cell r="I70">
            <v>646.98142975837663</v>
          </cell>
          <cell r="J70">
            <v>386.59597116892093</v>
          </cell>
          <cell r="K70">
            <v>369.57520889424842</v>
          </cell>
          <cell r="L70">
            <v>408.25355341348234</v>
          </cell>
          <cell r="M70">
            <v>301.96626227632748</v>
          </cell>
          <cell r="N70">
            <v>521.01827409100156</v>
          </cell>
          <cell r="O70">
            <v>975.37451453597555</v>
          </cell>
          <cell r="P70">
            <v>358.57810511333281</v>
          </cell>
        </row>
        <row r="73">
          <cell r="E73">
            <v>260.73056767022592</v>
          </cell>
          <cell r="F73">
            <v>262.03197676267513</v>
          </cell>
          <cell r="G73">
            <v>285.24048684205479</v>
          </cell>
          <cell r="H73">
            <v>264.50668118362398</v>
          </cell>
          <cell r="I73">
            <v>376.76791619169114</v>
          </cell>
          <cell r="J73">
            <v>354.43283158799522</v>
          </cell>
          <cell r="K73">
            <v>430.29789831374308</v>
          </cell>
          <cell r="L73">
            <v>450.56955189715893</v>
          </cell>
          <cell r="M73">
            <v>346.05881956587018</v>
          </cell>
          <cell r="N73">
            <v>331.69197366573701</v>
          </cell>
          <cell r="O73">
            <v>346.23706070096699</v>
          </cell>
          <cell r="P73">
            <v>296.43423561825756</v>
          </cell>
        </row>
        <row r="76">
          <cell r="E76">
            <v>200.69466402901355</v>
          </cell>
          <cell r="F76">
            <v>233.23105368099667</v>
          </cell>
          <cell r="G76">
            <v>222.73320905479713</v>
          </cell>
          <cell r="H76">
            <v>231.4420696166658</v>
          </cell>
          <cell r="I76">
            <v>281.57639574585056</v>
          </cell>
          <cell r="J76">
            <v>246.35764538800652</v>
          </cell>
          <cell r="K76">
            <v>240.42736984044527</v>
          </cell>
          <cell r="L76">
            <v>252.06007127051322</v>
          </cell>
          <cell r="M76">
            <v>248.43426877888152</v>
          </cell>
          <cell r="N76">
            <v>310.98866456111728</v>
          </cell>
          <cell r="O76">
            <v>257.81050531641455</v>
          </cell>
          <cell r="P76">
            <v>217.24408271729797</v>
          </cell>
        </row>
        <row r="79">
          <cell r="E79">
            <v>0</v>
          </cell>
          <cell r="F79">
            <v>0</v>
          </cell>
          <cell r="G79">
            <v>0</v>
          </cell>
          <cell r="H79">
            <v>0</v>
          </cell>
          <cell r="I79">
            <v>0</v>
          </cell>
          <cell r="J79">
            <v>0</v>
          </cell>
          <cell r="K79">
            <v>0</v>
          </cell>
          <cell r="L79">
            <v>0</v>
          </cell>
          <cell r="M79">
            <v>0</v>
          </cell>
          <cell r="N79">
            <v>0</v>
          </cell>
          <cell r="O79">
            <v>0</v>
          </cell>
          <cell r="P79">
            <v>0</v>
          </cell>
        </row>
        <row r="83">
          <cell r="E83">
            <v>0</v>
          </cell>
          <cell r="F83">
            <v>0</v>
          </cell>
          <cell r="G83">
            <v>0</v>
          </cell>
          <cell r="H83">
            <v>0</v>
          </cell>
          <cell r="I83">
            <v>0</v>
          </cell>
          <cell r="J83">
            <v>0</v>
          </cell>
          <cell r="K83">
            <v>0</v>
          </cell>
          <cell r="L83">
            <v>0</v>
          </cell>
          <cell r="M83">
            <v>0</v>
          </cell>
          <cell r="N83">
            <v>0</v>
          </cell>
          <cell r="O83">
            <v>0</v>
          </cell>
          <cell r="P83">
            <v>0</v>
          </cell>
        </row>
      </sheetData>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2pager"/>
      <sheetName val="Budget révisé"/>
      <sheetName val="Print_Mois"/>
      <sheetName val="Print_AAD"/>
      <sheetName val="BV_Data_An_Cour"/>
      <sheetName val="BV_Data_An_Prec"/>
      <sheetName val="Data_Validation"/>
    </sheetNames>
    <sheetDataSet>
      <sheetData sheetId="0"/>
      <sheetData sheetId="1"/>
      <sheetData sheetId="2"/>
      <sheetData sheetId="3"/>
      <sheetData sheetId="4">
        <row r="3">
          <cell r="C3"/>
          <cell r="D3"/>
          <cell r="E3"/>
          <cell r="F3" t="str">
            <v>X</v>
          </cell>
          <cell r="G3" t="str">
            <v>O</v>
          </cell>
          <cell r="H3" t="str">
            <v>U</v>
          </cell>
          <cell r="I3" t="str">
            <v>X</v>
          </cell>
          <cell r="J3" t="str">
            <v>O</v>
          </cell>
          <cell r="K3" t="str">
            <v>U</v>
          </cell>
          <cell r="L3" t="str">
            <v>X</v>
          </cell>
          <cell r="M3" t="str">
            <v>O</v>
          </cell>
          <cell r="N3" t="str">
            <v>U</v>
          </cell>
          <cell r="O3" t="str">
            <v/>
          </cell>
          <cell r="P3" t="str">
            <v/>
          </cell>
          <cell r="Q3" t="str">
            <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45857674.483054951</v>
          </cell>
          <cell r="F8"/>
          <cell r="G8"/>
          <cell r="H8">
            <v>2353133.2084280737</v>
          </cell>
          <cell r="I8"/>
          <cell r="J8"/>
          <cell r="K8">
            <v>2770144.4902407108</v>
          </cell>
          <cell r="L8"/>
          <cell r="M8"/>
          <cell r="N8">
            <v>4625658.5430406909</v>
          </cell>
          <cell r="O8"/>
          <cell r="P8"/>
          <cell r="Q8">
            <v>4034231.1327759749</v>
          </cell>
          <cell r="R8"/>
          <cell r="S8"/>
          <cell r="T8">
            <v>4379415.6593114845</v>
          </cell>
          <cell r="U8"/>
          <cell r="V8"/>
          <cell r="W8">
            <v>4401738.6219329443</v>
          </cell>
          <cell r="X8"/>
          <cell r="Y8"/>
          <cell r="Z8">
            <v>3454264.6416730788</v>
          </cell>
          <cell r="AA8"/>
          <cell r="AB8"/>
          <cell r="AC8">
            <v>3827443.2789444821</v>
          </cell>
          <cell r="AD8"/>
          <cell r="AE8"/>
          <cell r="AF8">
            <v>4054597.893516555</v>
          </cell>
          <cell r="AG8"/>
          <cell r="AH8"/>
          <cell r="AI8">
            <v>4393037.7907726178</v>
          </cell>
          <cell r="AJ8"/>
          <cell r="AK8"/>
          <cell r="AL8">
            <v>3913812.5903967749</v>
          </cell>
          <cell r="AM8"/>
          <cell r="AN8"/>
          <cell r="AO8">
            <v>3650196.6320215594</v>
          </cell>
        </row>
        <row r="9">
          <cell r="A9" t="str">
            <v>Véhicules neufsAutos détail</v>
          </cell>
          <cell r="C9">
            <v>17</v>
          </cell>
          <cell r="D9">
            <v>2694.4444444444443</v>
          </cell>
          <cell r="E9">
            <v>45805.555555555555</v>
          </cell>
          <cell r="F9">
            <v>0.97199999999999975</v>
          </cell>
          <cell r="G9">
            <v>2694.4444444444443</v>
          </cell>
          <cell r="H9">
            <v>2618.9999999999991</v>
          </cell>
          <cell r="I9">
            <v>1.1340000000000001</v>
          </cell>
          <cell r="J9">
            <v>2694.4444444444443</v>
          </cell>
          <cell r="K9">
            <v>3055.5</v>
          </cell>
          <cell r="L9">
            <v>2.1599999999999997</v>
          </cell>
          <cell r="M9">
            <v>2694.4444444444443</v>
          </cell>
          <cell r="N9">
            <v>5819.9999999999991</v>
          </cell>
          <cell r="O9">
            <v>2.0340000000000003</v>
          </cell>
          <cell r="P9">
            <v>2694.4444444444443</v>
          </cell>
          <cell r="Q9">
            <v>5480.5000000000009</v>
          </cell>
          <cell r="R9">
            <v>0.78200000000000003</v>
          </cell>
          <cell r="S9">
            <v>2694.4444444444443</v>
          </cell>
          <cell r="T9">
            <v>2107.0555555555557</v>
          </cell>
          <cell r="U9">
            <v>1.53</v>
          </cell>
          <cell r="V9">
            <v>2694.4444444444443</v>
          </cell>
          <cell r="W9">
            <v>4122.5</v>
          </cell>
          <cell r="X9">
            <v>1.26</v>
          </cell>
          <cell r="Y9">
            <v>2694.4444444444443</v>
          </cell>
          <cell r="Z9">
            <v>3395</v>
          </cell>
          <cell r="AA9">
            <v>1.4040000000000001</v>
          </cell>
          <cell r="AB9">
            <v>2694.4444444444443</v>
          </cell>
          <cell r="AC9">
            <v>3783</v>
          </cell>
          <cell r="AD9">
            <v>1.6560000000000001</v>
          </cell>
          <cell r="AE9">
            <v>2694.4444444444443</v>
          </cell>
          <cell r="AF9">
            <v>4462</v>
          </cell>
          <cell r="AG9">
            <v>1.4040000000000001</v>
          </cell>
          <cell r="AH9">
            <v>2694.4444444444443</v>
          </cell>
          <cell r="AI9">
            <v>3783</v>
          </cell>
          <cell r="AJ9">
            <v>1.26</v>
          </cell>
          <cell r="AK9">
            <v>2694.4444444444443</v>
          </cell>
          <cell r="AL9">
            <v>3395</v>
          </cell>
          <cell r="AM9">
            <v>1.4040000000000001</v>
          </cell>
          <cell r="AN9">
            <v>2694.4444444444443</v>
          </cell>
          <cell r="AO9">
            <v>3783</v>
          </cell>
        </row>
        <row r="10">
          <cell r="A10" t="str">
            <v>Véhicules neufsCamions détail</v>
          </cell>
          <cell r="C10">
            <v>332.01011408121514</v>
          </cell>
          <cell r="D10">
            <v>3451.2552621507839</v>
          </cell>
          <cell r="E10">
            <v>1145851.6533100759</v>
          </cell>
          <cell r="F10">
            <v>17.599364852809995</v>
          </cell>
          <cell r="G10">
            <v>3451.2552621507843</v>
          </cell>
          <cell r="H10">
            <v>60739.90055877206</v>
          </cell>
          <cell r="I10">
            <v>10.82741148825065</v>
          </cell>
          <cell r="J10">
            <v>3451.2552621507843</v>
          </cell>
          <cell r="K10">
            <v>37368.160874296911</v>
          </cell>
          <cell r="L10">
            <v>25.778840780911064</v>
          </cell>
          <cell r="M10">
            <v>3451.2552621507843</v>
          </cell>
          <cell r="N10">
            <v>88969.35989726655</v>
          </cell>
          <cell r="O10">
            <v>30.199023741194878</v>
          </cell>
          <cell r="P10">
            <v>3451.2552621507843</v>
          </cell>
          <cell r="Q10">
            <v>104224.53959861529</v>
          </cell>
          <cell r="R10">
            <v>34.613347292418773</v>
          </cell>
          <cell r="S10">
            <v>3451.2552621507843</v>
          </cell>
          <cell r="T10">
            <v>119459.49698361289</v>
          </cell>
          <cell r="U10">
            <v>34.009797988264879</v>
          </cell>
          <cell r="V10">
            <v>3451.2552621507843</v>
          </cell>
          <cell r="W10">
            <v>117376.49427168432</v>
          </cell>
          <cell r="X10">
            <v>26.445518439500155</v>
          </cell>
          <cell r="Y10">
            <v>3451.2552621507843</v>
          </cell>
          <cell r="Z10">
            <v>91270.234674630512</v>
          </cell>
          <cell r="AA10">
            <v>29.398716763005787</v>
          </cell>
          <cell r="AB10">
            <v>3451.2552621507843</v>
          </cell>
          <cell r="AC10">
            <v>101462.4759288042</v>
          </cell>
          <cell r="AD10">
            <v>31.029565375617359</v>
          </cell>
          <cell r="AE10">
            <v>3451.2552621507843</v>
          </cell>
          <cell r="AF10">
            <v>107090.95078485119</v>
          </cell>
          <cell r="AG10">
            <v>33.993387862796837</v>
          </cell>
          <cell r="AH10">
            <v>3451.2552621507843</v>
          </cell>
          <cell r="AI10">
            <v>117319.85873981018</v>
          </cell>
          <cell r="AJ10">
            <v>30.178817032153912</v>
          </cell>
          <cell r="AK10">
            <v>3451.2552621507843</v>
          </cell>
          <cell r="AL10">
            <v>104154.8010877069</v>
          </cell>
          <cell r="AM10">
            <v>27.936322464290861</v>
          </cell>
          <cell r="AN10">
            <v>3451.2552621507843</v>
          </cell>
          <cell r="AO10">
            <v>96415.379910025003</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349.01011408121514</v>
          </cell>
          <cell r="D16">
            <v>3414.3916201475213</v>
          </cell>
          <cell r="E16">
            <v>1191657.2088656314</v>
          </cell>
          <cell r="F16">
            <v>18.571364852809996</v>
          </cell>
          <cell r="G16">
            <v>3411.6448123728155</v>
          </cell>
          <cell r="H16">
            <v>63358.90055877206</v>
          </cell>
          <cell r="I16">
            <v>11.961411488250651</v>
          </cell>
          <cell r="J16">
            <v>3379.5059148332039</v>
          </cell>
          <cell r="K16">
            <v>40423.660874296911</v>
          </cell>
          <cell r="L16">
            <v>27.938840780911065</v>
          </cell>
          <cell r="M16">
            <v>3392.7449116654275</v>
          </cell>
          <cell r="N16">
            <v>94789.35989726655</v>
          </cell>
          <cell r="O16">
            <v>32.233023741194877</v>
          </cell>
          <cell r="P16">
            <v>3403.4982407936054</v>
          </cell>
          <cell r="Q16">
            <v>109705.03959861529</v>
          </cell>
          <cell r="R16">
            <v>35.395347292418776</v>
          </cell>
          <cell r="S16">
            <v>3434.5348142750508</v>
          </cell>
          <cell r="T16">
            <v>121566.55253916845</v>
          </cell>
          <cell r="U16">
            <v>35.53979798826488</v>
          </cell>
          <cell r="V16">
            <v>3418.6743073723401</v>
          </cell>
          <cell r="W16">
            <v>121498.99427168432</v>
          </cell>
          <cell r="X16">
            <v>27.705518439500157</v>
          </cell>
          <cell r="Y16">
            <v>3416.8367894413745</v>
          </cell>
          <cell r="Z16">
            <v>94665.234674630512</v>
          </cell>
          <cell r="AA16">
            <v>30.802716763005787</v>
          </cell>
          <cell r="AB16">
            <v>3416.7595260689645</v>
          </cell>
          <cell r="AC16">
            <v>105245.4759288042</v>
          </cell>
          <cell r="AD16">
            <v>32.685565375617358</v>
          </cell>
          <cell r="AE16">
            <v>3412.9117701622195</v>
          </cell>
          <cell r="AF16">
            <v>111552.95078485119</v>
          </cell>
          <cell r="AG16">
            <v>35.39738786279684</v>
          </cell>
          <cell r="AH16">
            <v>3421.2371604711266</v>
          </cell>
          <cell r="AI16">
            <v>121102.85873981018</v>
          </cell>
          <cell r="AJ16">
            <v>31.438817032153914</v>
          </cell>
          <cell r="AK16">
            <v>3420.9239163709885</v>
          </cell>
          <cell r="AL16">
            <v>107549.8010877069</v>
          </cell>
          <cell r="AM16">
            <v>29.34032246429086</v>
          </cell>
          <cell r="AN16">
            <v>3415.040173194182</v>
          </cell>
          <cell r="AO16">
            <v>100198.379910025</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110.9920378509583</v>
          </cell>
          <cell r="D18">
            <v>1500</v>
          </cell>
          <cell r="E18">
            <v>166488.05677643744</v>
          </cell>
          <cell r="F18">
            <v>5.6622872435325595</v>
          </cell>
          <cell r="G18">
            <v>1499.9999999999998</v>
          </cell>
          <cell r="H18">
            <v>8493.4308652988384</v>
          </cell>
          <cell r="I18">
            <v>7.2493143603133179</v>
          </cell>
          <cell r="J18">
            <v>1500</v>
          </cell>
          <cell r="K18">
            <v>10873.971540469976</v>
          </cell>
          <cell r="L18">
            <v>11.085167895878525</v>
          </cell>
          <cell r="M18">
            <v>1499.9999999999998</v>
          </cell>
          <cell r="N18">
            <v>16627.751843817787</v>
          </cell>
          <cell r="O18">
            <v>9.9372366292721104</v>
          </cell>
          <cell r="P18">
            <v>1500</v>
          </cell>
          <cell r="Q18">
            <v>14905.854943908165</v>
          </cell>
          <cell r="R18">
            <v>10.489620216606498</v>
          </cell>
          <cell r="S18">
            <v>1500</v>
          </cell>
          <cell r="T18">
            <v>15734.430324909748</v>
          </cell>
          <cell r="U18">
            <v>10.569563285834032</v>
          </cell>
          <cell r="V18">
            <v>1500</v>
          </cell>
          <cell r="W18">
            <v>15854.344928751048</v>
          </cell>
          <cell r="X18">
            <v>8.2868046327339222</v>
          </cell>
          <cell r="Y18">
            <v>1500</v>
          </cell>
          <cell r="Z18">
            <v>12430.206949100882</v>
          </cell>
          <cell r="AA18">
            <v>9.1738612716762997</v>
          </cell>
          <cell r="AB18">
            <v>1500</v>
          </cell>
          <cell r="AC18">
            <v>13760.791907514449</v>
          </cell>
          <cell r="AD18">
            <v>9.7132357681310104</v>
          </cell>
          <cell r="AE18">
            <v>1500</v>
          </cell>
          <cell r="AF18">
            <v>14569.853652196516</v>
          </cell>
          <cell r="AG18">
            <v>10.620269129287598</v>
          </cell>
          <cell r="AH18">
            <v>1500</v>
          </cell>
          <cell r="AI18">
            <v>15930.403693931397</v>
          </cell>
          <cell r="AJ18">
            <v>9.4619099959639446</v>
          </cell>
          <cell r="AK18">
            <v>1500</v>
          </cell>
          <cell r="AL18">
            <v>14192.864993945917</v>
          </cell>
          <cell r="AM18">
            <v>8.7427674217284679</v>
          </cell>
          <cell r="AN18">
            <v>1500</v>
          </cell>
          <cell r="AO18">
            <v>13114.151132592702</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67.997848067826553</v>
          </cell>
          <cell r="D20">
            <v>506</v>
          </cell>
          <cell r="E20">
            <v>34406.911122320234</v>
          </cell>
          <cell r="F20">
            <v>2.6703479036574485</v>
          </cell>
          <cell r="G20">
            <v>506</v>
          </cell>
          <cell r="H20">
            <v>1351.1960392506689</v>
          </cell>
          <cell r="I20">
            <v>15.259274151436031</v>
          </cell>
          <cell r="J20">
            <v>506</v>
          </cell>
          <cell r="K20">
            <v>7721.1927206266319</v>
          </cell>
          <cell r="L20">
            <v>16.295991323210412</v>
          </cell>
          <cell r="M20">
            <v>506</v>
          </cell>
          <cell r="N20">
            <v>8245.7716095444684</v>
          </cell>
          <cell r="O20">
            <v>3.8257396295330031</v>
          </cell>
          <cell r="P20">
            <v>506</v>
          </cell>
          <cell r="Q20">
            <v>1935.8242525436995</v>
          </cell>
          <cell r="R20">
            <v>3.975032490974729</v>
          </cell>
          <cell r="S20">
            <v>506</v>
          </cell>
          <cell r="T20">
            <v>2011.3664404332128</v>
          </cell>
          <cell r="U20">
            <v>3.9966387259010903</v>
          </cell>
          <cell r="V20">
            <v>506</v>
          </cell>
          <cell r="W20">
            <v>2022.2991953059516</v>
          </cell>
          <cell r="X20">
            <v>3.3796769277659244</v>
          </cell>
          <cell r="Y20">
            <v>506</v>
          </cell>
          <cell r="Z20">
            <v>1710.1165254495577</v>
          </cell>
          <cell r="AA20">
            <v>3.6194219653179189</v>
          </cell>
          <cell r="AB20">
            <v>506</v>
          </cell>
          <cell r="AC20">
            <v>1831.427514450867</v>
          </cell>
          <cell r="AD20">
            <v>3.7651988562516241</v>
          </cell>
          <cell r="AE20">
            <v>506</v>
          </cell>
          <cell r="AF20">
            <v>1905.1906212633219</v>
          </cell>
          <cell r="AG20">
            <v>4.0103430079155666</v>
          </cell>
          <cell r="AH20">
            <v>506</v>
          </cell>
          <cell r="AI20">
            <v>2029.2335620052768</v>
          </cell>
          <cell r="AJ20">
            <v>3.6972729718821471</v>
          </cell>
          <cell r="AK20">
            <v>506</v>
          </cell>
          <cell r="AL20">
            <v>1870.8201237723665</v>
          </cell>
          <cell r="AM20">
            <v>3.5029101139806667</v>
          </cell>
          <cell r="AN20">
            <v>505.99999999999994</v>
          </cell>
          <cell r="AO20">
            <v>1772.4725176742172</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49996.413446377614</v>
          </cell>
          <cell r="F22"/>
          <cell r="G22"/>
          <cell r="H22">
            <v>2550.5798394290805</v>
          </cell>
          <cell r="I22"/>
          <cell r="J22"/>
          <cell r="K22">
            <v>3265.4569190600532</v>
          </cell>
          <cell r="L22"/>
          <cell r="M22"/>
          <cell r="N22">
            <v>4993.3188720173539</v>
          </cell>
          <cell r="O22"/>
          <cell r="P22"/>
          <cell r="Q22">
            <v>4476.2327158883381</v>
          </cell>
          <cell r="R22"/>
          <cell r="S22"/>
          <cell r="T22">
            <v>4725.0541516245494</v>
          </cell>
          <cell r="U22"/>
          <cell r="V22"/>
          <cell r="W22">
            <v>4761.0645431684834</v>
          </cell>
          <cell r="X22"/>
          <cell r="Y22"/>
          <cell r="Z22">
            <v>3732.7948796098749</v>
          </cell>
          <cell r="AA22"/>
          <cell r="AB22"/>
          <cell r="AC22">
            <v>4132.3699421965312</v>
          </cell>
          <cell r="AD22"/>
          <cell r="AE22"/>
          <cell r="AF22">
            <v>4375.3314270860401</v>
          </cell>
          <cell r="AG22"/>
          <cell r="AH22"/>
          <cell r="AI22">
            <v>4783.9050131926124</v>
          </cell>
          <cell r="AJ22"/>
          <cell r="AK22"/>
          <cell r="AL22">
            <v>4262.1216198035781</v>
          </cell>
          <cell r="AM22"/>
          <cell r="AN22"/>
          <cell r="AO22">
            <v>3938.1835233011116</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0</v>
          </cell>
          <cell r="E24">
            <v>0</v>
          </cell>
          <cell r="F24"/>
          <cell r="G24">
            <v>0</v>
          </cell>
          <cell r="H24">
            <v>0</v>
          </cell>
          <cell r="I24"/>
          <cell r="J24">
            <v>0</v>
          </cell>
          <cell r="K24">
            <v>0</v>
          </cell>
          <cell r="L24"/>
          <cell r="M24">
            <v>0</v>
          </cell>
          <cell r="N24">
            <v>0</v>
          </cell>
          <cell r="O24"/>
          <cell r="P24">
            <v>0</v>
          </cell>
          <cell r="Q24">
            <v>0</v>
          </cell>
          <cell r="R24"/>
          <cell r="S24">
            <v>0</v>
          </cell>
          <cell r="T24">
            <v>0</v>
          </cell>
          <cell r="U24"/>
          <cell r="V24">
            <v>0</v>
          </cell>
          <cell r="W24">
            <v>0</v>
          </cell>
          <cell r="X24"/>
          <cell r="Y24">
            <v>0</v>
          </cell>
          <cell r="Z24">
            <v>0</v>
          </cell>
          <cell r="AA24"/>
          <cell r="AB24">
            <v>0</v>
          </cell>
          <cell r="AC24">
            <v>0</v>
          </cell>
          <cell r="AD24"/>
          <cell r="AE24">
            <v>0</v>
          </cell>
          <cell r="AF24">
            <v>0</v>
          </cell>
          <cell r="AG24"/>
          <cell r="AH24">
            <v>0</v>
          </cell>
          <cell r="AI24">
            <v>0</v>
          </cell>
          <cell r="AJ24"/>
          <cell r="AK24">
            <v>0</v>
          </cell>
          <cell r="AL24">
            <v>0</v>
          </cell>
          <cell r="AM24"/>
          <cell r="AN24">
            <v>0</v>
          </cell>
          <cell r="AO24">
            <v>0</v>
          </cell>
        </row>
        <row r="25">
          <cell r="A25" t="str">
            <v>Véhicules neufsRev. Protections</v>
          </cell>
          <cell r="C25"/>
          <cell r="D25">
            <v>892.50000000000011</v>
          </cell>
          <cell r="E25">
            <v>410551.92059946485</v>
          </cell>
          <cell r="F25"/>
          <cell r="G25">
            <v>892.5</v>
          </cell>
          <cell r="H25">
            <v>21628.534495985732</v>
          </cell>
          <cell r="I25"/>
          <cell r="J25">
            <v>892.50000000000011</v>
          </cell>
          <cell r="K25">
            <v>17145.572819843343</v>
          </cell>
          <cell r="L25"/>
          <cell r="M25">
            <v>892.50000000000011</v>
          </cell>
          <cell r="N25">
            <v>34828.927744034714</v>
          </cell>
          <cell r="O25"/>
          <cell r="P25">
            <v>892.5</v>
          </cell>
          <cell r="Q25">
            <v>37636.95738064179</v>
          </cell>
          <cell r="R25"/>
          <cell r="S25">
            <v>892.5</v>
          </cell>
          <cell r="T25">
            <v>40952.333501805057</v>
          </cell>
          <cell r="U25"/>
          <cell r="V25">
            <v>892.5</v>
          </cell>
          <cell r="W25">
            <v>41152.604937133285</v>
          </cell>
          <cell r="X25"/>
          <cell r="Y25">
            <v>892.5</v>
          </cell>
          <cell r="Z25">
            <v>32123.148341968914</v>
          </cell>
          <cell r="AA25"/>
          <cell r="AB25">
            <v>892.5</v>
          </cell>
          <cell r="AC25">
            <v>35679.09589595376</v>
          </cell>
          <cell r="AD25"/>
          <cell r="AE25">
            <v>892.5</v>
          </cell>
          <cell r="AF25">
            <v>37840.930020795422</v>
          </cell>
          <cell r="AG25"/>
          <cell r="AH25">
            <v>892.5</v>
          </cell>
          <cell r="AI25">
            <v>41070.75886543536</v>
          </cell>
          <cell r="AJ25"/>
          <cell r="AK25">
            <v>892.5</v>
          </cell>
          <cell r="AL25">
            <v>36503.898872595186</v>
          </cell>
          <cell r="AM25"/>
          <cell r="AN25">
            <v>892.50000000000011</v>
          </cell>
          <cell r="AO25">
            <v>33989.157723272256</v>
          </cell>
        </row>
        <row r="26">
          <cell r="A26" t="str">
            <v>Véhicules neufsRev. Autres</v>
          </cell>
          <cell r="C26"/>
          <cell r="D26">
            <v>157.50000000000003</v>
          </cell>
          <cell r="E26">
            <v>72450.338929317324</v>
          </cell>
          <cell r="F26"/>
          <cell r="G26">
            <v>157.5</v>
          </cell>
          <cell r="H26">
            <v>3816.8002051739527</v>
          </cell>
          <cell r="I26"/>
          <cell r="J26">
            <v>157.5</v>
          </cell>
          <cell r="K26">
            <v>3025.689321148825</v>
          </cell>
          <cell r="L26"/>
          <cell r="M26">
            <v>157.5</v>
          </cell>
          <cell r="N26">
            <v>6146.2813665943604</v>
          </cell>
          <cell r="O26"/>
          <cell r="P26">
            <v>157.5</v>
          </cell>
          <cell r="Q26">
            <v>6641.8160083485509</v>
          </cell>
          <cell r="R26"/>
          <cell r="S26">
            <v>157.5</v>
          </cell>
          <cell r="T26">
            <v>7226.8823826714806</v>
          </cell>
          <cell r="U26"/>
          <cell r="V26">
            <v>157.5</v>
          </cell>
          <cell r="W26">
            <v>7262.2244006705796</v>
          </cell>
          <cell r="X26"/>
          <cell r="Y26">
            <v>157.5</v>
          </cell>
          <cell r="Z26">
            <v>5668.7908838768672</v>
          </cell>
          <cell r="AA26"/>
          <cell r="AB26">
            <v>157.5</v>
          </cell>
          <cell r="AC26">
            <v>6296.3110404624285</v>
          </cell>
          <cell r="AD26"/>
          <cell r="AE26">
            <v>157.5</v>
          </cell>
          <cell r="AF26">
            <v>6677.8111801403684</v>
          </cell>
          <cell r="AG26"/>
          <cell r="AH26">
            <v>157.5</v>
          </cell>
          <cell r="AI26">
            <v>7247.7809762532997</v>
          </cell>
          <cell r="AJ26"/>
          <cell r="AK26">
            <v>157.5</v>
          </cell>
          <cell r="AL26">
            <v>6441.8645069285622</v>
          </cell>
          <cell r="AM26"/>
          <cell r="AN26">
            <v>157.5</v>
          </cell>
          <cell r="AO26">
            <v>5998.0866570480448</v>
          </cell>
        </row>
        <row r="27">
          <cell r="A27" t="str">
            <v>Véhicules neufsTotal F&amp;I</v>
          </cell>
          <cell r="C27">
            <v>460.00215193217343</v>
          </cell>
          <cell r="D27">
            <v>1050.0000000000002</v>
          </cell>
          <cell r="E27">
            <v>483002.25952878216</v>
          </cell>
          <cell r="F27">
            <v>24.233652096342556</v>
          </cell>
          <cell r="G27">
            <v>1050</v>
          </cell>
          <cell r="H27">
            <v>25445.334701159685</v>
          </cell>
          <cell r="I27">
            <v>19.210725848563968</v>
          </cell>
          <cell r="J27">
            <v>1050</v>
          </cell>
          <cell r="K27">
            <v>20171.262140992167</v>
          </cell>
          <cell r="L27">
            <v>39.024008676789592</v>
          </cell>
          <cell r="M27">
            <v>1050</v>
          </cell>
          <cell r="N27">
            <v>40975.209110629075</v>
          </cell>
          <cell r="O27">
            <v>42.170260370466991</v>
          </cell>
          <cell r="P27">
            <v>1050</v>
          </cell>
          <cell r="Q27">
            <v>44278.773388990339</v>
          </cell>
          <cell r="R27">
            <v>45.884967509025273</v>
          </cell>
          <cell r="S27">
            <v>1050</v>
          </cell>
          <cell r="T27">
            <v>48179.215884476536</v>
          </cell>
          <cell r="U27">
            <v>46.109361274098916</v>
          </cell>
          <cell r="V27">
            <v>1050</v>
          </cell>
          <cell r="W27">
            <v>48414.829337803865</v>
          </cell>
          <cell r="X27">
            <v>35.992323072234079</v>
          </cell>
          <cell r="Y27">
            <v>1050</v>
          </cell>
          <cell r="Z27">
            <v>37791.939225845781</v>
          </cell>
          <cell r="AA27">
            <v>39.976578034682085</v>
          </cell>
          <cell r="AB27">
            <v>1050</v>
          </cell>
          <cell r="AC27">
            <v>41975.406936416191</v>
          </cell>
          <cell r="AD27">
            <v>42.398801143748372</v>
          </cell>
          <cell r="AE27">
            <v>1050</v>
          </cell>
          <cell r="AF27">
            <v>44518.741200935794</v>
          </cell>
          <cell r="AG27">
            <v>46.01765699208444</v>
          </cell>
          <cell r="AH27">
            <v>1050</v>
          </cell>
          <cell r="AI27">
            <v>48318.53984168866</v>
          </cell>
          <cell r="AJ27">
            <v>40.900727028117856</v>
          </cell>
          <cell r="AK27">
            <v>1050</v>
          </cell>
          <cell r="AL27">
            <v>42945.763379523749</v>
          </cell>
          <cell r="AM27">
            <v>38.08308988601933</v>
          </cell>
          <cell r="AN27">
            <v>1050</v>
          </cell>
          <cell r="AO27">
            <v>39987.244380320299</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528</v>
          </cell>
          <cell r="D30">
            <v>3646.8766093552058</v>
          </cell>
          <cell r="E30">
            <v>1925550.8497395488</v>
          </cell>
          <cell r="F30">
            <v>26.904000000000003</v>
          </cell>
          <cell r="G30">
            <v>3761.501709928275</v>
          </cell>
          <cell r="H30">
            <v>101199.44200391033</v>
          </cell>
          <cell r="I30">
            <v>34.47</v>
          </cell>
          <cell r="J30">
            <v>2392.0958571350666</v>
          </cell>
          <cell r="K30">
            <v>82455.544195445749</v>
          </cell>
          <cell r="L30">
            <v>55.320000000000007</v>
          </cell>
          <cell r="M30">
            <v>2994.0602193289083</v>
          </cell>
          <cell r="N30">
            <v>165631.41133327523</v>
          </cell>
          <cell r="O30">
            <v>45.995999999999995</v>
          </cell>
          <cell r="P30">
            <v>3811.2384750836122</v>
          </cell>
          <cell r="Q30">
            <v>175301.72489994581</v>
          </cell>
          <cell r="R30">
            <v>49.86</v>
          </cell>
          <cell r="S30">
            <v>3855.1267416889791</v>
          </cell>
          <cell r="T30">
            <v>192216.61934061249</v>
          </cell>
          <cell r="U30">
            <v>50.106000000000009</v>
          </cell>
          <cell r="V30">
            <v>3842.8837320223856</v>
          </cell>
          <cell r="W30">
            <v>192551.5322767137</v>
          </cell>
          <cell r="X30">
            <v>39.372</v>
          </cell>
          <cell r="Y30">
            <v>3818.2030949567361</v>
          </cell>
          <cell r="Z30">
            <v>150330.29225463662</v>
          </cell>
          <cell r="AA30">
            <v>43.596000000000004</v>
          </cell>
          <cell r="AB30">
            <v>3829.3759113079691</v>
          </cell>
          <cell r="AC30">
            <v>166945.47222938223</v>
          </cell>
          <cell r="AD30">
            <v>46.163999999999994</v>
          </cell>
          <cell r="AE30">
            <v>3832.4683235060411</v>
          </cell>
          <cell r="AF30">
            <v>176922.06768633286</v>
          </cell>
          <cell r="AG30">
            <v>50.028000000000006</v>
          </cell>
          <cell r="AH30">
            <v>3841.1477742589773</v>
          </cell>
          <cell r="AI30">
            <v>192164.94085062813</v>
          </cell>
          <cell r="AJ30">
            <v>44.598000000000006</v>
          </cell>
          <cell r="AK30">
            <v>3830.247347521245</v>
          </cell>
          <cell r="AL30">
            <v>170821.3712047525</v>
          </cell>
          <cell r="AM30">
            <v>41.585999999999999</v>
          </cell>
          <cell r="AN30">
            <v>3823.6529472397769</v>
          </cell>
          <cell r="AO30">
            <v>159010.43146391335</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0.34046689066881919</v>
          </cell>
          <cell r="D34">
            <v>1005.2202880518552</v>
          </cell>
          <cell r="E34">
            <v>462403.49566973263</v>
          </cell>
          <cell r="F34"/>
          <cell r="G34">
            <v>1135.6760397443363</v>
          </cell>
          <cell r="H34">
            <v>27521.578041316348</v>
          </cell>
          <cell r="I34"/>
          <cell r="J34">
            <v>1155.238493168757</v>
          </cell>
          <cell r="K34">
            <v>22192.969981973129</v>
          </cell>
          <cell r="L34"/>
          <cell r="M34">
            <v>993.25426440929732</v>
          </cell>
          <cell r="N34">
            <v>38760.763032566683</v>
          </cell>
          <cell r="O34"/>
          <cell r="P34">
            <v>976.81711419767873</v>
          </cell>
          <cell r="Q34">
            <v>41192.6320400443</v>
          </cell>
          <cell r="R34"/>
          <cell r="S34">
            <v>976.26770788234546</v>
          </cell>
          <cell r="T34">
            <v>44796.012056291998</v>
          </cell>
          <cell r="U34"/>
          <cell r="V34">
            <v>971.99576181166981</v>
          </cell>
          <cell r="W34">
            <v>44818.10373826728</v>
          </cell>
          <cell r="X34"/>
          <cell r="Y34">
            <v>1027.9014737101606</v>
          </cell>
          <cell r="Z34">
            <v>36996.561928201627</v>
          </cell>
          <cell r="AA34"/>
          <cell r="AB34">
            <v>1002.4410346535506</v>
          </cell>
          <cell r="AC34">
            <v>40074.162246995111</v>
          </cell>
          <cell r="AD34"/>
          <cell r="AE34">
            <v>988.56655466023471</v>
          </cell>
          <cell r="AF34">
            <v>41914.036768399747</v>
          </cell>
          <cell r="AG34"/>
          <cell r="AH34">
            <v>964.30685497108072</v>
          </cell>
          <cell r="AI34">
            <v>44375.142087174907</v>
          </cell>
          <cell r="AJ34"/>
          <cell r="AK34">
            <v>997.30989377494916</v>
          </cell>
          <cell r="AL34">
            <v>40790.699727730411</v>
          </cell>
          <cell r="AM34"/>
          <cell r="AN34">
            <v>1023.3107171032759</v>
          </cell>
          <cell r="AO34">
            <v>38970.834020770955</v>
          </cell>
        </row>
        <row r="35">
          <cell r="A35" t="str">
            <v>Véhicules neufsComm. F&amp;I</v>
          </cell>
          <cell r="C35">
            <v>0.25</v>
          </cell>
          <cell r="D35">
            <v>262.50000000000006</v>
          </cell>
          <cell r="E35">
            <v>120750.56488219554</v>
          </cell>
          <cell r="F35"/>
          <cell r="G35">
            <v>262.5</v>
          </cell>
          <cell r="H35">
            <v>6361.3336752899213</v>
          </cell>
          <cell r="I35"/>
          <cell r="J35">
            <v>262.5</v>
          </cell>
          <cell r="K35">
            <v>5042.8155352480417</v>
          </cell>
          <cell r="L35"/>
          <cell r="M35">
            <v>262.5</v>
          </cell>
          <cell r="N35">
            <v>10243.802277657269</v>
          </cell>
          <cell r="O35"/>
          <cell r="P35">
            <v>262.5</v>
          </cell>
          <cell r="Q35">
            <v>11069.693347247585</v>
          </cell>
          <cell r="R35"/>
          <cell r="S35">
            <v>262.5</v>
          </cell>
          <cell r="T35">
            <v>12044.803971119134</v>
          </cell>
          <cell r="U35"/>
          <cell r="V35">
            <v>262.5</v>
          </cell>
          <cell r="W35">
            <v>12103.707334450966</v>
          </cell>
          <cell r="X35"/>
          <cell r="Y35">
            <v>262.5</v>
          </cell>
          <cell r="Z35">
            <v>9447.9848064614453</v>
          </cell>
          <cell r="AA35"/>
          <cell r="AB35">
            <v>262.5</v>
          </cell>
          <cell r="AC35">
            <v>10493.851734104048</v>
          </cell>
          <cell r="AD35"/>
          <cell r="AE35">
            <v>262.5</v>
          </cell>
          <cell r="AF35">
            <v>11129.685300233949</v>
          </cell>
          <cell r="AG35"/>
          <cell r="AH35">
            <v>262.5</v>
          </cell>
          <cell r="AI35">
            <v>12079.634960422165</v>
          </cell>
          <cell r="AJ35"/>
          <cell r="AK35">
            <v>262.5</v>
          </cell>
          <cell r="AL35">
            <v>10736.440844880937</v>
          </cell>
          <cell r="AM35"/>
          <cell r="AN35">
            <v>262.5</v>
          </cell>
          <cell r="AO35">
            <v>9996.8110950800747</v>
          </cell>
        </row>
        <row r="36">
          <cell r="A36" t="str">
            <v>Véhicules neufsFrais de livraison</v>
          </cell>
          <cell r="C36"/>
          <cell r="D36">
            <v>140.00000000000003</v>
          </cell>
          <cell r="E36">
            <v>64400.301270504293</v>
          </cell>
          <cell r="F36"/>
          <cell r="G36">
            <v>140</v>
          </cell>
          <cell r="H36">
            <v>3392.7112934879578</v>
          </cell>
          <cell r="I36"/>
          <cell r="J36">
            <v>140</v>
          </cell>
          <cell r="K36">
            <v>2689.5016187989554</v>
          </cell>
          <cell r="L36"/>
          <cell r="M36">
            <v>140</v>
          </cell>
          <cell r="N36">
            <v>5463.3612147505428</v>
          </cell>
          <cell r="O36"/>
          <cell r="P36">
            <v>140</v>
          </cell>
          <cell r="Q36">
            <v>5903.8364518653789</v>
          </cell>
          <cell r="R36"/>
          <cell r="S36">
            <v>140</v>
          </cell>
          <cell r="T36">
            <v>6423.8954512635382</v>
          </cell>
          <cell r="U36"/>
          <cell r="V36">
            <v>140</v>
          </cell>
          <cell r="W36">
            <v>6455.3105783738483</v>
          </cell>
          <cell r="X36"/>
          <cell r="Y36">
            <v>140</v>
          </cell>
          <cell r="Z36">
            <v>5038.9252301127708</v>
          </cell>
          <cell r="AA36"/>
          <cell r="AB36">
            <v>140</v>
          </cell>
          <cell r="AC36">
            <v>5596.7209248554918</v>
          </cell>
          <cell r="AD36"/>
          <cell r="AE36">
            <v>140</v>
          </cell>
          <cell r="AF36">
            <v>5935.8321601247717</v>
          </cell>
          <cell r="AG36"/>
          <cell r="AH36">
            <v>140</v>
          </cell>
          <cell r="AI36">
            <v>6442.4719788918219</v>
          </cell>
          <cell r="AJ36"/>
          <cell r="AK36">
            <v>140</v>
          </cell>
          <cell r="AL36">
            <v>5726.1017839364995</v>
          </cell>
          <cell r="AM36"/>
          <cell r="AN36">
            <v>140</v>
          </cell>
          <cell r="AO36">
            <v>5331.6325840427062</v>
          </cell>
        </row>
        <row r="37">
          <cell r="A37" t="str">
            <v>Véhicules neufsService gratuit 1</v>
          </cell>
          <cell r="C37"/>
          <cell r="D37">
            <v>60.000000000000007</v>
          </cell>
          <cell r="E37">
            <v>27600.129115930409</v>
          </cell>
          <cell r="F37"/>
          <cell r="G37">
            <v>60</v>
          </cell>
          <cell r="H37">
            <v>1454.0191257805534</v>
          </cell>
          <cell r="I37"/>
          <cell r="J37">
            <v>60</v>
          </cell>
          <cell r="K37">
            <v>1152.643550913838</v>
          </cell>
          <cell r="L37"/>
          <cell r="M37">
            <v>60.000000000000007</v>
          </cell>
          <cell r="N37">
            <v>2341.4405206073757</v>
          </cell>
          <cell r="O37"/>
          <cell r="P37">
            <v>60</v>
          </cell>
          <cell r="Q37">
            <v>2530.2156222280196</v>
          </cell>
          <cell r="R37"/>
          <cell r="S37">
            <v>60</v>
          </cell>
          <cell r="T37">
            <v>2753.0980505415164</v>
          </cell>
          <cell r="U37"/>
          <cell r="V37">
            <v>60</v>
          </cell>
          <cell r="W37">
            <v>2766.5616764459351</v>
          </cell>
          <cell r="X37"/>
          <cell r="Y37">
            <v>60</v>
          </cell>
          <cell r="Z37">
            <v>2159.5393843340448</v>
          </cell>
          <cell r="AA37"/>
          <cell r="AB37">
            <v>59.999999999999993</v>
          </cell>
          <cell r="AC37">
            <v>2398.5946820809249</v>
          </cell>
          <cell r="AD37"/>
          <cell r="AE37">
            <v>59.999999999999993</v>
          </cell>
          <cell r="AF37">
            <v>2543.9280686249022</v>
          </cell>
          <cell r="AG37"/>
          <cell r="AH37">
            <v>60</v>
          </cell>
          <cell r="AI37">
            <v>2761.0594195250665</v>
          </cell>
          <cell r="AJ37"/>
          <cell r="AK37">
            <v>59.999999999999993</v>
          </cell>
          <cell r="AL37">
            <v>2454.0436216870712</v>
          </cell>
          <cell r="AM37"/>
          <cell r="AN37">
            <v>59.999999999999993</v>
          </cell>
          <cell r="AO37">
            <v>2284.9853931611597</v>
          </cell>
        </row>
        <row r="38">
          <cell r="A38" t="str">
            <v>Véhicules neufsEntretien stock</v>
          </cell>
          <cell r="C38"/>
          <cell r="D38">
            <v>207.82605034537056</v>
          </cell>
          <cell r="E38">
            <v>95600.430386434673</v>
          </cell>
          <cell r="F38"/>
          <cell r="G38">
            <v>212.37947952736673</v>
          </cell>
          <cell r="H38">
            <v>5146.7304192685115</v>
          </cell>
          <cell r="I38"/>
          <cell r="J38">
            <v>215.6162761555637</v>
          </cell>
          <cell r="K38">
            <v>4142.1451697127941</v>
          </cell>
          <cell r="L38"/>
          <cell r="M38">
            <v>207.68757516647517</v>
          </cell>
          <cell r="N38">
            <v>8104.801735357918</v>
          </cell>
          <cell r="O38"/>
          <cell r="P38">
            <v>207.11401820535352</v>
          </cell>
          <cell r="Q38">
            <v>8734.0520740933989</v>
          </cell>
          <cell r="R38"/>
          <cell r="S38">
            <v>206.5380889708812</v>
          </cell>
          <cell r="T38">
            <v>9476.9935018050546</v>
          </cell>
          <cell r="U38"/>
          <cell r="V38">
            <v>206.5062709981307</v>
          </cell>
          <cell r="W38">
            <v>9521.8722548197838</v>
          </cell>
          <cell r="X38"/>
          <cell r="Y38">
            <v>208.33511077898254</v>
          </cell>
          <cell r="Z38">
            <v>7498.4646144468161</v>
          </cell>
          <cell r="AA38"/>
          <cell r="AB38">
            <v>207.50439419151212</v>
          </cell>
          <cell r="AC38">
            <v>8295.3156069364159</v>
          </cell>
          <cell r="AD38"/>
          <cell r="AE38">
            <v>207.07567176210674</v>
          </cell>
          <cell r="AF38">
            <v>8779.7602287496738</v>
          </cell>
          <cell r="AG38"/>
          <cell r="AH38">
            <v>206.51923673670746</v>
          </cell>
          <cell r="AI38">
            <v>9503.5313984168879</v>
          </cell>
          <cell r="AJ38"/>
          <cell r="AK38">
            <v>207.33483294303693</v>
          </cell>
          <cell r="AL38">
            <v>8480.1454056235707</v>
          </cell>
          <cell r="AM38"/>
          <cell r="AN38">
            <v>207.87751206369768</v>
          </cell>
          <cell r="AO38">
            <v>7916.6179772038658</v>
          </cell>
        </row>
        <row r="39">
          <cell r="A39" t="str">
            <v>Véhicules neufsPublicité 1</v>
          </cell>
          <cell r="C39"/>
          <cell r="D39">
            <v>368.24780948363838</v>
          </cell>
          <cell r="E39">
            <v>169394.78480678267</v>
          </cell>
          <cell r="F39"/>
          <cell r="G39">
            <v>368.24780948363843</v>
          </cell>
          <cell r="H39">
            <v>8923.9893002667286</v>
          </cell>
          <cell r="I39"/>
          <cell r="J39">
            <v>368.24780948363843</v>
          </cell>
          <cell r="K39">
            <v>7074.307712324392</v>
          </cell>
          <cell r="L39"/>
          <cell r="M39">
            <v>368.24780948363843</v>
          </cell>
          <cell r="N39">
            <v>14370.505712498267</v>
          </cell>
          <cell r="O39"/>
          <cell r="P39">
            <v>368.24780948363838</v>
          </cell>
          <cell r="Q39">
            <v>15529.106006779155</v>
          </cell>
          <cell r="R39"/>
          <cell r="S39">
            <v>368.24780948363838</v>
          </cell>
          <cell r="T39">
            <v>16897.038773426477</v>
          </cell>
          <cell r="U39"/>
          <cell r="V39">
            <v>368.24780948363832</v>
          </cell>
          <cell r="W39">
            <v>16979.67128587663</v>
          </cell>
          <cell r="X39"/>
          <cell r="Y39">
            <v>368.24780948363843</v>
          </cell>
          <cell r="Z39">
            <v>13254.094129577619</v>
          </cell>
          <cell r="AA39"/>
          <cell r="AB39">
            <v>368.24780948363843</v>
          </cell>
          <cell r="AC39">
            <v>14721.287291923412</v>
          </cell>
          <cell r="AD39"/>
          <cell r="AE39">
            <v>368.24780948363843</v>
          </cell>
          <cell r="AF39">
            <v>15613.265645917721</v>
          </cell>
          <cell r="AG39"/>
          <cell r="AH39">
            <v>368.24780948363838</v>
          </cell>
          <cell r="AI39">
            <v>16945.90138490453</v>
          </cell>
          <cell r="AJ39"/>
          <cell r="AK39">
            <v>368.24780948363843</v>
          </cell>
          <cell r="AL39">
            <v>15061.603134392646</v>
          </cell>
          <cell r="AM39"/>
          <cell r="AN39">
            <v>368.24780948363832</v>
          </cell>
          <cell r="AO39">
            <v>14024.01442889512</v>
          </cell>
        </row>
        <row r="40">
          <cell r="A40" t="str">
            <v>Véhicules neufsIntérêt de gros</v>
          </cell>
          <cell r="C40"/>
          <cell r="D40">
            <v>675.55448195557233</v>
          </cell>
          <cell r="E40">
            <v>310756.51544698788</v>
          </cell>
          <cell r="F40"/>
          <cell r="G40">
            <v>779.87948933888242</v>
          </cell>
          <cell r="H40">
            <v>18899.32822171177</v>
          </cell>
          <cell r="I40"/>
          <cell r="J40">
            <v>1084.3525766351245</v>
          </cell>
          <cell r="K40">
            <v>20831.200072921325</v>
          </cell>
          <cell r="L40"/>
          <cell r="M40">
            <v>707.2479279274678</v>
          </cell>
          <cell r="N40">
            <v>27599.649276082964</v>
          </cell>
          <cell r="O40"/>
          <cell r="P40">
            <v>730.83160896697791</v>
          </cell>
          <cell r="Q40">
            <v>30819.359237104778</v>
          </cell>
          <cell r="R40"/>
          <cell r="S40">
            <v>677.75528097624476</v>
          </cell>
          <cell r="T40">
            <v>31098.779046665284</v>
          </cell>
          <cell r="U40"/>
          <cell r="V40">
            <v>633.03367983366172</v>
          </cell>
          <cell r="W40">
            <v>29188.778642122572</v>
          </cell>
          <cell r="X40"/>
          <cell r="Y40">
            <v>698.90692884088276</v>
          </cell>
          <cell r="Z40">
            <v>25155.283980263965</v>
          </cell>
          <cell r="AA40"/>
          <cell r="AB40">
            <v>640.80123341330716</v>
          </cell>
          <cell r="AC40">
            <v>25617.040512267602</v>
          </cell>
          <cell r="AD40"/>
          <cell r="AE40">
            <v>614.50610898388993</v>
          </cell>
          <cell r="AF40">
            <v>26054.322316426515</v>
          </cell>
          <cell r="AG40"/>
          <cell r="AH40">
            <v>615.88961939494493</v>
          </cell>
          <cell r="AI40">
            <v>28341.79725030201</v>
          </cell>
          <cell r="AJ40"/>
          <cell r="AK40">
            <v>620.37833373719047</v>
          </cell>
          <cell r="AL40">
            <v>25373.924882343425</v>
          </cell>
          <cell r="AM40"/>
          <cell r="AN40">
            <v>571.82996636967255</v>
          </cell>
          <cell r="AO40">
            <v>21777.052008775652</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0.64963551689521282</v>
          </cell>
          <cell r="E44">
            <v>1250906.221578568</v>
          </cell>
          <cell r="F44" t="str">
            <v>% brut</v>
          </cell>
          <cell r="G44">
            <v>0.70849886775414561</v>
          </cell>
          <cell r="H44">
            <v>71699.690077121792</v>
          </cell>
          <cell r="I44" t="str">
            <v>% brut</v>
          </cell>
          <cell r="J44">
            <v>0.7655711239048385</v>
          </cell>
          <cell r="K44">
            <v>63125.583641892481</v>
          </cell>
          <cell r="L44" t="str">
            <v>% brut</v>
          </cell>
          <cell r="M44">
            <v>0.64531433324838217</v>
          </cell>
          <cell r="N44">
            <v>106884.32376952103</v>
          </cell>
          <cell r="O44" t="str">
            <v>% brut</v>
          </cell>
          <cell r="P44">
            <v>0.66045496611880961</v>
          </cell>
          <cell r="Q44">
            <v>115778.8947793626</v>
          </cell>
          <cell r="R44" t="str">
            <v>% brut</v>
          </cell>
          <cell r="S44">
            <v>0.64245548212605197</v>
          </cell>
          <cell r="T44">
            <v>123490.62085111301</v>
          </cell>
          <cell r="U44" t="str">
            <v>% brut</v>
          </cell>
          <cell r="V44">
            <v>0.63273454160453368</v>
          </cell>
          <cell r="W44">
            <v>121834.00551035702</v>
          </cell>
          <cell r="X44" t="str">
            <v>% brut</v>
          </cell>
          <cell r="Y44">
            <v>0.66221419901701717</v>
          </cell>
          <cell r="Z44">
            <v>99550.854073398281</v>
          </cell>
          <cell r="AA44" t="str">
            <v>% brut</v>
          </cell>
          <cell r="AB44">
            <v>0.64210769880524166</v>
          </cell>
          <cell r="AC44">
            <v>107196.972999163</v>
          </cell>
          <cell r="AD44" t="str">
            <v>% brut</v>
          </cell>
          <cell r="AE44">
            <v>0.63288221731045802</v>
          </cell>
          <cell r="AF44">
            <v>111970.83048847728</v>
          </cell>
          <cell r="AG44" t="str">
            <v>% brut</v>
          </cell>
          <cell r="AH44">
            <v>0.62680288062151834</v>
          </cell>
          <cell r="AI44">
            <v>120449.5384796374</v>
          </cell>
          <cell r="AJ44" t="str">
            <v>% brut</v>
          </cell>
          <cell r="AK44">
            <v>0.63588623972813829</v>
          </cell>
          <cell r="AL44">
            <v>108622.95940059455</v>
          </cell>
          <cell r="AM44" t="str">
            <v>% brut</v>
          </cell>
          <cell r="AN44">
            <v>0.63078847459572218</v>
          </cell>
          <cell r="AO44">
            <v>100301.94750792952</v>
          </cell>
        </row>
        <row r="45">
          <cell r="A45" t="str">
            <v>Véhicules neufsSalaires cadres</v>
          </cell>
          <cell r="C45"/>
          <cell r="D45"/>
          <cell r="E45">
            <v>266532.59999999998</v>
          </cell>
          <cell r="F45"/>
          <cell r="G45"/>
          <cell r="H45">
            <v>21668.427586206897</v>
          </cell>
          <cell r="I45"/>
          <cell r="J45"/>
          <cell r="K45">
            <v>20944.931034482761</v>
          </cell>
          <cell r="L45"/>
          <cell r="M45"/>
          <cell r="N45">
            <v>23115.420689655177</v>
          </cell>
          <cell r="O45"/>
          <cell r="P45"/>
          <cell r="Q45">
            <v>21668.427586206897</v>
          </cell>
          <cell r="R45"/>
          <cell r="S45"/>
          <cell r="T45">
            <v>22391.924137931033</v>
          </cell>
          <cell r="U45"/>
          <cell r="V45"/>
          <cell r="W45">
            <v>22391.924137931033</v>
          </cell>
          <cell r="X45"/>
          <cell r="Y45"/>
          <cell r="Z45">
            <v>22391.924137931033</v>
          </cell>
          <cell r="AA45"/>
          <cell r="AB45"/>
          <cell r="AC45">
            <v>22391.924137931033</v>
          </cell>
          <cell r="AD45"/>
          <cell r="AE45"/>
          <cell r="AF45">
            <v>22391.924137931033</v>
          </cell>
          <cell r="AG45"/>
          <cell r="AH45"/>
          <cell r="AI45">
            <v>21668.427586206897</v>
          </cell>
          <cell r="AJ45"/>
          <cell r="AK45"/>
          <cell r="AL45">
            <v>22391.924137931033</v>
          </cell>
          <cell r="AM45"/>
          <cell r="AN45"/>
          <cell r="AO45">
            <v>23115.420689655177</v>
          </cell>
        </row>
        <row r="46">
          <cell r="A46" t="str">
            <v>Véhicules neufsSalaires commis</v>
          </cell>
          <cell r="C46"/>
          <cell r="D46"/>
          <cell r="E46">
            <v>78337.169999999984</v>
          </cell>
          <cell r="F46"/>
          <cell r="G46"/>
          <cell r="H46">
            <v>6302.9906896551729</v>
          </cell>
          <cell r="I46"/>
          <cell r="J46"/>
          <cell r="K46">
            <v>6002.8482758620685</v>
          </cell>
          <cell r="L46"/>
          <cell r="M46"/>
          <cell r="N46">
            <v>6903.2755172413799</v>
          </cell>
          <cell r="O46"/>
          <cell r="P46"/>
          <cell r="Q46">
            <v>6302.9906896551729</v>
          </cell>
          <cell r="R46"/>
          <cell r="S46"/>
          <cell r="T46">
            <v>6603.1331034482755</v>
          </cell>
          <cell r="U46"/>
          <cell r="V46"/>
          <cell r="W46">
            <v>6603.1331034482755</v>
          </cell>
          <cell r="X46"/>
          <cell r="Y46"/>
          <cell r="Z46">
            <v>6603.1331034482755</v>
          </cell>
          <cell r="AA46"/>
          <cell r="AB46"/>
          <cell r="AC46">
            <v>6603.1331034482755</v>
          </cell>
          <cell r="AD46"/>
          <cell r="AE46"/>
          <cell r="AF46">
            <v>6603.1331034482755</v>
          </cell>
          <cell r="AG46"/>
          <cell r="AH46"/>
          <cell r="AI46">
            <v>6302.9906896551729</v>
          </cell>
          <cell r="AJ46"/>
          <cell r="AK46"/>
          <cell r="AL46">
            <v>6603.1331034482755</v>
          </cell>
          <cell r="AM46"/>
          <cell r="AN46"/>
          <cell r="AO46">
            <v>6903.2755172413799</v>
          </cell>
        </row>
        <row r="47">
          <cell r="A47" t="str">
            <v>Véhicules neufsSalaires autres</v>
          </cell>
          <cell r="C47"/>
          <cell r="D47"/>
          <cell r="E47">
            <v>14607.04896</v>
          </cell>
          <cell r="F47"/>
          <cell r="G47"/>
          <cell r="H47">
            <v>1175.2798013793104</v>
          </cell>
          <cell r="I47"/>
          <cell r="J47"/>
          <cell r="K47">
            <v>1119.3140965517241</v>
          </cell>
          <cell r="L47"/>
          <cell r="M47"/>
          <cell r="N47">
            <v>1287.2112110344829</v>
          </cell>
          <cell r="O47"/>
          <cell r="P47"/>
          <cell r="Q47">
            <v>1175.2798013793104</v>
          </cell>
          <cell r="R47"/>
          <cell r="S47"/>
          <cell r="T47">
            <v>1231.2455062068966</v>
          </cell>
          <cell r="U47"/>
          <cell r="V47"/>
          <cell r="W47">
            <v>1231.2455062068966</v>
          </cell>
          <cell r="X47"/>
          <cell r="Y47"/>
          <cell r="Z47">
            <v>1231.2455062068966</v>
          </cell>
          <cell r="AA47"/>
          <cell r="AB47"/>
          <cell r="AC47">
            <v>1231.2455062068966</v>
          </cell>
          <cell r="AD47"/>
          <cell r="AE47"/>
          <cell r="AF47">
            <v>1231.2455062068966</v>
          </cell>
          <cell r="AG47"/>
          <cell r="AH47"/>
          <cell r="AI47">
            <v>1175.2798013793104</v>
          </cell>
          <cell r="AJ47"/>
          <cell r="AK47"/>
          <cell r="AL47">
            <v>1231.2455062068966</v>
          </cell>
          <cell r="AM47"/>
          <cell r="AN47"/>
          <cell r="AO47">
            <v>1287.2112110344829</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98322.177827214458</v>
          </cell>
          <cell r="F52"/>
          <cell r="G52"/>
          <cell r="H52">
            <v>6673.5718784001529</v>
          </cell>
          <cell r="I52"/>
          <cell r="J52"/>
          <cell r="K52">
            <v>5905.1250091703187</v>
          </cell>
          <cell r="L52"/>
          <cell r="M52"/>
          <cell r="N52">
            <v>8387.7235327600283</v>
          </cell>
          <cell r="O52"/>
          <cell r="P52"/>
          <cell r="Q52">
            <v>8456.3750044566568</v>
          </cell>
          <cell r="R52"/>
          <cell r="S52"/>
          <cell r="T52">
            <v>9024.1642244377035</v>
          </cell>
          <cell r="U52"/>
          <cell r="V52"/>
          <cell r="W52">
            <v>9032.0207438324942</v>
          </cell>
          <cell r="X52"/>
          <cell r="Y52"/>
          <cell r="Z52">
            <v>8015.7261030411419</v>
          </cell>
          <cell r="AA52"/>
          <cell r="AB52"/>
          <cell r="AC52">
            <v>8415.7024259454429</v>
          </cell>
          <cell r="AD52"/>
          <cell r="AE52"/>
          <cell r="AF52">
            <v>8655.8461104362923</v>
          </cell>
          <cell r="AG52"/>
          <cell r="AH52"/>
          <cell r="AI52">
            <v>8863.04281550626</v>
          </cell>
          <cell r="AJ52"/>
          <cell r="AK52"/>
          <cell r="AL52">
            <v>8508.7377053221244</v>
          </cell>
          <cell r="AM52"/>
          <cell r="AN52"/>
          <cell r="AO52">
            <v>8384.1422739058562</v>
          </cell>
        </row>
        <row r="53">
          <cell r="A53" t="str">
            <v>Véhicules neufsDéduction à la source</v>
          </cell>
          <cell r="C53"/>
          <cell r="D53"/>
          <cell r="E53">
            <v>73995.041045223261</v>
          </cell>
          <cell r="F53"/>
          <cell r="G53"/>
          <cell r="H53">
            <v>5022.3788363217645</v>
          </cell>
          <cell r="I53"/>
          <cell r="J53"/>
          <cell r="K53">
            <v>4444.0631512312702</v>
          </cell>
          <cell r="L53"/>
          <cell r="M53"/>
          <cell r="N53">
            <v>6312.4104937266184</v>
          </cell>
          <cell r="O53"/>
          <cell r="P53"/>
          <cell r="Q53">
            <v>6364.0760342818139</v>
          </cell>
          <cell r="R53"/>
          <cell r="S53"/>
          <cell r="T53">
            <v>6791.3813235458992</v>
          </cell>
          <cell r="U53"/>
          <cell r="V53"/>
          <cell r="W53">
            <v>6797.2939618533192</v>
          </cell>
          <cell r="X53"/>
          <cell r="Y53"/>
          <cell r="Z53">
            <v>6032.4536651752915</v>
          </cell>
          <cell r="AA53"/>
          <cell r="AB53"/>
          <cell r="AC53">
            <v>6333.4667741651265</v>
          </cell>
          <cell r="AD53"/>
          <cell r="AE53"/>
          <cell r="AF53">
            <v>6514.1934645551473</v>
          </cell>
          <cell r="AG53"/>
          <cell r="AH53"/>
          <cell r="AI53">
            <v>6670.1250054840921</v>
          </cell>
          <cell r="AJ53"/>
          <cell r="AK53"/>
          <cell r="AL53">
            <v>6403.483015345515</v>
          </cell>
          <cell r="AM53"/>
          <cell r="AN53"/>
          <cell r="AO53">
            <v>6309.7153195373958</v>
          </cell>
        </row>
        <row r="54">
          <cell r="A54" t="str">
            <v>Véhicules neufsBénéfices marginaux</v>
          </cell>
          <cell r="C54"/>
          <cell r="D54"/>
          <cell r="E54">
            <v>112513.00761670934</v>
          </cell>
          <cell r="F54"/>
          <cell r="G54"/>
          <cell r="H54">
            <v>7636.7678196125462</v>
          </cell>
          <cell r="I54"/>
          <cell r="J54"/>
          <cell r="K54">
            <v>6757.4110929680965</v>
          </cell>
          <cell r="L54"/>
          <cell r="M54"/>
          <cell r="N54">
            <v>9598.3228055295167</v>
          </cell>
          <cell r="O54"/>
          <cell r="P54"/>
          <cell r="Q54">
            <v>9676.8827370586496</v>
          </cell>
          <cell r="R54"/>
          <cell r="S54"/>
          <cell r="T54">
            <v>10326.620916624588</v>
          </cell>
          <cell r="U54"/>
          <cell r="V54"/>
          <cell r="W54">
            <v>10335.611366653678</v>
          </cell>
          <cell r="X54"/>
          <cell r="Y54"/>
          <cell r="Z54">
            <v>9172.6350251295535</v>
          </cell>
          <cell r="AA54"/>
          <cell r="AB54"/>
          <cell r="AC54">
            <v>9630.3398894839593</v>
          </cell>
          <cell r="AD54"/>
          <cell r="AE54"/>
          <cell r="AF54">
            <v>9905.1434872002919</v>
          </cell>
          <cell r="AG54"/>
          <cell r="AH54"/>
          <cell r="AI54">
            <v>10142.244871352525</v>
          </cell>
          <cell r="AJ54"/>
          <cell r="AK54"/>
          <cell r="AL54">
            <v>9736.802941141812</v>
          </cell>
          <cell r="AM54"/>
          <cell r="AN54"/>
          <cell r="AO54">
            <v>9594.2246639541227</v>
          </cell>
        </row>
        <row r="55">
          <cell r="A55" t="str">
            <v>Véhicules neufsCsst</v>
          </cell>
          <cell r="C55"/>
          <cell r="D55"/>
          <cell r="E55">
            <v>20272.613984992669</v>
          </cell>
          <cell r="F55"/>
          <cell r="G55"/>
          <cell r="H55">
            <v>1375.9942017319904</v>
          </cell>
          <cell r="I55"/>
          <cell r="J55"/>
          <cell r="K55">
            <v>1217.5515482825399</v>
          </cell>
          <cell r="L55"/>
          <cell r="M55"/>
          <cell r="N55">
            <v>1729.4275325278409</v>
          </cell>
          <cell r="O55"/>
          <cell r="P55"/>
          <cell r="Q55">
            <v>1743.5824751457026</v>
          </cell>
          <cell r="R55"/>
          <cell r="S55"/>
          <cell r="T55">
            <v>1860.6524174098356</v>
          </cell>
          <cell r="U55"/>
          <cell r="V55"/>
          <cell r="W55">
            <v>1862.2723183159781</v>
          </cell>
          <cell r="X55"/>
          <cell r="Y55"/>
          <cell r="Z55">
            <v>1652.7270315548747</v>
          </cell>
          <cell r="AA55"/>
          <cell r="AB55"/>
          <cell r="AC55">
            <v>1735.1963764835964</v>
          </cell>
          <cell r="AD55"/>
          <cell r="AE55"/>
          <cell r="AF55">
            <v>1784.710538234287</v>
          </cell>
          <cell r="AG55"/>
          <cell r="AH55"/>
          <cell r="AI55">
            <v>1827.4315083518063</v>
          </cell>
          <cell r="AJ55"/>
          <cell r="AK55"/>
          <cell r="AL55">
            <v>1754.3789083138399</v>
          </cell>
          <cell r="AM55"/>
          <cell r="AN55"/>
          <cell r="AO55">
            <v>1728.6891286403825</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0.34513742367490902</v>
          </cell>
          <cell r="E57">
            <v>664579.65943413973</v>
          </cell>
          <cell r="F57" t="str">
            <v>% brut</v>
          </cell>
          <cell r="G57">
            <v>0.49264511568533581</v>
          </cell>
          <cell r="H57">
            <v>49855.410813307833</v>
          </cell>
          <cell r="I57" t="str">
            <v>% brut</v>
          </cell>
          <cell r="J57">
            <v>0.5626212847323746</v>
          </cell>
          <cell r="K57">
            <v>46391.244208548778</v>
          </cell>
          <cell r="L57" t="str">
            <v>% brut</v>
          </cell>
          <cell r="M57">
            <v>0.3461528904508992</v>
          </cell>
          <cell r="N57">
            <v>57333.791782475048</v>
          </cell>
          <cell r="O57" t="str">
            <v>% brut</v>
          </cell>
          <cell r="P57">
            <v>0.31595590037574878</v>
          </cell>
          <cell r="Q57">
            <v>55387.614328184201</v>
          </cell>
          <cell r="R57" t="str">
            <v>% brut</v>
          </cell>
          <cell r="S57">
            <v>0.30293489620905684</v>
          </cell>
          <cell r="T57">
            <v>58229.121629604233</v>
          </cell>
          <cell r="U57" t="str">
            <v>% brut</v>
          </cell>
          <cell r="V57">
            <v>0.30253460177364988</v>
          </cell>
          <cell r="W57">
            <v>58253.501138241671</v>
          </cell>
          <cell r="X57" t="str">
            <v>% brut</v>
          </cell>
          <cell r="Y57">
            <v>0.36652522752471151</v>
          </cell>
          <cell r="Z57">
            <v>55099.844572487062</v>
          </cell>
          <cell r="AA57" t="str">
            <v>% brut</v>
          </cell>
          <cell r="AB57">
            <v>0.3374814989666331</v>
          </cell>
          <cell r="AC57">
            <v>56341.008213664332</v>
          </cell>
          <cell r="AD57" t="str">
            <v>% brut</v>
          </cell>
          <cell r="AE57">
            <v>0.32266295038570875</v>
          </cell>
          <cell r="AF57">
            <v>57086.196348012221</v>
          </cell>
          <cell r="AG57" t="str">
            <v>% brut</v>
          </cell>
          <cell r="AH57">
            <v>0.29479644948331318</v>
          </cell>
          <cell r="AI57">
            <v>56649.542277936067</v>
          </cell>
          <cell r="AJ57" t="str">
            <v>% brut</v>
          </cell>
          <cell r="AK57">
            <v>0.3315141713142622</v>
          </cell>
          <cell r="AL57">
            <v>56629.705317709493</v>
          </cell>
          <cell r="AM57" t="str">
            <v>% brut</v>
          </cell>
          <cell r="AN57">
            <v>0.36049634150560683</v>
          </cell>
          <cell r="AO57">
            <v>57322.678803968796</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79624.799999999988</v>
          </cell>
          <cell r="F60"/>
          <cell r="G60"/>
          <cell r="H60">
            <v>6635.4</v>
          </cell>
          <cell r="I60"/>
          <cell r="J60"/>
          <cell r="K60">
            <v>6635.4</v>
          </cell>
          <cell r="L60"/>
          <cell r="M60"/>
          <cell r="N60">
            <v>6635.4</v>
          </cell>
          <cell r="O60"/>
          <cell r="P60"/>
          <cell r="Q60">
            <v>6635.4</v>
          </cell>
          <cell r="R60"/>
          <cell r="S60"/>
          <cell r="T60">
            <v>6635.4</v>
          </cell>
          <cell r="U60"/>
          <cell r="V60"/>
          <cell r="W60">
            <v>6635.4</v>
          </cell>
          <cell r="X60"/>
          <cell r="Y60"/>
          <cell r="Z60">
            <v>6635.4</v>
          </cell>
          <cell r="AA60"/>
          <cell r="AB60"/>
          <cell r="AC60">
            <v>6635.4</v>
          </cell>
          <cell r="AD60"/>
          <cell r="AE60"/>
          <cell r="AF60">
            <v>6635.4</v>
          </cell>
          <cell r="AG60"/>
          <cell r="AH60"/>
          <cell r="AI60">
            <v>6635.4</v>
          </cell>
          <cell r="AJ60"/>
          <cell r="AK60"/>
          <cell r="AL60">
            <v>6635.4</v>
          </cell>
          <cell r="AM60"/>
          <cell r="AN60"/>
          <cell r="AO60">
            <v>6635.4</v>
          </cell>
        </row>
        <row r="61">
          <cell r="A61" t="str">
            <v>Véhicules neufsInformatique</v>
          </cell>
          <cell r="C61"/>
          <cell r="D61"/>
          <cell r="E61">
            <v>57848.850000000013</v>
          </cell>
          <cell r="F61"/>
          <cell r="G61"/>
          <cell r="H61">
            <v>4820.7375000000002</v>
          </cell>
          <cell r="I61"/>
          <cell r="J61"/>
          <cell r="K61">
            <v>4820.7375000000002</v>
          </cell>
          <cell r="L61"/>
          <cell r="M61"/>
          <cell r="N61">
            <v>4820.7375000000002</v>
          </cell>
          <cell r="O61"/>
          <cell r="P61"/>
          <cell r="Q61">
            <v>4820.7375000000002</v>
          </cell>
          <cell r="R61"/>
          <cell r="S61"/>
          <cell r="T61">
            <v>4820.7375000000002</v>
          </cell>
          <cell r="U61"/>
          <cell r="V61"/>
          <cell r="W61">
            <v>4820.7375000000002</v>
          </cell>
          <cell r="X61"/>
          <cell r="Y61"/>
          <cell r="Z61">
            <v>4820.7375000000002</v>
          </cell>
          <cell r="AA61"/>
          <cell r="AB61"/>
          <cell r="AC61">
            <v>4820.7375000000002</v>
          </cell>
          <cell r="AD61"/>
          <cell r="AE61"/>
          <cell r="AF61">
            <v>4820.7375000000002</v>
          </cell>
          <cell r="AG61"/>
          <cell r="AH61"/>
          <cell r="AI61">
            <v>4820.7375000000002</v>
          </cell>
          <cell r="AJ61"/>
          <cell r="AK61"/>
          <cell r="AL61">
            <v>4820.7375000000002</v>
          </cell>
          <cell r="AM61"/>
          <cell r="AN61"/>
          <cell r="AO61">
            <v>4820.7375000000002</v>
          </cell>
        </row>
        <row r="62">
          <cell r="A62" t="str">
            <v>Véhicules neufsFrais de déplacement</v>
          </cell>
          <cell r="C62"/>
          <cell r="D62"/>
          <cell r="E62">
            <v>36450</v>
          </cell>
          <cell r="F62"/>
          <cell r="G62"/>
          <cell r="H62">
            <v>3037.5</v>
          </cell>
          <cell r="I62"/>
          <cell r="J62"/>
          <cell r="K62">
            <v>3037.5</v>
          </cell>
          <cell r="L62"/>
          <cell r="M62"/>
          <cell r="N62">
            <v>3037.5</v>
          </cell>
          <cell r="O62"/>
          <cell r="P62"/>
          <cell r="Q62">
            <v>3037.5</v>
          </cell>
          <cell r="R62"/>
          <cell r="S62"/>
          <cell r="T62">
            <v>3037.5</v>
          </cell>
          <cell r="U62"/>
          <cell r="V62"/>
          <cell r="W62">
            <v>3037.5</v>
          </cell>
          <cell r="X62"/>
          <cell r="Y62"/>
          <cell r="Z62">
            <v>3037.5</v>
          </cell>
          <cell r="AA62"/>
          <cell r="AB62"/>
          <cell r="AC62">
            <v>3037.5</v>
          </cell>
          <cell r="AD62"/>
          <cell r="AE62"/>
          <cell r="AF62">
            <v>3037.5</v>
          </cell>
          <cell r="AG62"/>
          <cell r="AH62"/>
          <cell r="AI62">
            <v>3037.5</v>
          </cell>
          <cell r="AJ62"/>
          <cell r="AK62"/>
          <cell r="AL62">
            <v>3037.5</v>
          </cell>
          <cell r="AM62"/>
          <cell r="AN62"/>
          <cell r="AO62">
            <v>3037.5</v>
          </cell>
        </row>
        <row r="63">
          <cell r="A63" t="str">
            <v>Véhicules neufsServices extérieurs</v>
          </cell>
          <cell r="C63"/>
          <cell r="D63"/>
          <cell r="E63">
            <v>39444.049999999996</v>
          </cell>
          <cell r="F63"/>
          <cell r="G63"/>
          <cell r="H63">
            <v>3287.0041666666666</v>
          </cell>
          <cell r="I63"/>
          <cell r="J63"/>
          <cell r="K63">
            <v>3287.0041666666666</v>
          </cell>
          <cell r="L63"/>
          <cell r="M63"/>
          <cell r="N63">
            <v>3287.0041666666666</v>
          </cell>
          <cell r="O63"/>
          <cell r="P63"/>
          <cell r="Q63">
            <v>3287.0041666666666</v>
          </cell>
          <cell r="R63"/>
          <cell r="S63"/>
          <cell r="T63">
            <v>3287.0041666666666</v>
          </cell>
          <cell r="U63"/>
          <cell r="V63"/>
          <cell r="W63">
            <v>3287.0041666666666</v>
          </cell>
          <cell r="X63"/>
          <cell r="Y63"/>
          <cell r="Z63">
            <v>3287.0041666666666</v>
          </cell>
          <cell r="AA63"/>
          <cell r="AB63"/>
          <cell r="AC63">
            <v>3287.0041666666666</v>
          </cell>
          <cell r="AD63"/>
          <cell r="AE63"/>
          <cell r="AF63">
            <v>3287.0041666666666</v>
          </cell>
          <cell r="AG63"/>
          <cell r="AH63"/>
          <cell r="AI63">
            <v>3287.0041666666666</v>
          </cell>
          <cell r="AJ63"/>
          <cell r="AK63"/>
          <cell r="AL63">
            <v>3287.0041666666666</v>
          </cell>
          <cell r="AM63"/>
          <cell r="AN63"/>
          <cell r="AO63">
            <v>3287.0041666666666</v>
          </cell>
        </row>
        <row r="64">
          <cell r="A64" t="str">
            <v>Véhicules neufsFournitures autres</v>
          </cell>
          <cell r="C64"/>
          <cell r="D64"/>
          <cell r="E64">
            <v>1314.8159999999998</v>
          </cell>
          <cell r="F64"/>
          <cell r="G64"/>
          <cell r="H64">
            <v>69.266618386174088</v>
          </cell>
          <cell r="I64"/>
          <cell r="J64"/>
          <cell r="K64">
            <v>54.909677294357124</v>
          </cell>
          <cell r="L64"/>
          <cell r="M64"/>
          <cell r="N64">
            <v>111.54163252685667</v>
          </cell>
          <cell r="O64"/>
          <cell r="P64"/>
          <cell r="Q64">
            <v>120.53450799384818</v>
          </cell>
          <cell r="R64"/>
          <cell r="S64"/>
          <cell r="T64">
            <v>131.15218958636996</v>
          </cell>
          <cell r="U64"/>
          <cell r="V64"/>
          <cell r="W64">
            <v>131.79357030900312</v>
          </cell>
          <cell r="X64"/>
          <cell r="Y64"/>
          <cell r="Z64">
            <v>102.8762192823834</v>
          </cell>
          <cell r="AA64"/>
          <cell r="AB64"/>
          <cell r="AC64">
            <v>114.26434464375879</v>
          </cell>
          <cell r="AD64"/>
          <cell r="AE64"/>
          <cell r="AF64">
            <v>121.18774203655988</v>
          </cell>
          <cell r="AG64"/>
          <cell r="AH64"/>
          <cell r="AI64">
            <v>131.53145358464718</v>
          </cell>
          <cell r="AJ64"/>
          <cell r="AK64"/>
          <cell r="AL64">
            <v>116.90582333652023</v>
          </cell>
          <cell r="AM64"/>
          <cell r="AN64"/>
          <cell r="AO64">
            <v>108.85222101952137</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5400</v>
          </cell>
          <cell r="F66"/>
          <cell r="G66"/>
          <cell r="H66">
            <v>450</v>
          </cell>
          <cell r="I66"/>
          <cell r="J66"/>
          <cell r="K66">
            <v>450</v>
          </cell>
          <cell r="L66"/>
          <cell r="M66"/>
          <cell r="N66">
            <v>450</v>
          </cell>
          <cell r="O66"/>
          <cell r="P66"/>
          <cell r="Q66">
            <v>450</v>
          </cell>
          <cell r="R66"/>
          <cell r="S66"/>
          <cell r="T66">
            <v>450</v>
          </cell>
          <cell r="U66"/>
          <cell r="V66"/>
          <cell r="W66">
            <v>450</v>
          </cell>
          <cell r="X66"/>
          <cell r="Y66"/>
          <cell r="Z66">
            <v>450</v>
          </cell>
          <cell r="AA66"/>
          <cell r="AB66"/>
          <cell r="AC66">
            <v>450</v>
          </cell>
          <cell r="AD66"/>
          <cell r="AE66"/>
          <cell r="AF66">
            <v>450</v>
          </cell>
          <cell r="AG66"/>
          <cell r="AH66"/>
          <cell r="AI66">
            <v>450</v>
          </cell>
          <cell r="AJ66"/>
          <cell r="AK66"/>
          <cell r="AL66">
            <v>450</v>
          </cell>
          <cell r="AM66"/>
          <cell r="AN66"/>
          <cell r="AO66">
            <v>450</v>
          </cell>
        </row>
        <row r="67">
          <cell r="A67" t="str">
            <v>Véhicules neufsTéléphone</v>
          </cell>
          <cell r="C67"/>
          <cell r="D67"/>
          <cell r="E67">
            <v>8293.7999999999975</v>
          </cell>
          <cell r="F67"/>
          <cell r="G67"/>
          <cell r="H67">
            <v>691.14999999999986</v>
          </cell>
          <cell r="I67"/>
          <cell r="J67"/>
          <cell r="K67">
            <v>691.14999999999986</v>
          </cell>
          <cell r="L67"/>
          <cell r="M67"/>
          <cell r="N67">
            <v>691.14999999999986</v>
          </cell>
          <cell r="O67"/>
          <cell r="P67"/>
          <cell r="Q67">
            <v>691.14999999999986</v>
          </cell>
          <cell r="R67"/>
          <cell r="S67"/>
          <cell r="T67">
            <v>691.14999999999986</v>
          </cell>
          <cell r="U67"/>
          <cell r="V67"/>
          <cell r="W67">
            <v>691.14999999999986</v>
          </cell>
          <cell r="X67"/>
          <cell r="Y67"/>
          <cell r="Z67">
            <v>691.14999999999986</v>
          </cell>
          <cell r="AA67"/>
          <cell r="AB67"/>
          <cell r="AC67">
            <v>691.14999999999986</v>
          </cell>
          <cell r="AD67"/>
          <cell r="AE67"/>
          <cell r="AF67">
            <v>691.14999999999986</v>
          </cell>
          <cell r="AG67"/>
          <cell r="AH67"/>
          <cell r="AI67">
            <v>691.14999999999986</v>
          </cell>
          <cell r="AJ67"/>
          <cell r="AK67"/>
          <cell r="AL67">
            <v>691.14999999999986</v>
          </cell>
          <cell r="AM67"/>
          <cell r="AN67"/>
          <cell r="AO67">
            <v>691.14999999999986</v>
          </cell>
        </row>
        <row r="68">
          <cell r="A68" t="str">
            <v>Véhicules neufsFrais postaux</v>
          </cell>
          <cell r="C68"/>
          <cell r="D68"/>
          <cell r="E68">
            <v>900</v>
          </cell>
          <cell r="F68"/>
          <cell r="G68"/>
          <cell r="H68">
            <v>75</v>
          </cell>
          <cell r="I68"/>
          <cell r="J68"/>
          <cell r="K68">
            <v>75</v>
          </cell>
          <cell r="L68"/>
          <cell r="M68"/>
          <cell r="N68">
            <v>75</v>
          </cell>
          <cell r="O68"/>
          <cell r="P68"/>
          <cell r="Q68">
            <v>75</v>
          </cell>
          <cell r="R68"/>
          <cell r="S68"/>
          <cell r="T68">
            <v>75</v>
          </cell>
          <cell r="U68"/>
          <cell r="V68"/>
          <cell r="W68">
            <v>75</v>
          </cell>
          <cell r="X68"/>
          <cell r="Y68"/>
          <cell r="Z68">
            <v>75</v>
          </cell>
          <cell r="AA68"/>
          <cell r="AB68"/>
          <cell r="AC68">
            <v>75</v>
          </cell>
          <cell r="AD68"/>
          <cell r="AE68"/>
          <cell r="AF68">
            <v>75</v>
          </cell>
          <cell r="AG68"/>
          <cell r="AH68"/>
          <cell r="AI68">
            <v>75</v>
          </cell>
          <cell r="AJ68"/>
          <cell r="AK68"/>
          <cell r="AL68">
            <v>75</v>
          </cell>
          <cell r="AM68"/>
          <cell r="AN68"/>
          <cell r="AO68">
            <v>75</v>
          </cell>
        </row>
        <row r="69">
          <cell r="A69" t="str">
            <v>Véhicules neufsDivers</v>
          </cell>
          <cell r="C69"/>
          <cell r="D69"/>
          <cell r="E69">
            <v>19503.45</v>
          </cell>
          <cell r="F69"/>
          <cell r="G69"/>
          <cell r="H69">
            <v>1625.2875000000001</v>
          </cell>
          <cell r="I69"/>
          <cell r="J69"/>
          <cell r="K69">
            <v>1625.2875000000001</v>
          </cell>
          <cell r="L69"/>
          <cell r="M69"/>
          <cell r="N69">
            <v>1625.2875000000001</v>
          </cell>
          <cell r="O69"/>
          <cell r="P69"/>
          <cell r="Q69">
            <v>1625.2875000000001</v>
          </cell>
          <cell r="R69"/>
          <cell r="S69"/>
          <cell r="T69">
            <v>1625.2875000000001</v>
          </cell>
          <cell r="U69"/>
          <cell r="V69"/>
          <cell r="W69">
            <v>1625.2875000000001</v>
          </cell>
          <cell r="X69"/>
          <cell r="Y69"/>
          <cell r="Z69">
            <v>1625.2875000000001</v>
          </cell>
          <cell r="AA69"/>
          <cell r="AB69"/>
          <cell r="AC69">
            <v>1625.2875000000001</v>
          </cell>
          <cell r="AD69"/>
          <cell r="AE69"/>
          <cell r="AF69">
            <v>1625.2875000000001</v>
          </cell>
          <cell r="AG69"/>
          <cell r="AH69"/>
          <cell r="AI69">
            <v>1625.2875000000001</v>
          </cell>
          <cell r="AJ69"/>
          <cell r="AK69"/>
          <cell r="AL69">
            <v>1625.2875000000001</v>
          </cell>
          <cell r="AM69"/>
          <cell r="AN69"/>
          <cell r="AO69">
            <v>1625.2875000000001</v>
          </cell>
        </row>
        <row r="70">
          <cell r="A70" t="str">
            <v>Véhicules neufsFormation</v>
          </cell>
          <cell r="C70"/>
          <cell r="D70"/>
          <cell r="E70">
            <v>7500</v>
          </cell>
          <cell r="F70"/>
          <cell r="G70"/>
          <cell r="H70">
            <v>625</v>
          </cell>
          <cell r="I70"/>
          <cell r="J70"/>
          <cell r="K70">
            <v>625</v>
          </cell>
          <cell r="L70"/>
          <cell r="M70"/>
          <cell r="N70">
            <v>625</v>
          </cell>
          <cell r="O70"/>
          <cell r="P70"/>
          <cell r="Q70">
            <v>625</v>
          </cell>
          <cell r="R70"/>
          <cell r="S70"/>
          <cell r="T70">
            <v>625</v>
          </cell>
          <cell r="U70"/>
          <cell r="V70"/>
          <cell r="W70">
            <v>625</v>
          </cell>
          <cell r="X70"/>
          <cell r="Y70"/>
          <cell r="Z70">
            <v>625</v>
          </cell>
          <cell r="AA70"/>
          <cell r="AB70"/>
          <cell r="AC70">
            <v>625</v>
          </cell>
          <cell r="AD70"/>
          <cell r="AE70"/>
          <cell r="AF70">
            <v>625</v>
          </cell>
          <cell r="AG70"/>
          <cell r="AH70"/>
          <cell r="AI70">
            <v>625</v>
          </cell>
          <cell r="AJ70"/>
          <cell r="AK70"/>
          <cell r="AL70">
            <v>625</v>
          </cell>
          <cell r="AM70"/>
          <cell r="AN70"/>
          <cell r="AO70">
            <v>625</v>
          </cell>
        </row>
        <row r="71">
          <cell r="A71" t="str">
            <v>Véhicules neufsFrais bancaires</v>
          </cell>
          <cell r="C71"/>
          <cell r="D71"/>
          <cell r="E71">
            <v>53651.728220172226</v>
          </cell>
          <cell r="F71"/>
          <cell r="G71"/>
          <cell r="H71">
            <v>2837.3110364580862</v>
          </cell>
          <cell r="I71"/>
          <cell r="J71"/>
          <cell r="K71">
            <v>3290.5517129232035</v>
          </cell>
          <cell r="L71"/>
          <cell r="M71"/>
          <cell r="N71">
            <v>5148.9189574605243</v>
          </cell>
          <cell r="O71"/>
          <cell r="P71"/>
          <cell r="Q71">
            <v>4937.283595468296</v>
          </cell>
          <cell r="R71"/>
          <cell r="S71"/>
          <cell r="T71">
            <v>5184.6953025002867</v>
          </cell>
          <cell r="U71"/>
          <cell r="V71"/>
          <cell r="W71">
            <v>5140.0221233466582</v>
          </cell>
          <cell r="X71"/>
          <cell r="Y71"/>
          <cell r="Z71">
            <v>4279.1818974683074</v>
          </cell>
          <cell r="AA71"/>
          <cell r="AB71"/>
          <cell r="AC71">
            <v>4524.4281205211037</v>
          </cell>
          <cell r="AD71"/>
          <cell r="AE71"/>
          <cell r="AF71">
            <v>4653.8198165503209</v>
          </cell>
          <cell r="AG71"/>
          <cell r="AH71"/>
          <cell r="AI71">
            <v>5102.1824003868478</v>
          </cell>
          <cell r="AJ71"/>
          <cell r="AK71"/>
          <cell r="AL71">
            <v>4673.2689495460663</v>
          </cell>
          <cell r="AM71"/>
          <cell r="AN71"/>
          <cell r="AO71">
            <v>3880.0643075425305</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0.16095731476636604</v>
          </cell>
          <cell r="E75">
            <v>309931.49422017217</v>
          </cell>
          <cell r="F75" t="str">
            <v>% brut</v>
          </cell>
          <cell r="G75">
            <v>0.23867381423484166</v>
          </cell>
          <cell r="H75">
            <v>24153.656821510926</v>
          </cell>
          <cell r="I75" t="str">
            <v>% brut</v>
          </cell>
          <cell r="J75">
            <v>0.29825211629908255</v>
          </cell>
          <cell r="K75">
            <v>24592.540556884225</v>
          </cell>
          <cell r="L75" t="str">
            <v>% brut</v>
          </cell>
          <cell r="M75">
            <v>0.16003932794678</v>
          </cell>
          <cell r="N75">
            <v>26507.539756654049</v>
          </cell>
          <cell r="O75" t="str">
            <v>% brut</v>
          </cell>
          <cell r="P75">
            <v>0.1500549825459073</v>
          </cell>
          <cell r="Q75">
            <v>26304.897270128811</v>
          </cell>
          <cell r="R75" t="str">
            <v>% brut</v>
          </cell>
          <cell r="S75">
            <v>0.13819266382831952</v>
          </cell>
          <cell r="T75">
            <v>26562.926658753324</v>
          </cell>
          <cell r="U75" t="str">
            <v>% brut</v>
          </cell>
          <cell r="V75">
            <v>0.13772362414759864</v>
          </cell>
          <cell r="W75">
            <v>26518.894860322329</v>
          </cell>
          <cell r="X75" t="str">
            <v>% brut</v>
          </cell>
          <cell r="Y75">
            <v>0.17048551492207242</v>
          </cell>
          <cell r="Z75">
            <v>25629.13728341736</v>
          </cell>
          <cell r="AA75" t="str">
            <v>% brut</v>
          </cell>
          <cell r="AB75">
            <v>0.15505524819663638</v>
          </cell>
          <cell r="AC75">
            <v>25885.771631831529</v>
          </cell>
          <cell r="AD75" t="str">
            <v>% brut</v>
          </cell>
          <cell r="AE75">
            <v>0.14708219876442094</v>
          </cell>
          <cell r="AF75">
            <v>26022.086725253546</v>
          </cell>
          <cell r="AG75" t="str">
            <v>% brut</v>
          </cell>
          <cell r="AH75">
            <v>0.13780241548442476</v>
          </cell>
          <cell r="AI75">
            <v>26480.793020638164</v>
          </cell>
          <cell r="AJ75" t="str">
            <v>% brut</v>
          </cell>
          <cell r="AK75">
            <v>0.15242386684942416</v>
          </cell>
          <cell r="AL75">
            <v>26037.253939549253</v>
          </cell>
          <cell r="AM75" t="str">
            <v>% brut</v>
          </cell>
          <cell r="AN75">
            <v>0.15870654184694735</v>
          </cell>
          <cell r="AO75">
            <v>25235.995695228718</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1.1557302553364879</v>
          </cell>
          <cell r="E77">
            <v>2225417.37523288</v>
          </cell>
          <cell r="F77" t="str">
            <v>% brut</v>
          </cell>
          <cell r="G77">
            <v>1.4398177976743232</v>
          </cell>
          <cell r="H77">
            <v>145708.75771194056</v>
          </cell>
          <cell r="I77" t="str">
            <v>% brut</v>
          </cell>
          <cell r="J77">
            <v>1.6264445249362953</v>
          </cell>
          <cell r="K77">
            <v>134109.36840732547</v>
          </cell>
          <cell r="L77" t="str">
            <v>% brut</v>
          </cell>
          <cell r="M77">
            <v>1.1515065516460612</v>
          </cell>
          <cell r="N77">
            <v>190725.65530865011</v>
          </cell>
          <cell r="O77" t="str">
            <v>% brut</v>
          </cell>
          <cell r="P77">
            <v>1.1264658490404655</v>
          </cell>
          <cell r="Q77">
            <v>197471.40637767559</v>
          </cell>
          <cell r="R77" t="str">
            <v>% brut</v>
          </cell>
          <cell r="S77">
            <v>1.0835830421634285</v>
          </cell>
          <cell r="T77">
            <v>208282.66913947058</v>
          </cell>
          <cell r="U77" t="str">
            <v>% brut</v>
          </cell>
          <cell r="V77">
            <v>1.0729927675257822</v>
          </cell>
          <cell r="W77">
            <v>206606.40150892103</v>
          </cell>
          <cell r="X77" t="str">
            <v>% brut</v>
          </cell>
          <cell r="Y77">
            <v>1.199224941463801</v>
          </cell>
          <cell r="Z77">
            <v>180279.8359293027</v>
          </cell>
          <cell r="AA77" t="str">
            <v>% brut</v>
          </cell>
          <cell r="AB77">
            <v>1.1346444459685112</v>
          </cell>
          <cell r="AC77">
            <v>189423.75284465885</v>
          </cell>
          <cell r="AD77" t="str">
            <v>% brut</v>
          </cell>
          <cell r="AE77">
            <v>1.1026273664605879</v>
          </cell>
          <cell r="AF77">
            <v>195079.11356174306</v>
          </cell>
          <cell r="AG77" t="str">
            <v>% brut</v>
          </cell>
          <cell r="AH77">
            <v>1.0594017455892564</v>
          </cell>
          <cell r="AI77">
            <v>203579.87377821165</v>
          </cell>
          <cell r="AJ77" t="str">
            <v>% brut</v>
          </cell>
          <cell r="AK77">
            <v>1.1198242778918248</v>
          </cell>
          <cell r="AL77">
            <v>191289.91865785333</v>
          </cell>
          <cell r="AM77" t="str">
            <v>% brut</v>
          </cell>
          <cell r="AN77">
            <v>1.1499913579482763</v>
          </cell>
          <cell r="AO77">
            <v>182860.62200712704</v>
          </cell>
        </row>
        <row r="78">
          <cell r="A78" t="str">
            <v>Véhicules neufsBusiness Builder Neuf</v>
          </cell>
          <cell r="C78"/>
          <cell r="D78"/>
          <cell r="E78">
            <v>630048.16001479386</v>
          </cell>
          <cell r="F78"/>
          <cell r="G78"/>
          <cell r="H78">
            <v>33127.675091063567</v>
          </cell>
          <cell r="I78"/>
          <cell r="J78"/>
          <cell r="K78">
            <v>27220.652137782014</v>
          </cell>
          <cell r="L78"/>
          <cell r="M78"/>
          <cell r="N78">
            <v>54029.844252697229</v>
          </cell>
          <cell r="O78"/>
          <cell r="P78"/>
          <cell r="Q78">
            <v>57676.408705354261</v>
          </cell>
          <cell r="R78"/>
          <cell r="S78"/>
          <cell r="T78">
            <v>62644.788481470932</v>
          </cell>
          <cell r="U78"/>
          <cell r="V78"/>
          <cell r="W78">
            <v>62961.098374049798</v>
          </cell>
          <cell r="X78"/>
          <cell r="Y78"/>
          <cell r="Z78">
            <v>49159.186232011431</v>
          </cell>
          <cell r="AA78"/>
          <cell r="AB78"/>
          <cell r="AC78">
            <v>54590.458533853249</v>
          </cell>
          <cell r="AD78"/>
          <cell r="AE78"/>
          <cell r="AF78">
            <v>57892.425217359341</v>
          </cell>
          <cell r="AG78"/>
          <cell r="AH78"/>
          <cell r="AI78">
            <v>62860.804993476013</v>
          </cell>
          <cell r="AJ78"/>
          <cell r="AK78"/>
          <cell r="AL78">
            <v>55878.842730454926</v>
          </cell>
          <cell r="AM78"/>
          <cell r="AN78"/>
          <cell r="AO78">
            <v>52005.975265221125</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0</v>
          </cell>
          <cell r="F81"/>
          <cell r="G81"/>
          <cell r="H81">
            <v>0</v>
          </cell>
          <cell r="I81"/>
          <cell r="J81"/>
          <cell r="K81">
            <v>0</v>
          </cell>
          <cell r="L81"/>
          <cell r="M81"/>
          <cell r="N81">
            <v>0</v>
          </cell>
          <cell r="O81"/>
          <cell r="P81"/>
          <cell r="Q81">
            <v>0</v>
          </cell>
          <cell r="R81"/>
          <cell r="S81"/>
          <cell r="T81">
            <v>0</v>
          </cell>
          <cell r="U81"/>
          <cell r="V81"/>
          <cell r="W81">
            <v>0</v>
          </cell>
          <cell r="X81"/>
          <cell r="Y81"/>
          <cell r="Z81">
            <v>0</v>
          </cell>
          <cell r="AA81"/>
          <cell r="AB81"/>
          <cell r="AC81">
            <v>0</v>
          </cell>
          <cell r="AD81"/>
          <cell r="AE81"/>
          <cell r="AF81">
            <v>0</v>
          </cell>
          <cell r="AG81"/>
          <cell r="AH81"/>
          <cell r="AI81">
            <v>0</v>
          </cell>
          <cell r="AJ81"/>
          <cell r="AK81"/>
          <cell r="AL81">
            <v>0</v>
          </cell>
          <cell r="AM81"/>
          <cell r="AN81"/>
          <cell r="AO81">
            <v>0</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v>551.65</v>
          </cell>
          <cell r="E85">
            <v>253760.18711338346</v>
          </cell>
          <cell r="F85"/>
          <cell r="G85"/>
          <cell r="H85">
            <v>13368.494178947371</v>
          </cell>
          <cell r="I85"/>
          <cell r="J85"/>
          <cell r="K85">
            <v>10597.596914360312</v>
          </cell>
          <cell r="L85"/>
          <cell r="M85"/>
          <cell r="N85">
            <v>21527.594386550976</v>
          </cell>
          <cell r="O85"/>
          <cell r="P85"/>
          <cell r="Q85">
            <v>23263.224133368116</v>
          </cell>
          <cell r="R85"/>
          <cell r="S85"/>
          <cell r="T85">
            <v>25312.44232635379</v>
          </cell>
          <cell r="U85"/>
          <cell r="V85"/>
          <cell r="W85">
            <v>25436.229146856665</v>
          </cell>
          <cell r="X85"/>
          <cell r="Y85"/>
          <cell r="Z85">
            <v>19855.16502279793</v>
          </cell>
          <cell r="AA85"/>
          <cell r="AB85"/>
          <cell r="AC85">
            <v>22053.079272832372</v>
          </cell>
          <cell r="AD85"/>
          <cell r="AE85"/>
          <cell r="AF85">
            <v>23389.298650948789</v>
          </cell>
          <cell r="AG85"/>
          <cell r="AH85"/>
          <cell r="AI85">
            <v>25385.640479683381</v>
          </cell>
          <cell r="AJ85"/>
          <cell r="AK85"/>
          <cell r="AL85">
            <v>22562.886065061215</v>
          </cell>
          <cell r="AM85"/>
          <cell r="AN85"/>
          <cell r="AO85">
            <v>21008.536535622563</v>
          </cell>
        </row>
        <row r="86">
          <cell r="A86" t="str">
            <v>Véhicules neufsAUTRES REVENUS</v>
          </cell>
          <cell r="C86"/>
          <cell r="D86"/>
          <cell r="E86">
            <v>883808.34712817729</v>
          </cell>
          <cell r="F86"/>
          <cell r="G86"/>
          <cell r="H86">
            <v>46496.169270010942</v>
          </cell>
          <cell r="I86"/>
          <cell r="J86"/>
          <cell r="K86">
            <v>37818.249052142324</v>
          </cell>
          <cell r="L86"/>
          <cell r="M86"/>
          <cell r="N86">
            <v>75557.438639248197</v>
          </cell>
          <cell r="O86"/>
          <cell r="P86"/>
          <cell r="Q86">
            <v>80939.632838722377</v>
          </cell>
          <cell r="R86"/>
          <cell r="S86"/>
          <cell r="T86">
            <v>87957.23080782473</v>
          </cell>
          <cell r="U86"/>
          <cell r="V86"/>
          <cell r="W86">
            <v>88397.32752090646</v>
          </cell>
          <cell r="X86"/>
          <cell r="Y86"/>
          <cell r="Z86">
            <v>69014.351254809357</v>
          </cell>
          <cell r="AA86"/>
          <cell r="AB86"/>
          <cell r="AC86">
            <v>76643.537806685621</v>
          </cell>
          <cell r="AD86"/>
          <cell r="AE86"/>
          <cell r="AF86">
            <v>81281.723868308123</v>
          </cell>
          <cell r="AG86"/>
          <cell r="AH86"/>
          <cell r="AI86">
            <v>88246.445473159401</v>
          </cell>
          <cell r="AJ86"/>
          <cell r="AK86"/>
          <cell r="AL86">
            <v>78441.728795516145</v>
          </cell>
          <cell r="AM86"/>
          <cell r="AN86"/>
          <cell r="AO86">
            <v>73014.511800843684</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583941.82163484604</v>
          </cell>
          <cell r="F88"/>
          <cell r="G88"/>
          <cell r="H88">
            <v>1986.853561980708</v>
          </cell>
          <cell r="I88"/>
          <cell r="J88"/>
          <cell r="K88">
            <v>-13835.575159737396</v>
          </cell>
          <cell r="L88"/>
          <cell r="M88"/>
          <cell r="N88">
            <v>50463.194663873321</v>
          </cell>
          <cell r="O88"/>
          <cell r="P88"/>
          <cell r="Q88">
            <v>58769.951360992593</v>
          </cell>
          <cell r="R88"/>
          <cell r="S88"/>
          <cell r="T88">
            <v>71891.18100896664</v>
          </cell>
          <cell r="U88"/>
          <cell r="V88"/>
          <cell r="W88">
            <v>74342.458288699127</v>
          </cell>
          <cell r="X88"/>
          <cell r="Y88"/>
          <cell r="Z88">
            <v>39064.807580143271</v>
          </cell>
          <cell r="AA88"/>
          <cell r="AB88"/>
          <cell r="AC88">
            <v>54165.257191408993</v>
          </cell>
          <cell r="AD88"/>
          <cell r="AE88"/>
          <cell r="AF88">
            <v>63124.677992897923</v>
          </cell>
          <cell r="AG88"/>
          <cell r="AH88"/>
          <cell r="AI88">
            <v>76831.512545575883</v>
          </cell>
          <cell r="AJ88"/>
          <cell r="AK88"/>
          <cell r="AL88">
            <v>57973.181342415322</v>
          </cell>
          <cell r="AM88"/>
          <cell r="AN88"/>
          <cell r="AO88">
            <v>49164.321257629999</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t="str">
            <v>TOTAL</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24365172.413793102</v>
          </cell>
          <cell r="F96"/>
          <cell r="G96"/>
          <cell r="H96">
            <v>1218258.6206896552</v>
          </cell>
          <cell r="I96"/>
          <cell r="J96"/>
          <cell r="K96">
            <v>1461910.3448275863</v>
          </cell>
          <cell r="L96"/>
          <cell r="M96"/>
          <cell r="N96">
            <v>2192865.5172413792</v>
          </cell>
          <cell r="O96"/>
          <cell r="P96"/>
          <cell r="Q96">
            <v>2436517.2413793104</v>
          </cell>
          <cell r="R96"/>
          <cell r="S96"/>
          <cell r="T96">
            <v>2436517.2413793104</v>
          </cell>
          <cell r="U96"/>
          <cell r="V96"/>
          <cell r="W96">
            <v>2436517.2413793104</v>
          </cell>
          <cell r="X96"/>
          <cell r="Y96"/>
          <cell r="Z96">
            <v>2192865.5172413792</v>
          </cell>
          <cell r="AA96"/>
          <cell r="AB96"/>
          <cell r="AC96">
            <v>2192865.5172413792</v>
          </cell>
          <cell r="AD96"/>
          <cell r="AE96"/>
          <cell r="AF96">
            <v>2192865.5172413792</v>
          </cell>
          <cell r="AG96"/>
          <cell r="AH96"/>
          <cell r="AI96">
            <v>2192865.5172413792</v>
          </cell>
          <cell r="AJ96"/>
          <cell r="AK96"/>
          <cell r="AL96">
            <v>1949213.7931034483</v>
          </cell>
          <cell r="AM96"/>
          <cell r="AN96"/>
          <cell r="AO96">
            <v>1461910.3448275863</v>
          </cell>
        </row>
        <row r="97">
          <cell r="A97" t="str">
            <v>Véhicules usagésCertifié</v>
          </cell>
          <cell r="C97">
            <v>76.000000000000014</v>
          </cell>
          <cell r="D97">
            <v>1199.9999999999998</v>
          </cell>
          <cell r="E97">
            <v>91200</v>
          </cell>
          <cell r="F97">
            <v>3.8000000000000003</v>
          </cell>
          <cell r="G97">
            <v>1200</v>
          </cell>
          <cell r="H97">
            <v>4560</v>
          </cell>
          <cell r="I97">
            <v>4.5599999999999996</v>
          </cell>
          <cell r="J97">
            <v>1200</v>
          </cell>
          <cell r="K97">
            <v>5471.9999999999991</v>
          </cell>
          <cell r="L97">
            <v>6.84</v>
          </cell>
          <cell r="M97">
            <v>1200</v>
          </cell>
          <cell r="N97">
            <v>8208</v>
          </cell>
          <cell r="O97">
            <v>7.6000000000000005</v>
          </cell>
          <cell r="P97">
            <v>1200</v>
          </cell>
          <cell r="Q97">
            <v>9120</v>
          </cell>
          <cell r="R97">
            <v>7.6000000000000005</v>
          </cell>
          <cell r="S97">
            <v>1200</v>
          </cell>
          <cell r="T97">
            <v>9120</v>
          </cell>
          <cell r="U97">
            <v>7.6000000000000005</v>
          </cell>
          <cell r="V97">
            <v>1200</v>
          </cell>
          <cell r="W97">
            <v>9120</v>
          </cell>
          <cell r="X97">
            <v>6.84</v>
          </cell>
          <cell r="Y97">
            <v>1200</v>
          </cell>
          <cell r="Z97">
            <v>8208</v>
          </cell>
          <cell r="AA97">
            <v>6.84</v>
          </cell>
          <cell r="AB97">
            <v>1200</v>
          </cell>
          <cell r="AC97">
            <v>8208</v>
          </cell>
          <cell r="AD97">
            <v>6.84</v>
          </cell>
          <cell r="AE97">
            <v>1200</v>
          </cell>
          <cell r="AF97">
            <v>8208</v>
          </cell>
          <cell r="AG97">
            <v>6.84</v>
          </cell>
          <cell r="AH97">
            <v>1200</v>
          </cell>
          <cell r="AI97">
            <v>8208</v>
          </cell>
          <cell r="AJ97">
            <v>6.08</v>
          </cell>
          <cell r="AK97">
            <v>1200</v>
          </cell>
          <cell r="AL97">
            <v>7296</v>
          </cell>
          <cell r="AM97">
            <v>4.5599999999999996</v>
          </cell>
          <cell r="AN97">
            <v>1200</v>
          </cell>
          <cell r="AO97">
            <v>5471.9999999999991</v>
          </cell>
        </row>
        <row r="98">
          <cell r="A98" t="str">
            <v>Véhicules usagésNon Certifié</v>
          </cell>
          <cell r="C98">
            <v>31.999999999999993</v>
          </cell>
          <cell r="D98">
            <v>1500.0000000000002</v>
          </cell>
          <cell r="E98">
            <v>48000</v>
          </cell>
          <cell r="F98">
            <v>1.6</v>
          </cell>
          <cell r="G98">
            <v>1500</v>
          </cell>
          <cell r="H98">
            <v>2400</v>
          </cell>
          <cell r="I98">
            <v>1.92</v>
          </cell>
          <cell r="J98">
            <v>1500</v>
          </cell>
          <cell r="K98">
            <v>2880</v>
          </cell>
          <cell r="L98">
            <v>2.88</v>
          </cell>
          <cell r="M98">
            <v>1500</v>
          </cell>
          <cell r="N98">
            <v>4320</v>
          </cell>
          <cell r="O98">
            <v>3.2</v>
          </cell>
          <cell r="P98">
            <v>1500</v>
          </cell>
          <cell r="Q98">
            <v>4800</v>
          </cell>
          <cell r="R98">
            <v>3.2</v>
          </cell>
          <cell r="S98">
            <v>1500</v>
          </cell>
          <cell r="T98">
            <v>4800</v>
          </cell>
          <cell r="U98">
            <v>3.2</v>
          </cell>
          <cell r="V98">
            <v>1500</v>
          </cell>
          <cell r="W98">
            <v>4800</v>
          </cell>
          <cell r="X98">
            <v>2.88</v>
          </cell>
          <cell r="Y98">
            <v>1500</v>
          </cell>
          <cell r="Z98">
            <v>4320</v>
          </cell>
          <cell r="AA98">
            <v>2.88</v>
          </cell>
          <cell r="AB98">
            <v>1500</v>
          </cell>
          <cell r="AC98">
            <v>4320</v>
          </cell>
          <cell r="AD98">
            <v>2.88</v>
          </cell>
          <cell r="AE98">
            <v>1500</v>
          </cell>
          <cell r="AF98">
            <v>4320</v>
          </cell>
          <cell r="AG98">
            <v>2.88</v>
          </cell>
          <cell r="AH98">
            <v>1500</v>
          </cell>
          <cell r="AI98">
            <v>4320</v>
          </cell>
          <cell r="AJ98">
            <v>2.56</v>
          </cell>
          <cell r="AK98">
            <v>1500</v>
          </cell>
          <cell r="AL98">
            <v>3840</v>
          </cell>
          <cell r="AM98">
            <v>1.92</v>
          </cell>
          <cell r="AN98">
            <v>1500</v>
          </cell>
          <cell r="AO98">
            <v>2880</v>
          </cell>
        </row>
        <row r="99">
          <cell r="A99" t="str">
            <v>Véhicules usagésTotal Usagés</v>
          </cell>
          <cell r="C99">
            <v>108</v>
          </cell>
          <cell r="D99">
            <v>1288.8888888888889</v>
          </cell>
          <cell r="E99">
            <v>139200</v>
          </cell>
          <cell r="F99">
            <v>5.4</v>
          </cell>
          <cell r="G99">
            <v>1288.8888888888889</v>
          </cell>
          <cell r="H99">
            <v>6960</v>
          </cell>
          <cell r="I99">
            <v>6.4799999999999995</v>
          </cell>
          <cell r="J99">
            <v>1288.8888888888889</v>
          </cell>
          <cell r="K99">
            <v>8352</v>
          </cell>
          <cell r="L99">
            <v>9.7199999999999989</v>
          </cell>
          <cell r="M99">
            <v>1288.8888888888891</v>
          </cell>
          <cell r="N99">
            <v>12528</v>
          </cell>
          <cell r="O99">
            <v>10.8</v>
          </cell>
          <cell r="P99">
            <v>1288.8888888888889</v>
          </cell>
          <cell r="Q99">
            <v>13920</v>
          </cell>
          <cell r="R99">
            <v>10.8</v>
          </cell>
          <cell r="S99">
            <v>1288.8888888888889</v>
          </cell>
          <cell r="T99">
            <v>13920</v>
          </cell>
          <cell r="U99">
            <v>10.8</v>
          </cell>
          <cell r="V99">
            <v>1288.8888888888889</v>
          </cell>
          <cell r="W99">
            <v>13920</v>
          </cell>
          <cell r="X99">
            <v>9.7199999999999989</v>
          </cell>
          <cell r="Y99">
            <v>1288.8888888888891</v>
          </cell>
          <cell r="Z99">
            <v>12528</v>
          </cell>
          <cell r="AA99">
            <v>9.7199999999999989</v>
          </cell>
          <cell r="AB99">
            <v>1288.8888888888891</v>
          </cell>
          <cell r="AC99">
            <v>12528</v>
          </cell>
          <cell r="AD99">
            <v>9.7199999999999989</v>
          </cell>
          <cell r="AE99">
            <v>1288.8888888888891</v>
          </cell>
          <cell r="AF99">
            <v>12528</v>
          </cell>
          <cell r="AG99">
            <v>9.7199999999999989</v>
          </cell>
          <cell r="AH99">
            <v>1288.8888888888891</v>
          </cell>
          <cell r="AI99">
            <v>12528</v>
          </cell>
          <cell r="AJ99">
            <v>8.64</v>
          </cell>
          <cell r="AK99">
            <v>1288.8888888888889</v>
          </cell>
          <cell r="AL99">
            <v>11136</v>
          </cell>
          <cell r="AM99">
            <v>6.4799999999999995</v>
          </cell>
          <cell r="AN99">
            <v>1288.8888888888889</v>
          </cell>
          <cell r="AO99">
            <v>8352</v>
          </cell>
        </row>
        <row r="100">
          <cell r="A100" t="str">
            <v>Véhicules usagés</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usagésVentes au Gros</v>
          </cell>
          <cell r="C102">
            <v>479.99999999999994</v>
          </cell>
          <cell r="D102">
            <v>500.00000000000006</v>
          </cell>
          <cell r="E102">
            <v>240000</v>
          </cell>
          <cell r="F102">
            <v>24</v>
          </cell>
          <cell r="G102">
            <v>500</v>
          </cell>
          <cell r="H102">
            <v>12000</v>
          </cell>
          <cell r="I102">
            <v>28.799999999999997</v>
          </cell>
          <cell r="J102">
            <v>500</v>
          </cell>
          <cell r="K102">
            <v>14399.999999999998</v>
          </cell>
          <cell r="L102">
            <v>43.199999999999996</v>
          </cell>
          <cell r="M102">
            <v>499.99999999999994</v>
          </cell>
          <cell r="N102">
            <v>21599.999999999996</v>
          </cell>
          <cell r="O102">
            <v>48</v>
          </cell>
          <cell r="P102">
            <v>500</v>
          </cell>
          <cell r="Q102">
            <v>24000</v>
          </cell>
          <cell r="R102">
            <v>48</v>
          </cell>
          <cell r="S102">
            <v>500</v>
          </cell>
          <cell r="T102">
            <v>24000</v>
          </cell>
          <cell r="U102">
            <v>48</v>
          </cell>
          <cell r="V102">
            <v>500</v>
          </cell>
          <cell r="W102">
            <v>24000</v>
          </cell>
          <cell r="X102">
            <v>43.199999999999996</v>
          </cell>
          <cell r="Y102">
            <v>499.99999999999994</v>
          </cell>
          <cell r="Z102">
            <v>21599.999999999996</v>
          </cell>
          <cell r="AA102">
            <v>43.199999999999996</v>
          </cell>
          <cell r="AB102">
            <v>499.99999999999994</v>
          </cell>
          <cell r="AC102">
            <v>21599.999999999996</v>
          </cell>
          <cell r="AD102">
            <v>43.199999999999996</v>
          </cell>
          <cell r="AE102">
            <v>499.99999999999994</v>
          </cell>
          <cell r="AF102">
            <v>21599.999999999996</v>
          </cell>
          <cell r="AG102">
            <v>43.199999999999996</v>
          </cell>
          <cell r="AH102">
            <v>499.99999999999994</v>
          </cell>
          <cell r="AI102">
            <v>21599.999999999996</v>
          </cell>
          <cell r="AJ102">
            <v>38.4</v>
          </cell>
          <cell r="AK102">
            <v>500</v>
          </cell>
          <cell r="AL102">
            <v>19200</v>
          </cell>
          <cell r="AM102">
            <v>28.799999999999997</v>
          </cell>
          <cell r="AN102">
            <v>500</v>
          </cell>
          <cell r="AO102">
            <v>14399.999999999998</v>
          </cell>
        </row>
        <row r="103">
          <cell r="A103" t="str">
            <v>Véhicules usagés</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row>
        <row r="104">
          <cell r="A104" t="str">
            <v>Véhicules usagésRev. Finances</v>
          </cell>
          <cell r="C104"/>
          <cell r="D104">
            <v>280.25</v>
          </cell>
          <cell r="E104">
            <v>30267</v>
          </cell>
          <cell r="F104"/>
          <cell r="G104">
            <v>280.25</v>
          </cell>
          <cell r="H104">
            <v>1513.3500000000001</v>
          </cell>
          <cell r="I104"/>
          <cell r="J104">
            <v>280.25</v>
          </cell>
          <cell r="K104">
            <v>1816.02</v>
          </cell>
          <cell r="L104"/>
          <cell r="M104">
            <v>280.25</v>
          </cell>
          <cell r="N104">
            <v>2724.0299999999997</v>
          </cell>
          <cell r="O104"/>
          <cell r="P104">
            <v>280.25</v>
          </cell>
          <cell r="Q104">
            <v>3026.7000000000003</v>
          </cell>
          <cell r="R104"/>
          <cell r="S104">
            <v>280.25</v>
          </cell>
          <cell r="T104">
            <v>3026.7000000000003</v>
          </cell>
          <cell r="U104"/>
          <cell r="V104">
            <v>280.25</v>
          </cell>
          <cell r="W104">
            <v>3026.7000000000003</v>
          </cell>
          <cell r="X104"/>
          <cell r="Y104">
            <v>280.25</v>
          </cell>
          <cell r="Z104">
            <v>2724.0299999999997</v>
          </cell>
          <cell r="AA104"/>
          <cell r="AB104">
            <v>280.25</v>
          </cell>
          <cell r="AC104">
            <v>2724.0299999999997</v>
          </cell>
          <cell r="AD104"/>
          <cell r="AE104">
            <v>280.25</v>
          </cell>
          <cell r="AF104">
            <v>2724.0299999999997</v>
          </cell>
          <cell r="AG104"/>
          <cell r="AH104">
            <v>280.25</v>
          </cell>
          <cell r="AI104">
            <v>2724.0299999999997</v>
          </cell>
          <cell r="AJ104"/>
          <cell r="AK104">
            <v>280.25</v>
          </cell>
          <cell r="AL104">
            <v>2421.36</v>
          </cell>
          <cell r="AM104"/>
          <cell r="AN104">
            <v>280.25</v>
          </cell>
          <cell r="AO104">
            <v>1816.02</v>
          </cell>
        </row>
        <row r="105">
          <cell r="A105" t="str">
            <v>Véhicules usagésRev. Protections</v>
          </cell>
          <cell r="C105"/>
          <cell r="D105">
            <v>1003.0000000000001</v>
          </cell>
          <cell r="E105">
            <v>108324.00000000001</v>
          </cell>
          <cell r="F105"/>
          <cell r="G105">
            <v>1003.0000000000001</v>
          </cell>
          <cell r="H105">
            <v>5416.2000000000007</v>
          </cell>
          <cell r="I105"/>
          <cell r="J105">
            <v>1003.0000000000001</v>
          </cell>
          <cell r="K105">
            <v>6499.4400000000005</v>
          </cell>
          <cell r="L105"/>
          <cell r="M105">
            <v>1003.0000000000001</v>
          </cell>
          <cell r="N105">
            <v>9749.16</v>
          </cell>
          <cell r="O105"/>
          <cell r="P105">
            <v>1003.0000000000001</v>
          </cell>
          <cell r="Q105">
            <v>10832.400000000001</v>
          </cell>
          <cell r="R105"/>
          <cell r="S105">
            <v>1003.0000000000001</v>
          </cell>
          <cell r="T105">
            <v>10832.400000000001</v>
          </cell>
          <cell r="U105"/>
          <cell r="V105">
            <v>1003.0000000000001</v>
          </cell>
          <cell r="W105">
            <v>10832.400000000001</v>
          </cell>
          <cell r="X105"/>
          <cell r="Y105">
            <v>1003.0000000000001</v>
          </cell>
          <cell r="Z105">
            <v>9749.16</v>
          </cell>
          <cell r="AA105"/>
          <cell r="AB105">
            <v>1003.0000000000001</v>
          </cell>
          <cell r="AC105">
            <v>9749.16</v>
          </cell>
          <cell r="AD105"/>
          <cell r="AE105">
            <v>1003.0000000000001</v>
          </cell>
          <cell r="AF105">
            <v>9749.16</v>
          </cell>
          <cell r="AG105"/>
          <cell r="AH105">
            <v>1003.0000000000001</v>
          </cell>
          <cell r="AI105">
            <v>9749.16</v>
          </cell>
          <cell r="AJ105"/>
          <cell r="AK105">
            <v>1003.0000000000001</v>
          </cell>
          <cell r="AL105">
            <v>8665.9200000000019</v>
          </cell>
          <cell r="AM105"/>
          <cell r="AN105">
            <v>1003.0000000000001</v>
          </cell>
          <cell r="AO105">
            <v>6499.4400000000005</v>
          </cell>
        </row>
        <row r="106">
          <cell r="A106" t="str">
            <v>Véhicules usagésRev. Autres</v>
          </cell>
          <cell r="C106"/>
          <cell r="D106">
            <v>191.75</v>
          </cell>
          <cell r="E106">
            <v>20709</v>
          </cell>
          <cell r="F106"/>
          <cell r="G106">
            <v>191.75</v>
          </cell>
          <cell r="H106">
            <v>1035.45</v>
          </cell>
          <cell r="I106"/>
          <cell r="J106">
            <v>191.75</v>
          </cell>
          <cell r="K106">
            <v>1242.54</v>
          </cell>
          <cell r="L106"/>
          <cell r="M106">
            <v>191.75</v>
          </cell>
          <cell r="N106">
            <v>1863.8099999999997</v>
          </cell>
          <cell r="O106"/>
          <cell r="P106">
            <v>191.75</v>
          </cell>
          <cell r="Q106">
            <v>2070.9</v>
          </cell>
          <cell r="R106"/>
          <cell r="S106">
            <v>191.75</v>
          </cell>
          <cell r="T106">
            <v>2070.9</v>
          </cell>
          <cell r="U106"/>
          <cell r="V106">
            <v>191.75</v>
          </cell>
          <cell r="W106">
            <v>2070.9</v>
          </cell>
          <cell r="X106"/>
          <cell r="Y106">
            <v>191.75</v>
          </cell>
          <cell r="Z106">
            <v>1863.8099999999997</v>
          </cell>
          <cell r="AA106"/>
          <cell r="AB106">
            <v>191.75</v>
          </cell>
          <cell r="AC106">
            <v>1863.8099999999997</v>
          </cell>
          <cell r="AD106"/>
          <cell r="AE106">
            <v>191.75</v>
          </cell>
          <cell r="AF106">
            <v>1863.8099999999997</v>
          </cell>
          <cell r="AG106"/>
          <cell r="AH106">
            <v>191.75</v>
          </cell>
          <cell r="AI106">
            <v>1863.8099999999997</v>
          </cell>
          <cell r="AJ106"/>
          <cell r="AK106">
            <v>191.75</v>
          </cell>
          <cell r="AL106">
            <v>1656.72</v>
          </cell>
          <cell r="AM106"/>
          <cell r="AN106">
            <v>191.75</v>
          </cell>
          <cell r="AO106">
            <v>1242.54</v>
          </cell>
        </row>
        <row r="107">
          <cell r="A107" t="str">
            <v>Véhicules usagésTotal F&amp;I</v>
          </cell>
          <cell r="C107">
            <v>108</v>
          </cell>
          <cell r="D107">
            <v>1475</v>
          </cell>
          <cell r="E107">
            <v>159300</v>
          </cell>
          <cell r="F107">
            <v>5.4</v>
          </cell>
          <cell r="G107">
            <v>1475</v>
          </cell>
          <cell r="H107">
            <v>7965.0000000000009</v>
          </cell>
          <cell r="I107">
            <v>6.4799999999999995</v>
          </cell>
          <cell r="J107">
            <v>1475</v>
          </cell>
          <cell r="K107">
            <v>9558</v>
          </cell>
          <cell r="L107">
            <v>9.7199999999999989</v>
          </cell>
          <cell r="M107">
            <v>1475</v>
          </cell>
          <cell r="N107">
            <v>14336.999999999998</v>
          </cell>
          <cell r="O107">
            <v>10.8</v>
          </cell>
          <cell r="P107">
            <v>1475</v>
          </cell>
          <cell r="Q107">
            <v>15930.000000000002</v>
          </cell>
          <cell r="R107">
            <v>10.8</v>
          </cell>
          <cell r="S107">
            <v>1475</v>
          </cell>
          <cell r="T107">
            <v>15930.000000000002</v>
          </cell>
          <cell r="U107">
            <v>10.8</v>
          </cell>
          <cell r="V107">
            <v>1475</v>
          </cell>
          <cell r="W107">
            <v>15930.000000000002</v>
          </cell>
          <cell r="X107">
            <v>9.7199999999999989</v>
          </cell>
          <cell r="Y107">
            <v>1475</v>
          </cell>
          <cell r="Z107">
            <v>14336.999999999998</v>
          </cell>
          <cell r="AA107">
            <v>9.7199999999999989</v>
          </cell>
          <cell r="AB107">
            <v>1475</v>
          </cell>
          <cell r="AC107">
            <v>14336.999999999998</v>
          </cell>
          <cell r="AD107">
            <v>9.7199999999999989</v>
          </cell>
          <cell r="AE107">
            <v>1475</v>
          </cell>
          <cell r="AF107">
            <v>14336.999999999998</v>
          </cell>
          <cell r="AG107">
            <v>9.7199999999999989</v>
          </cell>
          <cell r="AH107">
            <v>1475</v>
          </cell>
          <cell r="AI107">
            <v>14336.999999999998</v>
          </cell>
          <cell r="AJ107">
            <v>8.64</v>
          </cell>
          <cell r="AK107">
            <v>1475</v>
          </cell>
          <cell r="AL107">
            <v>12744.000000000002</v>
          </cell>
          <cell r="AM107">
            <v>6.4799999999999995</v>
          </cell>
          <cell r="AN107">
            <v>1475</v>
          </cell>
          <cell r="AO107">
            <v>9558</v>
          </cell>
        </row>
        <row r="108">
          <cell r="A108" t="str">
            <v>Véhicules usagés</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usagésTotal Dépt. Usagés</v>
          </cell>
          <cell r="C110">
            <v>588</v>
          </cell>
          <cell r="D110">
            <v>915.81632653061229</v>
          </cell>
          <cell r="E110">
            <v>538500</v>
          </cell>
          <cell r="F110">
            <v>29.4</v>
          </cell>
          <cell r="G110">
            <v>915.81632653061229</v>
          </cell>
          <cell r="H110">
            <v>26925</v>
          </cell>
          <cell r="I110">
            <v>35.279999999999994</v>
          </cell>
          <cell r="J110">
            <v>915.8163265306124</v>
          </cell>
          <cell r="K110">
            <v>32310</v>
          </cell>
          <cell r="L110">
            <v>52.919999999999995</v>
          </cell>
          <cell r="M110">
            <v>915.81632653061229</v>
          </cell>
          <cell r="N110">
            <v>48465</v>
          </cell>
          <cell r="O110">
            <v>58.8</v>
          </cell>
          <cell r="P110">
            <v>915.81632653061229</v>
          </cell>
          <cell r="Q110">
            <v>53850</v>
          </cell>
          <cell r="R110">
            <v>58.8</v>
          </cell>
          <cell r="S110">
            <v>915.81632653061229</v>
          </cell>
          <cell r="T110">
            <v>53850</v>
          </cell>
          <cell r="U110">
            <v>58.8</v>
          </cell>
          <cell r="V110">
            <v>915.81632653061229</v>
          </cell>
          <cell r="W110">
            <v>53850</v>
          </cell>
          <cell r="X110">
            <v>52.919999999999995</v>
          </cell>
          <cell r="Y110">
            <v>915.81632653061229</v>
          </cell>
          <cell r="Z110">
            <v>48465</v>
          </cell>
          <cell r="AA110">
            <v>52.919999999999995</v>
          </cell>
          <cell r="AB110">
            <v>915.81632653061229</v>
          </cell>
          <cell r="AC110">
            <v>48465</v>
          </cell>
          <cell r="AD110">
            <v>52.919999999999995</v>
          </cell>
          <cell r="AE110">
            <v>915.81632653061229</v>
          </cell>
          <cell r="AF110">
            <v>48465</v>
          </cell>
          <cell r="AG110">
            <v>52.919999999999995</v>
          </cell>
          <cell r="AH110">
            <v>915.81632653061229</v>
          </cell>
          <cell r="AI110">
            <v>48465</v>
          </cell>
          <cell r="AJ110">
            <v>47.04</v>
          </cell>
          <cell r="AK110">
            <v>915.81632653061229</v>
          </cell>
          <cell r="AL110">
            <v>43080</v>
          </cell>
          <cell r="AM110">
            <v>35.279999999999994</v>
          </cell>
          <cell r="AN110">
            <v>915.8163265306124</v>
          </cell>
          <cell r="AO110">
            <v>32310</v>
          </cell>
        </row>
        <row r="111">
          <cell r="A111" t="str">
            <v>Véhicules usagés</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usagésDEPENSES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usagésComm. vendeurs</v>
          </cell>
          <cell r="C114">
            <v>0.3312638225745636</v>
          </cell>
          <cell r="D114">
            <v>426.96226020721537</v>
          </cell>
          <cell r="E114">
            <v>46111.924102379257</v>
          </cell>
          <cell r="F114"/>
          <cell r="G114">
            <v>491.54114599106612</v>
          </cell>
          <cell r="H114">
            <v>2654.3221883517572</v>
          </cell>
          <cell r="I114"/>
          <cell r="J114">
            <v>457.4904295783204</v>
          </cell>
          <cell r="K114">
            <v>2964.5379836675161</v>
          </cell>
          <cell r="L114"/>
          <cell r="M114">
            <v>424.06281869549809</v>
          </cell>
          <cell r="N114">
            <v>4121.8905977202412</v>
          </cell>
          <cell r="O114"/>
          <cell r="P114">
            <v>406.88168410664417</v>
          </cell>
          <cell r="Q114">
            <v>4394.3221883517572</v>
          </cell>
          <cell r="R114"/>
          <cell r="S114">
            <v>410.38022157740727</v>
          </cell>
          <cell r="T114">
            <v>4432.1063930359987</v>
          </cell>
          <cell r="U114"/>
          <cell r="V114">
            <v>410.38022157740727</v>
          </cell>
          <cell r="W114">
            <v>4432.1063930359987</v>
          </cell>
          <cell r="X114"/>
          <cell r="Y114">
            <v>420.17555483909462</v>
          </cell>
          <cell r="Z114">
            <v>4084.1063930359992</v>
          </cell>
          <cell r="AA114"/>
          <cell r="AB114">
            <v>420.17555483909462</v>
          </cell>
          <cell r="AC114">
            <v>4084.1063930359992</v>
          </cell>
          <cell r="AD114"/>
          <cell r="AE114">
            <v>420.17555483909462</v>
          </cell>
          <cell r="AF114">
            <v>4084.1063930359992</v>
          </cell>
          <cell r="AG114"/>
          <cell r="AH114">
            <v>416.28829098269114</v>
          </cell>
          <cell r="AI114">
            <v>4046.3221883517576</v>
          </cell>
          <cell r="AJ114"/>
          <cell r="AK114">
            <v>432.41972141620357</v>
          </cell>
          <cell r="AL114">
            <v>3736.1063930359992</v>
          </cell>
          <cell r="AM114"/>
          <cell r="AN114">
            <v>474.983116932136</v>
          </cell>
          <cell r="AO114">
            <v>3077.8905977202412</v>
          </cell>
        </row>
        <row r="115">
          <cell r="A115" t="str">
            <v>Véhicules usagésComm. F&amp;I</v>
          </cell>
          <cell r="C115">
            <v>0.25</v>
          </cell>
          <cell r="D115">
            <v>368.75</v>
          </cell>
          <cell r="E115">
            <v>39825</v>
          </cell>
          <cell r="F115"/>
          <cell r="G115">
            <v>368.75</v>
          </cell>
          <cell r="H115">
            <v>1991.2500000000002</v>
          </cell>
          <cell r="I115"/>
          <cell r="J115">
            <v>368.75</v>
          </cell>
          <cell r="K115">
            <v>2389.5</v>
          </cell>
          <cell r="L115"/>
          <cell r="M115">
            <v>368.75</v>
          </cell>
          <cell r="N115">
            <v>3584.2499999999995</v>
          </cell>
          <cell r="O115"/>
          <cell r="P115">
            <v>368.75</v>
          </cell>
          <cell r="Q115">
            <v>3982.5000000000005</v>
          </cell>
          <cell r="R115"/>
          <cell r="S115">
            <v>368.75</v>
          </cell>
          <cell r="T115">
            <v>3982.5000000000005</v>
          </cell>
          <cell r="U115"/>
          <cell r="V115">
            <v>368.75</v>
          </cell>
          <cell r="W115">
            <v>3982.5000000000005</v>
          </cell>
          <cell r="X115"/>
          <cell r="Y115">
            <v>368.75</v>
          </cell>
          <cell r="Z115">
            <v>3584.2499999999995</v>
          </cell>
          <cell r="AA115"/>
          <cell r="AB115">
            <v>368.75</v>
          </cell>
          <cell r="AC115">
            <v>3584.2499999999995</v>
          </cell>
          <cell r="AD115"/>
          <cell r="AE115">
            <v>368.75</v>
          </cell>
          <cell r="AF115">
            <v>3584.2499999999995</v>
          </cell>
          <cell r="AG115"/>
          <cell r="AH115">
            <v>368.75</v>
          </cell>
          <cell r="AI115">
            <v>3584.2499999999995</v>
          </cell>
          <cell r="AJ115"/>
          <cell r="AK115">
            <v>368.75</v>
          </cell>
          <cell r="AL115">
            <v>3186.0000000000005</v>
          </cell>
          <cell r="AM115"/>
          <cell r="AN115">
            <v>368.75</v>
          </cell>
          <cell r="AO115">
            <v>2389.5</v>
          </cell>
        </row>
        <row r="116">
          <cell r="A116" t="str">
            <v>Véhicules usagésFrais de livraison</v>
          </cell>
          <cell r="C116"/>
          <cell r="D116">
            <v>200</v>
          </cell>
          <cell r="E116">
            <v>21600</v>
          </cell>
          <cell r="F116"/>
          <cell r="G116">
            <v>200</v>
          </cell>
          <cell r="H116">
            <v>1080</v>
          </cell>
          <cell r="I116"/>
          <cell r="J116">
            <v>200.00000000000003</v>
          </cell>
          <cell r="K116">
            <v>1296</v>
          </cell>
          <cell r="L116"/>
          <cell r="M116">
            <v>200</v>
          </cell>
          <cell r="N116">
            <v>1943.9999999999998</v>
          </cell>
          <cell r="O116"/>
          <cell r="P116">
            <v>200</v>
          </cell>
          <cell r="Q116">
            <v>2160</v>
          </cell>
          <cell r="R116"/>
          <cell r="S116">
            <v>200</v>
          </cell>
          <cell r="T116">
            <v>2160</v>
          </cell>
          <cell r="U116"/>
          <cell r="V116">
            <v>200</v>
          </cell>
          <cell r="W116">
            <v>2160</v>
          </cell>
          <cell r="X116"/>
          <cell r="Y116">
            <v>200</v>
          </cell>
          <cell r="Z116">
            <v>1943.9999999999998</v>
          </cell>
          <cell r="AA116"/>
          <cell r="AB116">
            <v>200</v>
          </cell>
          <cell r="AC116">
            <v>1943.9999999999998</v>
          </cell>
          <cell r="AD116"/>
          <cell r="AE116">
            <v>200</v>
          </cell>
          <cell r="AF116">
            <v>1943.9999999999998</v>
          </cell>
          <cell r="AG116"/>
          <cell r="AH116">
            <v>200</v>
          </cell>
          <cell r="AI116">
            <v>1943.9999999999998</v>
          </cell>
          <cell r="AJ116"/>
          <cell r="AK116">
            <v>200</v>
          </cell>
          <cell r="AL116">
            <v>1728</v>
          </cell>
          <cell r="AM116"/>
          <cell r="AN116">
            <v>200.00000000000003</v>
          </cell>
          <cell r="AO116">
            <v>1296</v>
          </cell>
        </row>
        <row r="117">
          <cell r="A117" t="str">
            <v>Véhicules usagésService gratuit 1</v>
          </cell>
          <cell r="C117"/>
          <cell r="D117">
            <v>100</v>
          </cell>
          <cell r="E117">
            <v>10800</v>
          </cell>
          <cell r="F117"/>
          <cell r="G117">
            <v>100</v>
          </cell>
          <cell r="H117">
            <v>540</v>
          </cell>
          <cell r="I117"/>
          <cell r="J117">
            <v>100.00000000000001</v>
          </cell>
          <cell r="K117">
            <v>648</v>
          </cell>
          <cell r="L117"/>
          <cell r="M117">
            <v>100</v>
          </cell>
          <cell r="N117">
            <v>971.99999999999989</v>
          </cell>
          <cell r="O117"/>
          <cell r="P117">
            <v>100</v>
          </cell>
          <cell r="Q117">
            <v>1080</v>
          </cell>
          <cell r="R117"/>
          <cell r="S117">
            <v>100</v>
          </cell>
          <cell r="T117">
            <v>1080</v>
          </cell>
          <cell r="U117"/>
          <cell r="V117">
            <v>100</v>
          </cell>
          <cell r="W117">
            <v>1080</v>
          </cell>
          <cell r="X117"/>
          <cell r="Y117">
            <v>100</v>
          </cell>
          <cell r="Z117">
            <v>971.99999999999989</v>
          </cell>
          <cell r="AA117"/>
          <cell r="AB117">
            <v>100</v>
          </cell>
          <cell r="AC117">
            <v>971.99999999999989</v>
          </cell>
          <cell r="AD117"/>
          <cell r="AE117">
            <v>100</v>
          </cell>
          <cell r="AF117">
            <v>971.99999999999989</v>
          </cell>
          <cell r="AG117"/>
          <cell r="AH117">
            <v>100</v>
          </cell>
          <cell r="AI117">
            <v>971.99999999999989</v>
          </cell>
          <cell r="AJ117"/>
          <cell r="AK117">
            <v>100</v>
          </cell>
          <cell r="AL117">
            <v>864</v>
          </cell>
          <cell r="AM117"/>
          <cell r="AN117">
            <v>100.00000000000001</v>
          </cell>
          <cell r="AO117">
            <v>648</v>
          </cell>
        </row>
        <row r="118">
          <cell r="A118" t="str">
            <v>Véhicules usagésEntretien stock</v>
          </cell>
          <cell r="C118"/>
          <cell r="D118">
            <v>216.00000000000003</v>
          </cell>
          <cell r="E118">
            <v>23328.000000000004</v>
          </cell>
          <cell r="F118"/>
          <cell r="G118">
            <v>216</v>
          </cell>
          <cell r="H118">
            <v>1166.4000000000001</v>
          </cell>
          <cell r="I118"/>
          <cell r="J118">
            <v>216</v>
          </cell>
          <cell r="K118">
            <v>1399.6799999999998</v>
          </cell>
          <cell r="L118"/>
          <cell r="M118">
            <v>215.99999999999997</v>
          </cell>
          <cell r="N118">
            <v>2099.5199999999995</v>
          </cell>
          <cell r="O118"/>
          <cell r="P118">
            <v>216</v>
          </cell>
          <cell r="Q118">
            <v>2332.8000000000002</v>
          </cell>
          <cell r="R118"/>
          <cell r="S118">
            <v>216</v>
          </cell>
          <cell r="T118">
            <v>2332.8000000000002</v>
          </cell>
          <cell r="U118"/>
          <cell r="V118">
            <v>216</v>
          </cell>
          <cell r="W118">
            <v>2332.8000000000002</v>
          </cell>
          <cell r="X118"/>
          <cell r="Y118">
            <v>215.99999999999997</v>
          </cell>
          <cell r="Z118">
            <v>2099.5199999999995</v>
          </cell>
          <cell r="AA118"/>
          <cell r="AB118">
            <v>215.99999999999997</v>
          </cell>
          <cell r="AC118">
            <v>2099.5199999999995</v>
          </cell>
          <cell r="AD118"/>
          <cell r="AE118">
            <v>215.99999999999997</v>
          </cell>
          <cell r="AF118">
            <v>2099.5199999999995</v>
          </cell>
          <cell r="AG118"/>
          <cell r="AH118">
            <v>215.99999999999997</v>
          </cell>
          <cell r="AI118">
            <v>2099.5199999999995</v>
          </cell>
          <cell r="AJ118"/>
          <cell r="AK118">
            <v>216</v>
          </cell>
          <cell r="AL118">
            <v>1866.2400000000002</v>
          </cell>
          <cell r="AM118"/>
          <cell r="AN118">
            <v>216</v>
          </cell>
          <cell r="AO118">
            <v>1399.6799999999998</v>
          </cell>
        </row>
        <row r="119">
          <cell r="A119" t="str">
            <v>Véhicules usagésPublicité 1</v>
          </cell>
          <cell r="C119"/>
          <cell r="D119">
            <v>230.71296296296299</v>
          </cell>
          <cell r="E119">
            <v>24917.000000000004</v>
          </cell>
          <cell r="F119"/>
          <cell r="G119">
            <v>248.44979983383965</v>
          </cell>
          <cell r="H119">
            <v>1341.6289191027342</v>
          </cell>
          <cell r="I119"/>
          <cell r="J119">
            <v>130.18863568941688</v>
          </cell>
          <cell r="K119">
            <v>843.62235926742142</v>
          </cell>
          <cell r="L119"/>
          <cell r="M119">
            <v>211.73152565059198</v>
          </cell>
          <cell r="N119">
            <v>2058.0304293237537</v>
          </cell>
          <cell r="O119"/>
          <cell r="P119">
            <v>203.17796769987953</v>
          </cell>
          <cell r="Q119">
            <v>2194.3220511586992</v>
          </cell>
          <cell r="R119"/>
          <cell r="S119">
            <v>229.88440372788796</v>
          </cell>
          <cell r="T119">
            <v>2482.7515602611902</v>
          </cell>
          <cell r="U119"/>
          <cell r="V119">
            <v>231.49765546173768</v>
          </cell>
          <cell r="W119">
            <v>2500.174678986767</v>
          </cell>
          <cell r="X119"/>
          <cell r="Y119">
            <v>187.51381940138415</v>
          </cell>
          <cell r="Z119">
            <v>1822.6343245814537</v>
          </cell>
          <cell r="AA119"/>
          <cell r="AB119">
            <v>219.34083871945791</v>
          </cell>
          <cell r="AC119">
            <v>2131.9929523531305</v>
          </cell>
          <cell r="AD119"/>
          <cell r="AE119">
            <v>238.69003760646146</v>
          </cell>
          <cell r="AF119">
            <v>2320.0671655348051</v>
          </cell>
          <cell r="AG119"/>
          <cell r="AH119">
            <v>267.59817628731253</v>
          </cell>
          <cell r="AI119">
            <v>2601.0542735126774</v>
          </cell>
          <cell r="AJ119"/>
          <cell r="AK119">
            <v>267.56351481162869</v>
          </cell>
          <cell r="AL119">
            <v>2311.7487679724723</v>
          </cell>
          <cell r="AM119"/>
          <cell r="AN119">
            <v>356.32291943594174</v>
          </cell>
          <cell r="AO119">
            <v>2308.9725179449024</v>
          </cell>
        </row>
        <row r="120">
          <cell r="A120" t="str">
            <v>Véhicules usagésIntérêt de gros</v>
          </cell>
          <cell r="C120"/>
          <cell r="D120">
            <v>509.67155555555553</v>
          </cell>
          <cell r="E120">
            <v>55044.527999999998</v>
          </cell>
          <cell r="F120"/>
          <cell r="G120">
            <v>808.5827037037036</v>
          </cell>
          <cell r="H120">
            <v>4366.3465999999999</v>
          </cell>
          <cell r="I120"/>
          <cell r="J120">
            <v>697.8600308641976</v>
          </cell>
          <cell r="K120">
            <v>4522.1329999999998</v>
          </cell>
          <cell r="L120"/>
          <cell r="M120">
            <v>481.26742798353911</v>
          </cell>
          <cell r="N120">
            <v>4677.9193999999998</v>
          </cell>
          <cell r="O120"/>
          <cell r="P120">
            <v>436.74685185185183</v>
          </cell>
          <cell r="Q120">
            <v>4716.866</v>
          </cell>
          <cell r="R120"/>
          <cell r="S120">
            <v>436.74685185185183</v>
          </cell>
          <cell r="T120">
            <v>4716.866</v>
          </cell>
          <cell r="U120"/>
          <cell r="V120">
            <v>433.14068518518513</v>
          </cell>
          <cell r="W120">
            <v>4677.9193999999998</v>
          </cell>
          <cell r="X120"/>
          <cell r="Y120">
            <v>477.26057613168734</v>
          </cell>
          <cell r="Z120">
            <v>4638.9728000000005</v>
          </cell>
          <cell r="AA120"/>
          <cell r="AB120">
            <v>477.26057613168734</v>
          </cell>
          <cell r="AC120">
            <v>4638.9728000000005</v>
          </cell>
          <cell r="AD120"/>
          <cell r="AE120">
            <v>477.26057613168734</v>
          </cell>
          <cell r="AF120">
            <v>4638.9728000000005</v>
          </cell>
          <cell r="AG120"/>
          <cell r="AH120">
            <v>473.25372427983547</v>
          </cell>
          <cell r="AI120">
            <v>4600.0262000000002</v>
          </cell>
          <cell r="AJ120"/>
          <cell r="AK120">
            <v>518.88731481481477</v>
          </cell>
          <cell r="AL120">
            <v>4483.1863999999996</v>
          </cell>
          <cell r="AM120"/>
          <cell r="AN120">
            <v>673.81891975308645</v>
          </cell>
          <cell r="AO120">
            <v>4366.3465999999999</v>
          </cell>
        </row>
        <row r="121">
          <cell r="A121" t="str">
            <v>Véhicules usagés[...]</v>
          </cell>
          <cell r="C121"/>
          <cell r="D121">
            <v>0</v>
          </cell>
          <cell r="E121">
            <v>0</v>
          </cell>
          <cell r="F121"/>
          <cell r="G121">
            <v>0</v>
          </cell>
          <cell r="H121"/>
          <cell r="I121"/>
          <cell r="J121">
            <v>0</v>
          </cell>
          <cell r="K121"/>
          <cell r="L121"/>
          <cell r="M121">
            <v>0</v>
          </cell>
          <cell r="N121"/>
          <cell r="O121"/>
          <cell r="P121">
            <v>0</v>
          </cell>
          <cell r="Q121"/>
          <cell r="R121"/>
          <cell r="S121">
            <v>0</v>
          </cell>
          <cell r="T121"/>
          <cell r="U121"/>
          <cell r="V121">
            <v>0</v>
          </cell>
          <cell r="W121"/>
          <cell r="X121"/>
          <cell r="Y121">
            <v>0</v>
          </cell>
          <cell r="Z121"/>
          <cell r="AA121"/>
          <cell r="AB121">
            <v>0</v>
          </cell>
          <cell r="AC121"/>
          <cell r="AD121"/>
          <cell r="AE121">
            <v>0</v>
          </cell>
          <cell r="AF121"/>
          <cell r="AG121"/>
          <cell r="AH121">
            <v>0</v>
          </cell>
          <cell r="AI121"/>
          <cell r="AJ121"/>
          <cell r="AK121">
            <v>0</v>
          </cell>
          <cell r="AL121"/>
          <cell r="AM121"/>
          <cell r="AN121">
            <v>0</v>
          </cell>
          <cell r="AO121"/>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usagésTOTAL VARIABLES</v>
          </cell>
          <cell r="C124" t="str">
            <v>% brut</v>
          </cell>
          <cell r="D124">
            <v>0.4115625851483366</v>
          </cell>
          <cell r="E124">
            <v>221626.45210237926</v>
          </cell>
          <cell r="F124" t="str">
            <v>% brut</v>
          </cell>
          <cell r="G124">
            <v>0.48802034196674066</v>
          </cell>
          <cell r="H124">
            <v>13139.947707454492</v>
          </cell>
          <cell r="I124" t="str">
            <v>% brut</v>
          </cell>
          <cell r="J124">
            <v>0.43526689393175294</v>
          </cell>
          <cell r="K124">
            <v>14063.473342934938</v>
          </cell>
          <cell r="L124" t="str">
            <v>% brut</v>
          </cell>
          <cell r="M124">
            <v>0.40147756993797573</v>
          </cell>
          <cell r="N124">
            <v>19457.610427043994</v>
          </cell>
          <cell r="O124" t="str">
            <v>% brut</v>
          </cell>
          <cell r="P124">
            <v>0.3873873767782815</v>
          </cell>
          <cell r="Q124">
            <v>20860.810239510458</v>
          </cell>
          <cell r="R124" t="str">
            <v>% brut</v>
          </cell>
          <cell r="S124">
            <v>0.393445198761322</v>
          </cell>
          <cell r="T124">
            <v>21187.02395329719</v>
          </cell>
          <cell r="U124" t="str">
            <v>% brut</v>
          </cell>
          <cell r="V124">
            <v>0.39304550551574313</v>
          </cell>
          <cell r="W124">
            <v>21165.500472022766</v>
          </cell>
          <cell r="X124" t="str">
            <v>% brut</v>
          </cell>
          <cell r="Y124">
            <v>0.39503731595207775</v>
          </cell>
          <cell r="Z124">
            <v>19145.483517617449</v>
          </cell>
          <cell r="AA124" t="str">
            <v>% brut</v>
          </cell>
          <cell r="AB124">
            <v>0.40142045074567478</v>
          </cell>
          <cell r="AC124">
            <v>19454.842145389128</v>
          </cell>
          <cell r="AD124" t="str">
            <v>% brut</v>
          </cell>
          <cell r="AE124">
            <v>0.40530107002106264</v>
          </cell>
          <cell r="AF124">
            <v>19642.916358570801</v>
          </cell>
          <cell r="AG124" t="str">
            <v>% brut</v>
          </cell>
          <cell r="AH124">
            <v>0.40951558159216822</v>
          </cell>
          <cell r="AI124">
            <v>19847.172661864432</v>
          </cell>
          <cell r="AJ124" t="str">
            <v>% brut</v>
          </cell>
          <cell r="AK124">
            <v>0.42189604366314931</v>
          </cell>
          <cell r="AL124">
            <v>18175.281561008473</v>
          </cell>
          <cell r="AM124" t="str">
            <v>% brut</v>
          </cell>
          <cell r="AN124">
            <v>0.47930639788502455</v>
          </cell>
          <cell r="AO124">
            <v>15486.389715665144</v>
          </cell>
        </row>
        <row r="125">
          <cell r="A125" t="str">
            <v>Véhicules usagésSalaires cadres</v>
          </cell>
          <cell r="C125"/>
          <cell r="D125"/>
          <cell r="E125">
            <v>149522.79999999999</v>
          </cell>
          <cell r="F125"/>
          <cell r="G125"/>
          <cell r="H125">
            <v>12179.420689655171</v>
          </cell>
          <cell r="I125"/>
          <cell r="J125"/>
          <cell r="K125">
            <v>11805.003831417624</v>
          </cell>
          <cell r="L125"/>
          <cell r="M125"/>
          <cell r="N125">
            <v>12928.254406130269</v>
          </cell>
          <cell r="O125"/>
          <cell r="P125"/>
          <cell r="Q125">
            <v>12179.420689655171</v>
          </cell>
          <cell r="R125"/>
          <cell r="S125"/>
          <cell r="T125">
            <v>12553.837547892723</v>
          </cell>
          <cell r="U125"/>
          <cell r="V125"/>
          <cell r="W125">
            <v>12553.837547892723</v>
          </cell>
          <cell r="X125"/>
          <cell r="Y125"/>
          <cell r="Z125">
            <v>12553.837547892723</v>
          </cell>
          <cell r="AA125"/>
          <cell r="AB125"/>
          <cell r="AC125">
            <v>12553.837547892723</v>
          </cell>
          <cell r="AD125"/>
          <cell r="AE125"/>
          <cell r="AF125">
            <v>12553.837547892723</v>
          </cell>
          <cell r="AG125"/>
          <cell r="AH125"/>
          <cell r="AI125">
            <v>12179.420689655171</v>
          </cell>
          <cell r="AJ125"/>
          <cell r="AK125"/>
          <cell r="AL125">
            <v>12553.837547892723</v>
          </cell>
          <cell r="AM125"/>
          <cell r="AN125"/>
          <cell r="AO125">
            <v>12928.254406130269</v>
          </cell>
        </row>
        <row r="126">
          <cell r="A126" t="str">
            <v>Véhicules usagésSalaires commis</v>
          </cell>
          <cell r="C126"/>
          <cell r="D126"/>
          <cell r="E126">
            <v>17408.260000000002</v>
          </cell>
          <cell r="F126"/>
          <cell r="G126"/>
          <cell r="H126">
            <v>1400.6645977011494</v>
          </cell>
          <cell r="I126"/>
          <cell r="J126"/>
          <cell r="K126">
            <v>1333.9662835249042</v>
          </cell>
          <cell r="L126"/>
          <cell r="M126"/>
          <cell r="N126">
            <v>1534.06122605364</v>
          </cell>
          <cell r="O126"/>
          <cell r="P126"/>
          <cell r="Q126">
            <v>1400.6645977011494</v>
          </cell>
          <cell r="R126"/>
          <cell r="S126"/>
          <cell r="T126">
            <v>1467.3629118773947</v>
          </cell>
          <cell r="U126"/>
          <cell r="V126"/>
          <cell r="W126">
            <v>1467.3629118773947</v>
          </cell>
          <cell r="X126"/>
          <cell r="Y126"/>
          <cell r="Z126">
            <v>1467.3629118773947</v>
          </cell>
          <cell r="AA126"/>
          <cell r="AB126"/>
          <cell r="AC126">
            <v>1467.3629118773947</v>
          </cell>
          <cell r="AD126"/>
          <cell r="AE126"/>
          <cell r="AF126">
            <v>1467.3629118773947</v>
          </cell>
          <cell r="AG126"/>
          <cell r="AH126"/>
          <cell r="AI126">
            <v>1400.6645977011494</v>
          </cell>
          <cell r="AJ126"/>
          <cell r="AK126"/>
          <cell r="AL126">
            <v>1467.3629118773947</v>
          </cell>
          <cell r="AM126"/>
          <cell r="AN126"/>
          <cell r="AO126">
            <v>1534.06122605364</v>
          </cell>
        </row>
        <row r="127">
          <cell r="A127" t="str">
            <v>Véhicules usagésSalaires autres</v>
          </cell>
          <cell r="C127"/>
          <cell r="D127"/>
          <cell r="E127">
            <v>35687.032640000005</v>
          </cell>
          <cell r="F127"/>
          <cell r="G127"/>
          <cell r="H127">
            <v>2871.3704422988503</v>
          </cell>
          <cell r="I127"/>
          <cell r="J127"/>
          <cell r="K127">
            <v>2734.6385164750959</v>
          </cell>
          <cell r="L127"/>
          <cell r="M127"/>
          <cell r="N127">
            <v>3144.83429394636</v>
          </cell>
          <cell r="O127"/>
          <cell r="P127"/>
          <cell r="Q127">
            <v>2871.3704422988503</v>
          </cell>
          <cell r="R127"/>
          <cell r="S127"/>
          <cell r="T127">
            <v>3008.1023681226056</v>
          </cell>
          <cell r="U127"/>
          <cell r="V127"/>
          <cell r="W127">
            <v>3008.1023681226056</v>
          </cell>
          <cell r="X127"/>
          <cell r="Y127"/>
          <cell r="Z127">
            <v>3008.1023681226056</v>
          </cell>
          <cell r="AA127"/>
          <cell r="AB127"/>
          <cell r="AC127">
            <v>3008.1023681226056</v>
          </cell>
          <cell r="AD127"/>
          <cell r="AE127"/>
          <cell r="AF127">
            <v>3008.1023681226056</v>
          </cell>
          <cell r="AG127"/>
          <cell r="AH127"/>
          <cell r="AI127">
            <v>2871.3704422988503</v>
          </cell>
          <cell r="AJ127"/>
          <cell r="AK127"/>
          <cell r="AL127">
            <v>3008.1023681226056</v>
          </cell>
          <cell r="AM127"/>
          <cell r="AN127"/>
          <cell r="AO127">
            <v>3144.83429394636</v>
          </cell>
        </row>
        <row r="128">
          <cell r="A128" t="str">
            <v>Véhicules usagésSalaires spécialistes</v>
          </cell>
          <cell r="C128"/>
          <cell r="D128"/>
          <cell r="E128">
            <v>0</v>
          </cell>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row>
        <row r="129">
          <cell r="A129" t="str">
            <v>Véhicules usagés[...]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usagésSalaires en absences</v>
          </cell>
          <cell r="C132"/>
          <cell r="D132"/>
          <cell r="E132">
            <v>30744.633126922286</v>
          </cell>
          <cell r="F132"/>
          <cell r="G132"/>
          <cell r="H132">
            <v>2270.2918836111157</v>
          </cell>
          <cell r="I132"/>
          <cell r="J132"/>
          <cell r="K132">
            <v>2275.3802976567949</v>
          </cell>
          <cell r="L132"/>
          <cell r="M132"/>
          <cell r="N132">
            <v>2694.4325555197579</v>
          </cell>
          <cell r="O132"/>
          <cell r="P132"/>
          <cell r="Q132">
            <v>2632.2231336111158</v>
          </cell>
          <cell r="R132"/>
          <cell r="S132"/>
          <cell r="T132">
            <v>2699.5209695654371</v>
          </cell>
          <cell r="U132"/>
          <cell r="V132"/>
          <cell r="W132">
            <v>2699.5209695654371</v>
          </cell>
          <cell r="X132"/>
          <cell r="Y132"/>
          <cell r="Z132">
            <v>2627.1347195654371</v>
          </cell>
          <cell r="AA132"/>
          <cell r="AB132"/>
          <cell r="AC132">
            <v>2627.1347195654371</v>
          </cell>
          <cell r="AD132"/>
          <cell r="AE132"/>
          <cell r="AF132">
            <v>2627.1347195654371</v>
          </cell>
          <cell r="AG132"/>
          <cell r="AH132"/>
          <cell r="AI132">
            <v>2559.8368836111158</v>
          </cell>
          <cell r="AJ132"/>
          <cell r="AK132"/>
          <cell r="AL132">
            <v>2554.7484695654371</v>
          </cell>
          <cell r="AM132"/>
          <cell r="AN132"/>
          <cell r="AO132">
            <v>2477.2738055197578</v>
          </cell>
        </row>
        <row r="133">
          <cell r="A133" t="str">
            <v>Véhicules usagésDéduction à la source</v>
          </cell>
          <cell r="C133"/>
          <cell r="D133"/>
          <cell r="E133">
            <v>23137.713590364187</v>
          </cell>
          <cell r="F133"/>
          <cell r="G133"/>
          <cell r="H133">
            <v>1708.5701804496025</v>
          </cell>
          <cell r="I133"/>
          <cell r="J133"/>
          <cell r="K133">
            <v>1712.3996054530517</v>
          </cell>
          <cell r="L133"/>
          <cell r="M133"/>
          <cell r="N133">
            <v>2027.768830442704</v>
          </cell>
          <cell r="O133"/>
          <cell r="P133"/>
          <cell r="Q133">
            <v>1980.9514304496024</v>
          </cell>
          <cell r="R133"/>
          <cell r="S133"/>
          <cell r="T133">
            <v>2031.5982554461536</v>
          </cell>
          <cell r="U133"/>
          <cell r="V133"/>
          <cell r="W133">
            <v>2031.5982554461536</v>
          </cell>
          <cell r="X133"/>
          <cell r="Y133"/>
          <cell r="Z133">
            <v>1977.1220054461535</v>
          </cell>
          <cell r="AA133"/>
          <cell r="AB133"/>
          <cell r="AC133">
            <v>1977.1220054461535</v>
          </cell>
          <cell r="AD133"/>
          <cell r="AE133"/>
          <cell r="AF133">
            <v>1977.1220054461535</v>
          </cell>
          <cell r="AG133"/>
          <cell r="AH133"/>
          <cell r="AI133">
            <v>1926.4751804496025</v>
          </cell>
          <cell r="AJ133"/>
          <cell r="AK133"/>
          <cell r="AL133">
            <v>1922.6457554461535</v>
          </cell>
          <cell r="AM133"/>
          <cell r="AN133"/>
          <cell r="AO133">
            <v>1864.3400804427042</v>
          </cell>
        </row>
        <row r="134">
          <cell r="A134" t="str">
            <v>Véhicules usagésBénéfices marginaux</v>
          </cell>
          <cell r="C134"/>
          <cell r="D134"/>
          <cell r="E134">
            <v>35182.002856581174</v>
          </cell>
          <cell r="F134"/>
          <cell r="G134"/>
          <cell r="H134">
            <v>2597.9628771219986</v>
          </cell>
          <cell r="I134"/>
          <cell r="J134"/>
          <cell r="K134">
            <v>2603.7857014423116</v>
          </cell>
          <cell r="L134"/>
          <cell r="M134"/>
          <cell r="N134">
            <v>3083.3197284813723</v>
          </cell>
          <cell r="O134"/>
          <cell r="P134"/>
          <cell r="Q134">
            <v>3012.1316271219985</v>
          </cell>
          <cell r="R134"/>
          <cell r="S134"/>
          <cell r="T134">
            <v>3089.1425528016857</v>
          </cell>
          <cell r="U134"/>
          <cell r="V134"/>
          <cell r="W134">
            <v>3089.1425528016857</v>
          </cell>
          <cell r="X134"/>
          <cell r="Y134"/>
          <cell r="Z134">
            <v>3006.3088028016859</v>
          </cell>
          <cell r="AA134"/>
          <cell r="AB134"/>
          <cell r="AC134">
            <v>3006.3088028016859</v>
          </cell>
          <cell r="AD134"/>
          <cell r="AE134"/>
          <cell r="AF134">
            <v>3006.3088028016859</v>
          </cell>
          <cell r="AG134"/>
          <cell r="AH134"/>
          <cell r="AI134">
            <v>2929.2978771219987</v>
          </cell>
          <cell r="AJ134"/>
          <cell r="AK134"/>
          <cell r="AL134">
            <v>2923.4750528016857</v>
          </cell>
          <cell r="AM134"/>
          <cell r="AN134"/>
          <cell r="AO134">
            <v>2834.818478481372</v>
          </cell>
        </row>
        <row r="135">
          <cell r="A135" t="str">
            <v>Véhicules usagésCsst</v>
          </cell>
          <cell r="C135"/>
          <cell r="D135"/>
          <cell r="E135">
            <v>6339.0996137984093</v>
          </cell>
          <cell r="F135"/>
          <cell r="G135"/>
          <cell r="H135">
            <v>468.10141930126099</v>
          </cell>
          <cell r="I135"/>
          <cell r="J135"/>
          <cell r="K135">
            <v>469.15057683645256</v>
          </cell>
          <cell r="L135"/>
          <cell r="M135"/>
          <cell r="N135">
            <v>555.55310423087792</v>
          </cell>
          <cell r="O135"/>
          <cell r="P135"/>
          <cell r="Q135">
            <v>542.72641930126099</v>
          </cell>
          <cell r="R135"/>
          <cell r="S135"/>
          <cell r="T135">
            <v>556.60226176606955</v>
          </cell>
          <cell r="U135"/>
          <cell r="V135"/>
          <cell r="W135">
            <v>556.60226176606955</v>
          </cell>
          <cell r="X135"/>
          <cell r="Y135"/>
          <cell r="Z135">
            <v>541.67726176606948</v>
          </cell>
          <cell r="AA135"/>
          <cell r="AB135"/>
          <cell r="AC135">
            <v>541.67726176606948</v>
          </cell>
          <cell r="AD135"/>
          <cell r="AE135"/>
          <cell r="AF135">
            <v>541.67726176606948</v>
          </cell>
          <cell r="AG135"/>
          <cell r="AH135"/>
          <cell r="AI135">
            <v>527.80141930126103</v>
          </cell>
          <cell r="AJ135"/>
          <cell r="AK135"/>
          <cell r="AL135">
            <v>526.75226176606952</v>
          </cell>
          <cell r="AM135"/>
          <cell r="AN135"/>
          <cell r="AO135">
            <v>510.77810423087789</v>
          </cell>
        </row>
        <row r="136">
          <cell r="A136" t="str">
            <v>Véhicules usagés[...]</v>
          </cell>
          <cell r="C136"/>
          <cell r="D136"/>
          <cell r="E136">
            <v>0</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row>
        <row r="137">
          <cell r="A137" t="str">
            <v>Véhicules usagésTOTAL PERSONNEL</v>
          </cell>
          <cell r="C137" t="str">
            <v>% brut</v>
          </cell>
          <cell r="D137">
            <v>0.55342904703373452</v>
          </cell>
          <cell r="E137">
            <v>298021.54182766605</v>
          </cell>
          <cell r="F137" t="str">
            <v>% brut</v>
          </cell>
          <cell r="G137">
            <v>0.87266043046013553</v>
          </cell>
          <cell r="H137">
            <v>23496.382090139148</v>
          </cell>
          <cell r="I137" t="str">
            <v>% brut</v>
          </cell>
          <cell r="J137">
            <v>0.70982125697326626</v>
          </cell>
          <cell r="K137">
            <v>22934.324812806233</v>
          </cell>
          <cell r="L137" t="str">
            <v>% brut</v>
          </cell>
          <cell r="M137">
            <v>0.53581397183132118</v>
          </cell>
          <cell r="N137">
            <v>25968.224144804979</v>
          </cell>
          <cell r="O137" t="str">
            <v>% brut</v>
          </cell>
          <cell r="P137">
            <v>0.45718641300165552</v>
          </cell>
          <cell r="Q137">
            <v>24619.488340139149</v>
          </cell>
          <cell r="R137" t="str">
            <v>% brut</v>
          </cell>
          <cell r="S137">
            <v>0.47179511360208115</v>
          </cell>
          <cell r="T137">
            <v>25406.166867472071</v>
          </cell>
          <cell r="U137" t="str">
            <v>% brut</v>
          </cell>
          <cell r="V137">
            <v>0.47179511360208115</v>
          </cell>
          <cell r="W137">
            <v>25406.166867472071</v>
          </cell>
          <cell r="X137" t="str">
            <v>% brut</v>
          </cell>
          <cell r="Y137">
            <v>0.51958208227529279</v>
          </cell>
          <cell r="Z137">
            <v>25181.545617472068</v>
          </cell>
          <cell r="AA137" t="str">
            <v>% brut</v>
          </cell>
          <cell r="AB137">
            <v>0.51958208227529279</v>
          </cell>
          <cell r="AC137">
            <v>25181.545617472068</v>
          </cell>
          <cell r="AD137" t="str">
            <v>% brut</v>
          </cell>
          <cell r="AE137">
            <v>0.51958208227529279</v>
          </cell>
          <cell r="AF137">
            <v>25181.545617472068</v>
          </cell>
          <cell r="AG137" t="str">
            <v>% brut</v>
          </cell>
          <cell r="AH137">
            <v>0.5033501927192644</v>
          </cell>
          <cell r="AI137">
            <v>24394.867090139149</v>
          </cell>
          <cell r="AJ137" t="str">
            <v>% brut</v>
          </cell>
          <cell r="AK137">
            <v>0.57931579311680748</v>
          </cell>
          <cell r="AL137">
            <v>24956.924367472067</v>
          </cell>
          <cell r="AM137" t="str">
            <v>% brut</v>
          </cell>
          <cell r="AN137">
            <v>0.78286475997539395</v>
          </cell>
          <cell r="AO137">
            <v>25294.360394804979</v>
          </cell>
        </row>
        <row r="138">
          <cell r="A138" t="str">
            <v>Véhicules usagésPublicité 2</v>
          </cell>
          <cell r="C138"/>
          <cell r="D138"/>
          <cell r="E138">
            <v>0</v>
          </cell>
          <cell r="F138"/>
          <cell r="G138"/>
          <cell r="H138">
            <v>0</v>
          </cell>
          <cell r="I138"/>
          <cell r="J138"/>
          <cell r="K138">
            <v>0</v>
          </cell>
          <cell r="L138"/>
          <cell r="M138"/>
          <cell r="N138">
            <v>0</v>
          </cell>
          <cell r="O138"/>
          <cell r="P138"/>
          <cell r="Q138">
            <v>0</v>
          </cell>
          <cell r="R138"/>
          <cell r="S138"/>
          <cell r="T138">
            <v>0</v>
          </cell>
          <cell r="U138"/>
          <cell r="V138"/>
          <cell r="W138">
            <v>0</v>
          </cell>
          <cell r="X138"/>
          <cell r="Y138"/>
          <cell r="Z138">
            <v>0</v>
          </cell>
          <cell r="AA138"/>
          <cell r="AB138"/>
          <cell r="AC138">
            <v>0</v>
          </cell>
          <cell r="AD138"/>
          <cell r="AE138"/>
          <cell r="AF138">
            <v>0</v>
          </cell>
          <cell r="AG138"/>
          <cell r="AH138"/>
          <cell r="AI138">
            <v>0</v>
          </cell>
          <cell r="AJ138"/>
          <cell r="AK138"/>
          <cell r="AL138">
            <v>0</v>
          </cell>
          <cell r="AM138"/>
          <cell r="AN138"/>
          <cell r="AO138">
            <v>0</v>
          </cell>
        </row>
        <row r="139">
          <cell r="A139" t="str">
            <v>Véhicules usagésService gratuit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usagésFrais véhicules de cie</v>
          </cell>
          <cell r="C140"/>
          <cell r="D140"/>
          <cell r="E140">
            <v>3834.24</v>
          </cell>
          <cell r="F140"/>
          <cell r="G140"/>
          <cell r="H140">
            <v>319.52</v>
          </cell>
          <cell r="I140"/>
          <cell r="J140"/>
          <cell r="K140">
            <v>319.52</v>
          </cell>
          <cell r="L140"/>
          <cell r="M140"/>
          <cell r="N140">
            <v>319.52</v>
          </cell>
          <cell r="O140"/>
          <cell r="P140"/>
          <cell r="Q140">
            <v>319.52</v>
          </cell>
          <cell r="R140"/>
          <cell r="S140"/>
          <cell r="T140">
            <v>319.52</v>
          </cell>
          <cell r="U140"/>
          <cell r="V140"/>
          <cell r="W140">
            <v>319.52</v>
          </cell>
          <cell r="X140"/>
          <cell r="Y140"/>
          <cell r="Z140">
            <v>319.52</v>
          </cell>
          <cell r="AA140"/>
          <cell r="AB140"/>
          <cell r="AC140">
            <v>319.52</v>
          </cell>
          <cell r="AD140"/>
          <cell r="AE140"/>
          <cell r="AF140">
            <v>319.52</v>
          </cell>
          <cell r="AG140"/>
          <cell r="AH140"/>
          <cell r="AI140">
            <v>319.52</v>
          </cell>
          <cell r="AJ140"/>
          <cell r="AK140"/>
          <cell r="AL140">
            <v>319.52</v>
          </cell>
          <cell r="AM140"/>
          <cell r="AN140"/>
          <cell r="AO140">
            <v>319.52</v>
          </cell>
        </row>
        <row r="141">
          <cell r="A141" t="str">
            <v>Véhicules usagésInformatique</v>
          </cell>
          <cell r="C141"/>
          <cell r="D141"/>
          <cell r="E141">
            <v>12855.299999999997</v>
          </cell>
          <cell r="F141"/>
          <cell r="G141"/>
          <cell r="H141">
            <v>1071.2750000000001</v>
          </cell>
          <cell r="I141"/>
          <cell r="J141"/>
          <cell r="K141">
            <v>1071.2750000000001</v>
          </cell>
          <cell r="L141"/>
          <cell r="M141"/>
          <cell r="N141">
            <v>1071.2750000000001</v>
          </cell>
          <cell r="O141"/>
          <cell r="P141"/>
          <cell r="Q141">
            <v>1071.2750000000001</v>
          </cell>
          <cell r="R141"/>
          <cell r="S141"/>
          <cell r="T141">
            <v>1071.2750000000001</v>
          </cell>
          <cell r="U141"/>
          <cell r="V141"/>
          <cell r="W141">
            <v>1071.2750000000001</v>
          </cell>
          <cell r="X141"/>
          <cell r="Y141"/>
          <cell r="Z141">
            <v>1071.2750000000001</v>
          </cell>
          <cell r="AA141"/>
          <cell r="AB141"/>
          <cell r="AC141">
            <v>1071.2750000000001</v>
          </cell>
          <cell r="AD141"/>
          <cell r="AE141"/>
          <cell r="AF141">
            <v>1071.2750000000001</v>
          </cell>
          <cell r="AG141"/>
          <cell r="AH141"/>
          <cell r="AI141">
            <v>1071.2750000000001</v>
          </cell>
          <cell r="AJ141"/>
          <cell r="AK141"/>
          <cell r="AL141">
            <v>1071.2750000000001</v>
          </cell>
          <cell r="AM141"/>
          <cell r="AN141"/>
          <cell r="AO141">
            <v>1071.2750000000001</v>
          </cell>
        </row>
        <row r="142">
          <cell r="A142" t="str">
            <v>Véhicules usagésFrais de déplacement</v>
          </cell>
          <cell r="C142"/>
          <cell r="D142"/>
          <cell r="E142">
            <v>8100</v>
          </cell>
          <cell r="F142"/>
          <cell r="G142"/>
          <cell r="H142">
            <v>675</v>
          </cell>
          <cell r="I142"/>
          <cell r="J142"/>
          <cell r="K142">
            <v>675</v>
          </cell>
          <cell r="L142"/>
          <cell r="M142"/>
          <cell r="N142">
            <v>675</v>
          </cell>
          <cell r="O142"/>
          <cell r="P142"/>
          <cell r="Q142">
            <v>675</v>
          </cell>
          <cell r="R142"/>
          <cell r="S142"/>
          <cell r="T142">
            <v>675</v>
          </cell>
          <cell r="U142"/>
          <cell r="V142"/>
          <cell r="W142">
            <v>675</v>
          </cell>
          <cell r="X142"/>
          <cell r="Y142"/>
          <cell r="Z142">
            <v>675</v>
          </cell>
          <cell r="AA142"/>
          <cell r="AB142"/>
          <cell r="AC142">
            <v>675</v>
          </cell>
          <cell r="AD142"/>
          <cell r="AE142"/>
          <cell r="AF142">
            <v>675</v>
          </cell>
          <cell r="AG142"/>
          <cell r="AH142"/>
          <cell r="AI142">
            <v>675</v>
          </cell>
          <cell r="AJ142"/>
          <cell r="AK142"/>
          <cell r="AL142">
            <v>675</v>
          </cell>
          <cell r="AM142"/>
          <cell r="AN142"/>
          <cell r="AO142">
            <v>675</v>
          </cell>
        </row>
        <row r="143">
          <cell r="A143" t="str">
            <v>Véhicules usagésServices extérieurs</v>
          </cell>
          <cell r="C143"/>
          <cell r="D143"/>
          <cell r="E143">
            <v>4122.8999999999996</v>
          </cell>
          <cell r="F143"/>
          <cell r="G143"/>
          <cell r="H143">
            <v>343.57500000000005</v>
          </cell>
          <cell r="I143"/>
          <cell r="J143"/>
          <cell r="K143">
            <v>343.57500000000005</v>
          </cell>
          <cell r="L143"/>
          <cell r="M143"/>
          <cell r="N143">
            <v>343.57500000000005</v>
          </cell>
          <cell r="O143"/>
          <cell r="P143"/>
          <cell r="Q143">
            <v>343.57500000000005</v>
          </cell>
          <cell r="R143"/>
          <cell r="S143"/>
          <cell r="T143">
            <v>343.57500000000005</v>
          </cell>
          <cell r="U143"/>
          <cell r="V143"/>
          <cell r="W143">
            <v>343.57500000000005</v>
          </cell>
          <cell r="X143"/>
          <cell r="Y143"/>
          <cell r="Z143">
            <v>343.57500000000005</v>
          </cell>
          <cell r="AA143"/>
          <cell r="AB143"/>
          <cell r="AC143">
            <v>343.57500000000005</v>
          </cell>
          <cell r="AD143"/>
          <cell r="AE143"/>
          <cell r="AF143">
            <v>343.57500000000005</v>
          </cell>
          <cell r="AG143"/>
          <cell r="AH143"/>
          <cell r="AI143">
            <v>343.57500000000005</v>
          </cell>
          <cell r="AJ143"/>
          <cell r="AK143"/>
          <cell r="AL143">
            <v>343.57500000000005</v>
          </cell>
          <cell r="AM143"/>
          <cell r="AN143"/>
          <cell r="AO143">
            <v>343.57500000000005</v>
          </cell>
        </row>
        <row r="144">
          <cell r="A144" t="str">
            <v>Véhicules usagésFournitures autres</v>
          </cell>
          <cell r="C144"/>
          <cell r="D144"/>
          <cell r="E144">
            <v>5259.2639999999983</v>
          </cell>
          <cell r="F144"/>
          <cell r="G144"/>
          <cell r="H144">
            <v>262.96319999999997</v>
          </cell>
          <cell r="I144"/>
          <cell r="J144"/>
          <cell r="K144">
            <v>315.55583999999993</v>
          </cell>
          <cell r="L144"/>
          <cell r="M144"/>
          <cell r="N144">
            <v>473.33375999999987</v>
          </cell>
          <cell r="O144"/>
          <cell r="P144"/>
          <cell r="Q144">
            <v>525.92639999999994</v>
          </cell>
          <cell r="R144"/>
          <cell r="S144"/>
          <cell r="T144">
            <v>525.92639999999994</v>
          </cell>
          <cell r="U144"/>
          <cell r="V144"/>
          <cell r="W144">
            <v>525.92639999999994</v>
          </cell>
          <cell r="X144"/>
          <cell r="Y144"/>
          <cell r="Z144">
            <v>473.33375999999987</v>
          </cell>
          <cell r="AA144"/>
          <cell r="AB144"/>
          <cell r="AC144">
            <v>473.33375999999987</v>
          </cell>
          <cell r="AD144"/>
          <cell r="AE144"/>
          <cell r="AF144">
            <v>473.33375999999987</v>
          </cell>
          <cell r="AG144"/>
          <cell r="AH144"/>
          <cell r="AI144">
            <v>473.33375999999987</v>
          </cell>
          <cell r="AJ144"/>
          <cell r="AK144"/>
          <cell r="AL144">
            <v>420.74111999999991</v>
          </cell>
          <cell r="AM144"/>
          <cell r="AN144"/>
          <cell r="AO144">
            <v>315.55583999999993</v>
          </cell>
        </row>
        <row r="145">
          <cell r="A145" t="str">
            <v>Véhicules usagésUniformes</v>
          </cell>
          <cell r="C145"/>
          <cell r="D145"/>
          <cell r="E145">
            <v>0</v>
          </cell>
          <cell r="F145"/>
          <cell r="G145"/>
          <cell r="H145">
            <v>0</v>
          </cell>
          <cell r="I145"/>
          <cell r="J145"/>
          <cell r="K145">
            <v>0</v>
          </cell>
          <cell r="L145"/>
          <cell r="M145"/>
          <cell r="N145">
            <v>0</v>
          </cell>
          <cell r="O145"/>
          <cell r="P145"/>
          <cell r="Q145">
            <v>0</v>
          </cell>
          <cell r="R145"/>
          <cell r="S145"/>
          <cell r="T145">
            <v>0</v>
          </cell>
          <cell r="U145"/>
          <cell r="V145"/>
          <cell r="W145">
            <v>0</v>
          </cell>
          <cell r="X145"/>
          <cell r="Y145"/>
          <cell r="Z145">
            <v>0</v>
          </cell>
          <cell r="AA145"/>
          <cell r="AB145"/>
          <cell r="AC145">
            <v>0</v>
          </cell>
          <cell r="AD145"/>
          <cell r="AE145"/>
          <cell r="AF145">
            <v>0</v>
          </cell>
          <cell r="AG145"/>
          <cell r="AH145"/>
          <cell r="AI145">
            <v>0</v>
          </cell>
          <cell r="AJ145"/>
          <cell r="AK145"/>
          <cell r="AL145">
            <v>0</v>
          </cell>
          <cell r="AM145"/>
          <cell r="AN145"/>
          <cell r="AO145">
            <v>0</v>
          </cell>
        </row>
        <row r="146">
          <cell r="A146" t="str">
            <v>Véhicules usagésPapeterie</v>
          </cell>
          <cell r="C146"/>
          <cell r="D146"/>
          <cell r="E146">
            <v>1200</v>
          </cell>
          <cell r="F146"/>
          <cell r="G146"/>
          <cell r="H146">
            <v>100</v>
          </cell>
          <cell r="I146"/>
          <cell r="J146"/>
          <cell r="K146">
            <v>100</v>
          </cell>
          <cell r="L146"/>
          <cell r="M146"/>
          <cell r="N146">
            <v>100</v>
          </cell>
          <cell r="O146"/>
          <cell r="P146"/>
          <cell r="Q146">
            <v>100</v>
          </cell>
          <cell r="R146"/>
          <cell r="S146"/>
          <cell r="T146">
            <v>100</v>
          </cell>
          <cell r="U146"/>
          <cell r="V146"/>
          <cell r="W146">
            <v>100</v>
          </cell>
          <cell r="X146"/>
          <cell r="Y146"/>
          <cell r="Z146">
            <v>100</v>
          </cell>
          <cell r="AA146"/>
          <cell r="AB146"/>
          <cell r="AC146">
            <v>100</v>
          </cell>
          <cell r="AD146"/>
          <cell r="AE146"/>
          <cell r="AF146">
            <v>100</v>
          </cell>
          <cell r="AG146"/>
          <cell r="AH146"/>
          <cell r="AI146">
            <v>100</v>
          </cell>
          <cell r="AJ146"/>
          <cell r="AK146"/>
          <cell r="AL146">
            <v>100</v>
          </cell>
          <cell r="AM146"/>
          <cell r="AN146"/>
          <cell r="AO146">
            <v>100</v>
          </cell>
        </row>
        <row r="147">
          <cell r="A147" t="str">
            <v>Véhicules usagésTéléphone</v>
          </cell>
          <cell r="C147"/>
          <cell r="D147"/>
          <cell r="E147">
            <v>1736.4000000000003</v>
          </cell>
          <cell r="F147"/>
          <cell r="G147"/>
          <cell r="H147">
            <v>144.69999999999999</v>
          </cell>
          <cell r="I147"/>
          <cell r="J147"/>
          <cell r="K147">
            <v>144.69999999999999</v>
          </cell>
          <cell r="L147"/>
          <cell r="M147"/>
          <cell r="N147">
            <v>144.69999999999999</v>
          </cell>
          <cell r="O147"/>
          <cell r="P147"/>
          <cell r="Q147">
            <v>144.69999999999999</v>
          </cell>
          <cell r="R147"/>
          <cell r="S147"/>
          <cell r="T147">
            <v>144.69999999999999</v>
          </cell>
          <cell r="U147"/>
          <cell r="V147"/>
          <cell r="W147">
            <v>144.69999999999999</v>
          </cell>
          <cell r="X147"/>
          <cell r="Y147"/>
          <cell r="Z147">
            <v>144.69999999999999</v>
          </cell>
          <cell r="AA147"/>
          <cell r="AB147"/>
          <cell r="AC147">
            <v>144.69999999999999</v>
          </cell>
          <cell r="AD147"/>
          <cell r="AE147"/>
          <cell r="AF147">
            <v>144.69999999999999</v>
          </cell>
          <cell r="AG147"/>
          <cell r="AH147"/>
          <cell r="AI147">
            <v>144.69999999999999</v>
          </cell>
          <cell r="AJ147"/>
          <cell r="AK147"/>
          <cell r="AL147">
            <v>144.69999999999999</v>
          </cell>
          <cell r="AM147"/>
          <cell r="AN147"/>
          <cell r="AO147">
            <v>144.69999999999999</v>
          </cell>
        </row>
        <row r="148">
          <cell r="A148" t="str">
            <v>Véhicules usagésFrais postaux</v>
          </cell>
          <cell r="C148"/>
          <cell r="D148"/>
          <cell r="E148">
            <v>199.99999999999997</v>
          </cell>
          <cell r="F148"/>
          <cell r="G148"/>
          <cell r="H148">
            <v>16.666666666666668</v>
          </cell>
          <cell r="I148"/>
          <cell r="J148"/>
          <cell r="K148">
            <v>16.666666666666668</v>
          </cell>
          <cell r="L148"/>
          <cell r="M148"/>
          <cell r="N148">
            <v>16.666666666666668</v>
          </cell>
          <cell r="O148"/>
          <cell r="P148"/>
          <cell r="Q148">
            <v>16.666666666666668</v>
          </cell>
          <cell r="R148"/>
          <cell r="S148"/>
          <cell r="T148">
            <v>16.666666666666668</v>
          </cell>
          <cell r="U148"/>
          <cell r="V148"/>
          <cell r="W148">
            <v>16.666666666666668</v>
          </cell>
          <cell r="X148"/>
          <cell r="Y148"/>
          <cell r="Z148">
            <v>16.666666666666668</v>
          </cell>
          <cell r="AA148"/>
          <cell r="AB148"/>
          <cell r="AC148">
            <v>16.666666666666668</v>
          </cell>
          <cell r="AD148"/>
          <cell r="AE148"/>
          <cell r="AF148">
            <v>16.666666666666668</v>
          </cell>
          <cell r="AG148"/>
          <cell r="AH148"/>
          <cell r="AI148">
            <v>16.666666666666668</v>
          </cell>
          <cell r="AJ148"/>
          <cell r="AK148"/>
          <cell r="AL148">
            <v>16.666666666666668</v>
          </cell>
          <cell r="AM148"/>
          <cell r="AN148"/>
          <cell r="AO148">
            <v>16.666666666666668</v>
          </cell>
        </row>
        <row r="149">
          <cell r="A149" t="str">
            <v>Véhicules usagésDivers</v>
          </cell>
          <cell r="C149"/>
          <cell r="D149"/>
          <cell r="E149">
            <v>4334.1000000000013</v>
          </cell>
          <cell r="F149"/>
          <cell r="G149"/>
          <cell r="H149">
            <v>361.17500000000001</v>
          </cell>
          <cell r="I149"/>
          <cell r="J149"/>
          <cell r="K149">
            <v>361.17500000000001</v>
          </cell>
          <cell r="L149"/>
          <cell r="M149"/>
          <cell r="N149">
            <v>361.17500000000001</v>
          </cell>
          <cell r="O149"/>
          <cell r="P149"/>
          <cell r="Q149">
            <v>361.17500000000001</v>
          </cell>
          <cell r="R149"/>
          <cell r="S149"/>
          <cell r="T149">
            <v>361.17500000000001</v>
          </cell>
          <cell r="U149"/>
          <cell r="V149"/>
          <cell r="W149">
            <v>361.17500000000001</v>
          </cell>
          <cell r="X149"/>
          <cell r="Y149"/>
          <cell r="Z149">
            <v>361.17500000000001</v>
          </cell>
          <cell r="AA149"/>
          <cell r="AB149"/>
          <cell r="AC149">
            <v>361.17500000000001</v>
          </cell>
          <cell r="AD149"/>
          <cell r="AE149"/>
          <cell r="AF149">
            <v>361.17500000000001</v>
          </cell>
          <cell r="AG149"/>
          <cell r="AH149"/>
          <cell r="AI149">
            <v>361.17500000000001</v>
          </cell>
          <cell r="AJ149"/>
          <cell r="AK149"/>
          <cell r="AL149">
            <v>361.17500000000001</v>
          </cell>
          <cell r="AM149"/>
          <cell r="AN149"/>
          <cell r="AO149">
            <v>361.17500000000001</v>
          </cell>
        </row>
        <row r="150">
          <cell r="A150" t="str">
            <v>Véhicules usagésFormation</v>
          </cell>
          <cell r="C150"/>
          <cell r="D150"/>
          <cell r="E150">
            <v>2000.0000000000007</v>
          </cell>
          <cell r="F150"/>
          <cell r="G150"/>
          <cell r="H150">
            <v>166.66666666666669</v>
          </cell>
          <cell r="I150"/>
          <cell r="J150"/>
          <cell r="K150">
            <v>166.66666666666669</v>
          </cell>
          <cell r="L150"/>
          <cell r="M150"/>
          <cell r="N150">
            <v>166.66666666666669</v>
          </cell>
          <cell r="O150"/>
          <cell r="P150"/>
          <cell r="Q150">
            <v>166.66666666666669</v>
          </cell>
          <cell r="R150"/>
          <cell r="S150"/>
          <cell r="T150">
            <v>166.66666666666669</v>
          </cell>
          <cell r="U150"/>
          <cell r="V150"/>
          <cell r="W150">
            <v>166.66666666666669</v>
          </cell>
          <cell r="X150"/>
          <cell r="Y150"/>
          <cell r="Z150">
            <v>166.66666666666669</v>
          </cell>
          <cell r="AA150"/>
          <cell r="AB150"/>
          <cell r="AC150">
            <v>166.66666666666669</v>
          </cell>
          <cell r="AD150"/>
          <cell r="AE150"/>
          <cell r="AF150">
            <v>166.66666666666669</v>
          </cell>
          <cell r="AG150"/>
          <cell r="AH150"/>
          <cell r="AI150">
            <v>166.66666666666669</v>
          </cell>
          <cell r="AJ150"/>
          <cell r="AK150"/>
          <cell r="AL150">
            <v>166.66666666666669</v>
          </cell>
          <cell r="AM150"/>
          <cell r="AN150"/>
          <cell r="AO150">
            <v>166.66666666666669</v>
          </cell>
        </row>
        <row r="151">
          <cell r="A151" t="str">
            <v>Véhicules usagésFrais bancaires</v>
          </cell>
          <cell r="C151"/>
          <cell r="D151"/>
          <cell r="E151">
            <v>11922.606271149385</v>
          </cell>
          <cell r="F151"/>
          <cell r="G151"/>
          <cell r="H151">
            <v>630.51356365735251</v>
          </cell>
          <cell r="I151"/>
          <cell r="J151"/>
          <cell r="K151">
            <v>731.2337139829342</v>
          </cell>
          <cell r="L151"/>
          <cell r="M151"/>
          <cell r="N151">
            <v>1144.2042127690054</v>
          </cell>
          <cell r="O151"/>
          <cell r="P151"/>
          <cell r="Q151">
            <v>1097.1741323262881</v>
          </cell>
          <cell r="R151"/>
          <cell r="S151"/>
          <cell r="T151">
            <v>1152.1545116667303</v>
          </cell>
          <cell r="U151"/>
          <cell r="V151"/>
          <cell r="W151">
            <v>1142.2271385214797</v>
          </cell>
          <cell r="X151"/>
          <cell r="Y151"/>
          <cell r="Z151">
            <v>950.92931054851272</v>
          </cell>
          <cell r="AA151"/>
          <cell r="AB151"/>
          <cell r="AC151">
            <v>1005.4284712269118</v>
          </cell>
          <cell r="AD151"/>
          <cell r="AE151"/>
          <cell r="AF151">
            <v>1034.1821814556267</v>
          </cell>
          <cell r="AG151"/>
          <cell r="AH151"/>
          <cell r="AI151">
            <v>1133.8183111970773</v>
          </cell>
          <cell r="AJ151"/>
          <cell r="AK151"/>
          <cell r="AL151">
            <v>1038.504211010237</v>
          </cell>
          <cell r="AM151"/>
          <cell r="AN151"/>
          <cell r="AO151">
            <v>862.236512787229</v>
          </cell>
        </row>
        <row r="152">
          <cell r="A152" t="str">
            <v>Véhicules usagés[...]</v>
          </cell>
          <cell r="C152"/>
          <cell r="D152"/>
          <cell r="E152">
            <v>0</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usagésTOTAL SEMI-FIXES</v>
          </cell>
          <cell r="C155" t="str">
            <v>% brut</v>
          </cell>
          <cell r="D155">
            <v>0.10318442018783543</v>
          </cell>
          <cell r="E155">
            <v>55564.810271149378</v>
          </cell>
          <cell r="F155" t="str">
            <v>% brut</v>
          </cell>
          <cell r="G155">
            <v>0.1519797621909261</v>
          </cell>
          <cell r="H155">
            <v>4092.0550969906853</v>
          </cell>
          <cell r="I155" t="str">
            <v>% brut</v>
          </cell>
          <cell r="J155">
            <v>0.13139485878416177</v>
          </cell>
          <cell r="K155">
            <v>4245.3678873162671</v>
          </cell>
          <cell r="L155" t="str">
            <v>% brut</v>
          </cell>
          <cell r="M155">
            <v>9.9373079667849751E-2</v>
          </cell>
          <cell r="N155">
            <v>4816.1163061023381</v>
          </cell>
          <cell r="O155" t="str">
            <v>% brut</v>
          </cell>
          <cell r="P155">
            <v>8.9539069000178662E-2</v>
          </cell>
          <cell r="Q155">
            <v>4821.6788656596209</v>
          </cell>
          <cell r="R155" t="str">
            <v>% brut</v>
          </cell>
          <cell r="S155">
            <v>9.0560060259982589E-2</v>
          </cell>
          <cell r="T155">
            <v>4876.6592450000626</v>
          </cell>
          <cell r="U155" t="str">
            <v>% brut</v>
          </cell>
          <cell r="V155">
            <v>9.0375707926737464E-2</v>
          </cell>
          <cell r="W155">
            <v>4866.7318718548122</v>
          </cell>
          <cell r="X155" t="str">
            <v>% brut</v>
          </cell>
          <cell r="Y155">
            <v>9.5385152251766137E-2</v>
          </cell>
          <cell r="Z155">
            <v>4622.8414038818455</v>
          </cell>
          <cell r="AA155" t="str">
            <v>% brut</v>
          </cell>
          <cell r="AB155">
            <v>9.6509657785210881E-2</v>
          </cell>
          <cell r="AC155">
            <v>4677.3405645602452</v>
          </cell>
          <cell r="AD155" t="str">
            <v>% brut</v>
          </cell>
          <cell r="AE155">
            <v>9.7102945936014845E-2</v>
          </cell>
          <cell r="AF155">
            <v>4706.0942747889594</v>
          </cell>
          <cell r="AG155" t="str">
            <v>% brut</v>
          </cell>
          <cell r="AH155">
            <v>9.9158782720115746E-2</v>
          </cell>
          <cell r="AI155">
            <v>4805.7304045304099</v>
          </cell>
          <cell r="AJ155" t="str">
            <v>% brut</v>
          </cell>
          <cell r="AK155">
            <v>0.10812032647037069</v>
          </cell>
          <cell r="AL155">
            <v>4657.8236643435694</v>
          </cell>
          <cell r="AM155" t="str">
            <v>% brut</v>
          </cell>
          <cell r="AN155">
            <v>0.13544941770722879</v>
          </cell>
          <cell r="AO155">
            <v>4376.3706861205619</v>
          </cell>
        </row>
        <row r="156">
          <cell r="A156" t="str">
            <v>Véhicules usagés</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row>
        <row r="157">
          <cell r="A157" t="str">
            <v>Véhicules usagésTOTAL DES DÉPENSES</v>
          </cell>
          <cell r="C157" t="str">
            <v>% brut</v>
          </cell>
          <cell r="D157">
            <v>1.0681760523699064</v>
          </cell>
          <cell r="E157">
            <v>575212.80420119467</v>
          </cell>
          <cell r="F157" t="str">
            <v>% brut</v>
          </cell>
          <cell r="G157">
            <v>1.5126605346178024</v>
          </cell>
          <cell r="H157">
            <v>40728.384894584327</v>
          </cell>
          <cell r="I157" t="str">
            <v>% brut</v>
          </cell>
          <cell r="J157">
            <v>1.2764830096891808</v>
          </cell>
          <cell r="K157">
            <v>41243.166043057434</v>
          </cell>
          <cell r="L157" t="str">
            <v>% brut</v>
          </cell>
          <cell r="M157">
            <v>1.0366646214371467</v>
          </cell>
          <cell r="N157">
            <v>50241.950877951313</v>
          </cell>
          <cell r="O157" t="str">
            <v>% brut</v>
          </cell>
          <cell r="P157">
            <v>0.93411285878011563</v>
          </cell>
          <cell r="Q157">
            <v>50301.977445309225</v>
          </cell>
          <cell r="R157" t="str">
            <v>% brut</v>
          </cell>
          <cell r="S157">
            <v>0.95580037262338569</v>
          </cell>
          <cell r="T157">
            <v>51469.850065769322</v>
          </cell>
          <cell r="U157" t="str">
            <v>% brut</v>
          </cell>
          <cell r="V157">
            <v>0.95521632704456172</v>
          </cell>
          <cell r="W157">
            <v>51438.39921134965</v>
          </cell>
          <cell r="X157" t="str">
            <v>% brut</v>
          </cell>
          <cell r="Y157">
            <v>1.0100045504791366</v>
          </cell>
          <cell r="Z157">
            <v>48949.870538971358</v>
          </cell>
          <cell r="AA157" t="str">
            <v>% brut</v>
          </cell>
          <cell r="AB157">
            <v>1.0175121908061786</v>
          </cell>
          <cell r="AC157">
            <v>49313.728327421442</v>
          </cell>
          <cell r="AD157" t="str">
            <v>% brut</v>
          </cell>
          <cell r="AE157">
            <v>1.0219860982323703</v>
          </cell>
          <cell r="AF157">
            <v>49530.556250831825</v>
          </cell>
          <cell r="AG157" t="str">
            <v>% brut</v>
          </cell>
          <cell r="AH157">
            <v>1.0120245570315483</v>
          </cell>
          <cell r="AI157">
            <v>49047.770156533988</v>
          </cell>
          <cell r="AJ157" t="str">
            <v>% brut</v>
          </cell>
          <cell r="AK157">
            <v>1.1093321632503275</v>
          </cell>
          <cell r="AL157">
            <v>47790.02959282411</v>
          </cell>
          <cell r="AM157" t="str">
            <v>% brut</v>
          </cell>
          <cell r="AN157">
            <v>1.3976205755676474</v>
          </cell>
          <cell r="AO157">
            <v>45157.120796590687</v>
          </cell>
        </row>
        <row r="158">
          <cell r="A158" t="str">
            <v>Véhicules usagésBusiness Builder usagé</v>
          </cell>
          <cell r="C158"/>
          <cell r="D158"/>
          <cell r="E158">
            <v>204339.94378858182</v>
          </cell>
          <cell r="F158"/>
          <cell r="G158"/>
          <cell r="H158">
            <v>10744.110840344943</v>
          </cell>
          <cell r="I158"/>
          <cell r="J158"/>
          <cell r="K158">
            <v>8828.3196122536265</v>
          </cell>
          <cell r="L158"/>
          <cell r="M158"/>
          <cell r="N158">
            <v>17523.192730604504</v>
          </cell>
          <cell r="O158"/>
          <cell r="P158"/>
          <cell r="Q158">
            <v>18705.862282817598</v>
          </cell>
          <cell r="R158"/>
          <cell r="S158"/>
          <cell r="T158">
            <v>20317.228696693277</v>
          </cell>
          <cell r="U158"/>
          <cell r="V158"/>
          <cell r="W158">
            <v>20419.815688881015</v>
          </cell>
          <cell r="X158"/>
          <cell r="Y158"/>
          <cell r="Z158">
            <v>15943.519859030734</v>
          </cell>
          <cell r="AA158"/>
          <cell r="AB158"/>
          <cell r="AC158">
            <v>17705.013578547001</v>
          </cell>
          <cell r="AD158"/>
          <cell r="AE158"/>
          <cell r="AF158">
            <v>18775.921692116546</v>
          </cell>
          <cell r="AG158"/>
          <cell r="AH158"/>
          <cell r="AI158">
            <v>20387.288105992222</v>
          </cell>
          <cell r="AJ158"/>
          <cell r="AK158"/>
          <cell r="AL158">
            <v>18122.867912579979</v>
          </cell>
          <cell r="AM158"/>
          <cell r="AN158"/>
          <cell r="AO158">
            <v>16866.802788720368</v>
          </cell>
        </row>
        <row r="159">
          <cell r="A159" t="str">
            <v>Véhicules usagésProgramme used 2</v>
          </cell>
          <cell r="C159"/>
          <cell r="D159"/>
          <cell r="E159">
            <v>0</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row>
        <row r="160">
          <cell r="A160" t="str">
            <v>Véhicules usagésProgramme used 3</v>
          </cell>
          <cell r="C160"/>
          <cell r="D160"/>
          <cell r="E160">
            <v>0</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row>
        <row r="161">
          <cell r="A161" t="str">
            <v>Véhicules usagés[...]</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usagésFrais administration</v>
          </cell>
          <cell r="C164"/>
          <cell r="D164">
            <v>519.19999999999982</v>
          </cell>
          <cell r="E164">
            <v>56073.599999999984</v>
          </cell>
          <cell r="F164"/>
          <cell r="G164"/>
          <cell r="H164">
            <v>2803.6800000000003</v>
          </cell>
          <cell r="I164"/>
          <cell r="J164"/>
          <cell r="K164">
            <v>3364.4159999999997</v>
          </cell>
          <cell r="L164"/>
          <cell r="M164"/>
          <cell r="N164">
            <v>5046.6239999999998</v>
          </cell>
          <cell r="O164"/>
          <cell r="P164"/>
          <cell r="Q164">
            <v>5607.3600000000006</v>
          </cell>
          <cell r="R164"/>
          <cell r="S164"/>
          <cell r="T164">
            <v>5607.3600000000006</v>
          </cell>
          <cell r="U164"/>
          <cell r="V164"/>
          <cell r="W164">
            <v>5607.3600000000006</v>
          </cell>
          <cell r="X164"/>
          <cell r="Y164"/>
          <cell r="Z164">
            <v>5046.6239999999998</v>
          </cell>
          <cell r="AA164"/>
          <cell r="AB164"/>
          <cell r="AC164">
            <v>5046.6239999999998</v>
          </cell>
          <cell r="AD164"/>
          <cell r="AE164"/>
          <cell r="AF164">
            <v>5046.6239999999998</v>
          </cell>
          <cell r="AG164"/>
          <cell r="AH164"/>
          <cell r="AI164">
            <v>5046.6239999999998</v>
          </cell>
          <cell r="AJ164"/>
          <cell r="AK164"/>
          <cell r="AL164">
            <v>4485.8880000000008</v>
          </cell>
          <cell r="AM164"/>
          <cell r="AN164"/>
          <cell r="AO164">
            <v>3364.4159999999997</v>
          </cell>
        </row>
        <row r="165">
          <cell r="A165" t="str">
            <v>Véhicules usagésAUTRES REVENUS</v>
          </cell>
          <cell r="C165"/>
          <cell r="D165"/>
          <cell r="E165">
            <v>260413.5437885818</v>
          </cell>
          <cell r="F165"/>
          <cell r="G165"/>
          <cell r="H165">
            <v>13547.790840344944</v>
          </cell>
          <cell r="I165"/>
          <cell r="J165"/>
          <cell r="K165">
            <v>12192.735612253626</v>
          </cell>
          <cell r="L165"/>
          <cell r="M165"/>
          <cell r="N165">
            <v>22569.816730604503</v>
          </cell>
          <cell r="O165"/>
          <cell r="P165"/>
          <cell r="Q165">
            <v>24313.222282817598</v>
          </cell>
          <cell r="R165"/>
          <cell r="S165"/>
          <cell r="T165">
            <v>25924.588696693278</v>
          </cell>
          <cell r="U165"/>
          <cell r="V165"/>
          <cell r="W165">
            <v>26027.175688881016</v>
          </cell>
          <cell r="X165"/>
          <cell r="Y165"/>
          <cell r="Z165">
            <v>20990.143859030733</v>
          </cell>
          <cell r="AA165"/>
          <cell r="AB165"/>
          <cell r="AC165">
            <v>22751.637578547001</v>
          </cell>
          <cell r="AD165"/>
          <cell r="AE165"/>
          <cell r="AF165">
            <v>23822.545692116546</v>
          </cell>
          <cell r="AG165"/>
          <cell r="AH165"/>
          <cell r="AI165">
            <v>25433.912105992222</v>
          </cell>
          <cell r="AJ165"/>
          <cell r="AK165"/>
          <cell r="AL165">
            <v>22608.755912579982</v>
          </cell>
          <cell r="AM165"/>
          <cell r="AN165"/>
          <cell r="AO165">
            <v>20231.218788720369</v>
          </cell>
        </row>
        <row r="166">
          <cell r="A166" t="str">
            <v>Véhicules usagés</v>
          </cell>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row>
        <row r="167">
          <cell r="A167" t="str">
            <v>Véhicules usagésPROFIT DÉPARTEMENTAL</v>
          </cell>
          <cell r="C167"/>
          <cell r="D167"/>
          <cell r="E167">
            <v>223700.73958738713</v>
          </cell>
          <cell r="F167"/>
          <cell r="G167"/>
          <cell r="H167">
            <v>-255.59405423938369</v>
          </cell>
          <cell r="I167"/>
          <cell r="J167"/>
          <cell r="K167">
            <v>3259.5695691961919</v>
          </cell>
          <cell r="L167"/>
          <cell r="M167"/>
          <cell r="N167">
            <v>20792.865852653191</v>
          </cell>
          <cell r="O167"/>
          <cell r="P167"/>
          <cell r="Q167">
            <v>27861.244837508373</v>
          </cell>
          <cell r="R167"/>
          <cell r="S167"/>
          <cell r="T167">
            <v>28304.738630923955</v>
          </cell>
          <cell r="U167"/>
          <cell r="V167"/>
          <cell r="W167">
            <v>28438.776477531366</v>
          </cell>
          <cell r="X167"/>
          <cell r="Y167"/>
          <cell r="Z167">
            <v>20505.273320059376</v>
          </cell>
          <cell r="AA167"/>
          <cell r="AB167"/>
          <cell r="AC167">
            <v>21902.909251125559</v>
          </cell>
          <cell r="AD167"/>
          <cell r="AE167"/>
          <cell r="AF167">
            <v>22756.989441284721</v>
          </cell>
          <cell r="AG167"/>
          <cell r="AH167"/>
          <cell r="AI167">
            <v>24851.141949458233</v>
          </cell>
          <cell r="AJ167"/>
          <cell r="AK167"/>
          <cell r="AL167">
            <v>17898.726319755871</v>
          </cell>
          <cell r="AM167"/>
          <cell r="AN167"/>
          <cell r="AO167">
            <v>7384.0979921296821</v>
          </cell>
        </row>
        <row r="168">
          <cell r="A168"/>
          <cell r="C168"/>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t="str">
            <v>Service</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t="str">
            <v>TOTAL</v>
          </cell>
          <cell r="D172"/>
          <cell r="E172"/>
          <cell r="F172" t="str">
            <v>Janvier</v>
          </cell>
          <cell r="G172"/>
          <cell r="H172"/>
          <cell r="I172" t="str">
            <v>Février</v>
          </cell>
          <cell r="J172"/>
          <cell r="K172"/>
          <cell r="L172" t="str">
            <v>Mars</v>
          </cell>
          <cell r="M172"/>
          <cell r="N172"/>
          <cell r="O172" t="str">
            <v>Avril</v>
          </cell>
          <cell r="P172"/>
          <cell r="Q172"/>
          <cell r="R172" t="str">
            <v>Mai</v>
          </cell>
          <cell r="S172"/>
          <cell r="T172"/>
          <cell r="U172" t="str">
            <v>Juin</v>
          </cell>
          <cell r="V172"/>
          <cell r="W172"/>
          <cell r="X172" t="str">
            <v>Juillet</v>
          </cell>
          <cell r="Y172"/>
          <cell r="Z172"/>
          <cell r="AA172" t="str">
            <v>Août</v>
          </cell>
          <cell r="AB172"/>
          <cell r="AC172"/>
          <cell r="AD172" t="str">
            <v>Septembre</v>
          </cell>
          <cell r="AE172"/>
          <cell r="AF172"/>
          <cell r="AG172" t="str">
            <v>Octobre</v>
          </cell>
          <cell r="AH172"/>
          <cell r="AI172"/>
          <cell r="AJ172" t="str">
            <v>Novembre</v>
          </cell>
          <cell r="AK172"/>
          <cell r="AL172"/>
          <cell r="AM172" t="str">
            <v>Décembre</v>
          </cell>
          <cell r="AN172"/>
          <cell r="AO172"/>
        </row>
        <row r="173">
          <cell r="A173" t="str">
            <v>Service</v>
          </cell>
          <cell r="C173" t="str">
            <v>#</v>
          </cell>
          <cell r="D173" t="str">
            <v>$VENTES</v>
          </cell>
          <cell r="E173" t="str">
            <v>$PROFITS</v>
          </cell>
          <cell r="F173" t="str">
            <v>#</v>
          </cell>
          <cell r="G173" t="str">
            <v>$VENTES</v>
          </cell>
          <cell r="H173" t="str">
            <v>$PROFITS</v>
          </cell>
          <cell r="I173" t="str">
            <v>#</v>
          </cell>
          <cell r="J173" t="str">
            <v>$VENTES</v>
          </cell>
          <cell r="K173" t="str">
            <v>$PROFITS</v>
          </cell>
          <cell r="L173" t="str">
            <v>#</v>
          </cell>
          <cell r="M173" t="str">
            <v>$VENTES</v>
          </cell>
          <cell r="N173" t="str">
            <v>$PROFITS</v>
          </cell>
          <cell r="O173" t="str">
            <v>#</v>
          </cell>
          <cell r="P173" t="str">
            <v>$VENTES</v>
          </cell>
          <cell r="Q173" t="str">
            <v>$PROFITS</v>
          </cell>
          <cell r="R173" t="str">
            <v>#</v>
          </cell>
          <cell r="S173" t="str">
            <v>$VENTES</v>
          </cell>
          <cell r="T173" t="str">
            <v>$PROFITS</v>
          </cell>
          <cell r="U173" t="str">
            <v>#</v>
          </cell>
          <cell r="V173" t="str">
            <v>$VENTES</v>
          </cell>
          <cell r="W173" t="str">
            <v>$PROFITS</v>
          </cell>
          <cell r="X173" t="str">
            <v>#</v>
          </cell>
          <cell r="Y173" t="str">
            <v>$VENTES</v>
          </cell>
          <cell r="Z173" t="str">
            <v>$PROFITS</v>
          </cell>
          <cell r="AA173" t="str">
            <v>#</v>
          </cell>
          <cell r="AB173" t="str">
            <v>$VENTES</v>
          </cell>
          <cell r="AC173" t="str">
            <v>$PROFITS</v>
          </cell>
          <cell r="AD173" t="str">
            <v>#</v>
          </cell>
          <cell r="AE173" t="str">
            <v>$VENTES</v>
          </cell>
          <cell r="AF173" t="str">
            <v>$PROFITS</v>
          </cell>
          <cell r="AG173" t="str">
            <v>#</v>
          </cell>
          <cell r="AH173" t="str">
            <v>$VENTES</v>
          </cell>
          <cell r="AI173" t="str">
            <v>$PROFITS</v>
          </cell>
          <cell r="AJ173" t="str">
            <v>#</v>
          </cell>
          <cell r="AK173" t="str">
            <v>$VENTES</v>
          </cell>
          <cell r="AL173" t="str">
            <v>$PROFITS</v>
          </cell>
          <cell r="AM173" t="str">
            <v>#</v>
          </cell>
          <cell r="AN173" t="str">
            <v>$VENTES</v>
          </cell>
          <cell r="AO173" t="str">
            <v>$PROFITS</v>
          </cell>
        </row>
        <row r="174">
          <cell r="A174" t="str">
            <v>ServiceM/O Client</v>
          </cell>
          <cell r="C174">
            <v>2243</v>
          </cell>
          <cell r="D174">
            <v>1105798.9999999998</v>
          </cell>
          <cell r="E174">
            <v>906755.17999999982</v>
          </cell>
          <cell r="F174"/>
          <cell r="G174">
            <v>77405.930000000008</v>
          </cell>
          <cell r="H174">
            <v>63472.8626</v>
          </cell>
          <cell r="I174"/>
          <cell r="J174">
            <v>66347.94</v>
          </cell>
          <cell r="K174">
            <v>54405.310799999999</v>
          </cell>
          <cell r="L174"/>
          <cell r="M174">
            <v>88463.92</v>
          </cell>
          <cell r="N174">
            <v>72540.414399999994</v>
          </cell>
          <cell r="O174"/>
          <cell r="P174">
            <v>121637.89</v>
          </cell>
          <cell r="Q174">
            <v>99743.069799999997</v>
          </cell>
          <cell r="R174"/>
          <cell r="S174">
            <v>121637.89</v>
          </cell>
          <cell r="T174">
            <v>99743.069799999997</v>
          </cell>
          <cell r="U174"/>
          <cell r="V174">
            <v>88463.92</v>
          </cell>
          <cell r="W174">
            <v>72540.414399999994</v>
          </cell>
          <cell r="X174"/>
          <cell r="Y174">
            <v>66347.94</v>
          </cell>
          <cell r="Z174">
            <v>54405.310799999999</v>
          </cell>
          <cell r="AA174"/>
          <cell r="AB174">
            <v>66347.94</v>
          </cell>
          <cell r="AC174">
            <v>54405.310799999999</v>
          </cell>
          <cell r="AD174"/>
          <cell r="AE174">
            <v>66347.94</v>
          </cell>
          <cell r="AF174">
            <v>54405.310799999999</v>
          </cell>
          <cell r="AG174"/>
          <cell r="AH174">
            <v>132695.88</v>
          </cell>
          <cell r="AI174">
            <v>108810.6216</v>
          </cell>
          <cell r="AJ174"/>
          <cell r="AK174">
            <v>143753.87</v>
          </cell>
          <cell r="AL174">
            <v>117878.17339999999</v>
          </cell>
          <cell r="AM174"/>
          <cell r="AN174">
            <v>66347.94</v>
          </cell>
          <cell r="AO174">
            <v>54405.310799999999</v>
          </cell>
        </row>
        <row r="175">
          <cell r="A175" t="str">
            <v>Service% profit / ventes</v>
          </cell>
          <cell r="C175"/>
          <cell r="D175"/>
          <cell r="E175">
            <v>0.82000000000000006</v>
          </cell>
          <cell r="F175"/>
          <cell r="G175"/>
          <cell r="H175">
            <v>0.82</v>
          </cell>
          <cell r="I175"/>
          <cell r="J175"/>
          <cell r="K175">
            <v>0.82</v>
          </cell>
          <cell r="L175"/>
          <cell r="M175"/>
          <cell r="N175">
            <v>0.82</v>
          </cell>
          <cell r="O175"/>
          <cell r="P175"/>
          <cell r="Q175">
            <v>0.82</v>
          </cell>
          <cell r="R175"/>
          <cell r="S175"/>
          <cell r="T175">
            <v>0.82</v>
          </cell>
          <cell r="U175"/>
          <cell r="V175"/>
          <cell r="W175">
            <v>0.82</v>
          </cell>
          <cell r="X175"/>
          <cell r="Y175"/>
          <cell r="Z175">
            <v>0.82</v>
          </cell>
          <cell r="AA175"/>
          <cell r="AB175"/>
          <cell r="AC175">
            <v>0.82</v>
          </cell>
          <cell r="AD175"/>
          <cell r="AE175"/>
          <cell r="AF175">
            <v>0.82</v>
          </cell>
          <cell r="AG175"/>
          <cell r="AH175"/>
          <cell r="AI175">
            <v>0.82</v>
          </cell>
          <cell r="AJ175"/>
          <cell r="AK175"/>
          <cell r="AL175">
            <v>0.82</v>
          </cell>
          <cell r="AM175"/>
          <cell r="AN175"/>
          <cell r="AO175">
            <v>0.82</v>
          </cell>
        </row>
        <row r="176">
          <cell r="A176" t="str">
            <v>Service</v>
          </cell>
          <cell r="C176"/>
          <cell r="D176">
            <v>492.99999999999989</v>
          </cell>
          <cell r="E176"/>
          <cell r="F176"/>
          <cell r="G176">
            <v>0</v>
          </cell>
          <cell r="H176"/>
          <cell r="I176"/>
          <cell r="J176">
            <v>0</v>
          </cell>
          <cell r="K176"/>
          <cell r="L176"/>
          <cell r="M176">
            <v>0</v>
          </cell>
          <cell r="N176"/>
          <cell r="O176"/>
          <cell r="P176">
            <v>0</v>
          </cell>
          <cell r="Q176"/>
          <cell r="R176"/>
          <cell r="S176">
            <v>0</v>
          </cell>
          <cell r="T176"/>
          <cell r="U176"/>
          <cell r="V176">
            <v>0</v>
          </cell>
          <cell r="W176"/>
          <cell r="X176"/>
          <cell r="Y176">
            <v>0</v>
          </cell>
          <cell r="Z176"/>
          <cell r="AA176"/>
          <cell r="AB176">
            <v>0</v>
          </cell>
          <cell r="AC176"/>
          <cell r="AD176"/>
          <cell r="AE176">
            <v>0</v>
          </cell>
          <cell r="AF176"/>
          <cell r="AG176"/>
          <cell r="AH176">
            <v>0</v>
          </cell>
          <cell r="AI176"/>
          <cell r="AJ176"/>
          <cell r="AK176">
            <v>0</v>
          </cell>
          <cell r="AL176"/>
          <cell r="AM176"/>
          <cell r="AN176">
            <v>0</v>
          </cell>
          <cell r="AO176"/>
        </row>
        <row r="177">
          <cell r="A177" t="str">
            <v>ServiceM/O Garantie</v>
          </cell>
          <cell r="C177">
            <v>2962</v>
          </cell>
          <cell r="D177">
            <v>679033.36477115098</v>
          </cell>
          <cell r="E177">
            <v>453629.0343787655</v>
          </cell>
          <cell r="F177"/>
          <cell r="G177">
            <v>40742.001886269063</v>
          </cell>
          <cell r="H177">
            <v>27217.742062725927</v>
          </cell>
          <cell r="I177"/>
          <cell r="J177">
            <v>40742.001886269063</v>
          </cell>
          <cell r="K177">
            <v>27217.742062725927</v>
          </cell>
          <cell r="L177"/>
          <cell r="M177">
            <v>61113.002829403595</v>
          </cell>
          <cell r="N177">
            <v>40826.613094088891</v>
          </cell>
          <cell r="O177"/>
          <cell r="P177">
            <v>61113.002829403595</v>
          </cell>
          <cell r="Q177">
            <v>40826.613094088891</v>
          </cell>
          <cell r="R177"/>
          <cell r="S177">
            <v>61113.002829403595</v>
          </cell>
          <cell r="T177">
            <v>40826.613094088891</v>
          </cell>
          <cell r="U177"/>
          <cell r="V177">
            <v>67903.33647711511</v>
          </cell>
          <cell r="W177">
            <v>45362.903437876543</v>
          </cell>
          <cell r="X177"/>
          <cell r="Y177">
            <v>54322.669181692087</v>
          </cell>
          <cell r="Z177">
            <v>36290.322750301239</v>
          </cell>
          <cell r="AA177"/>
          <cell r="AB177">
            <v>54322.669181692087</v>
          </cell>
          <cell r="AC177">
            <v>36290.322750301239</v>
          </cell>
          <cell r="AD177"/>
          <cell r="AE177">
            <v>61113.002829403595</v>
          </cell>
          <cell r="AF177">
            <v>40826.613094088891</v>
          </cell>
          <cell r="AG177"/>
          <cell r="AH177">
            <v>67903.33647711511</v>
          </cell>
          <cell r="AI177">
            <v>45362.903437876543</v>
          </cell>
          <cell r="AJ177"/>
          <cell r="AK177">
            <v>67903.33647711511</v>
          </cell>
          <cell r="AL177">
            <v>45362.903437876543</v>
          </cell>
          <cell r="AM177"/>
          <cell r="AN177">
            <v>40742.001886269063</v>
          </cell>
          <cell r="AO177">
            <v>27217.742062725927</v>
          </cell>
        </row>
        <row r="178">
          <cell r="A178" t="str">
            <v>Service% profit / ventes</v>
          </cell>
          <cell r="C178"/>
          <cell r="D178"/>
          <cell r="E178">
            <v>0.66805117084585142</v>
          </cell>
          <cell r="F178"/>
          <cell r="G178"/>
          <cell r="H178">
            <v>0.66805117084585119</v>
          </cell>
          <cell r="I178"/>
          <cell r="J178"/>
          <cell r="K178">
            <v>0.66805117084585119</v>
          </cell>
          <cell r="L178"/>
          <cell r="M178"/>
          <cell r="N178">
            <v>0.66805117084585119</v>
          </cell>
          <cell r="O178"/>
          <cell r="P178"/>
          <cell r="Q178">
            <v>0.66805117084585119</v>
          </cell>
          <cell r="R178"/>
          <cell r="S178"/>
          <cell r="T178">
            <v>0.66805117084585119</v>
          </cell>
          <cell r="U178"/>
          <cell r="V178"/>
          <cell r="W178">
            <v>0.66805117084585119</v>
          </cell>
          <cell r="X178"/>
          <cell r="Y178"/>
          <cell r="Z178">
            <v>0.66805117084585119</v>
          </cell>
          <cell r="AA178"/>
          <cell r="AB178"/>
          <cell r="AC178">
            <v>0.66805117084585119</v>
          </cell>
          <cell r="AD178"/>
          <cell r="AE178"/>
          <cell r="AF178">
            <v>0.66805117084585119</v>
          </cell>
          <cell r="AG178"/>
          <cell r="AH178"/>
          <cell r="AI178">
            <v>0.66805117084585119</v>
          </cell>
          <cell r="AJ178"/>
          <cell r="AK178"/>
          <cell r="AL178">
            <v>0.66805117084585119</v>
          </cell>
          <cell r="AM178"/>
          <cell r="AN178"/>
          <cell r="AO178">
            <v>0.66805117084585119</v>
          </cell>
        </row>
        <row r="179">
          <cell r="A179" t="str">
            <v>Service</v>
          </cell>
          <cell r="C179"/>
          <cell r="D179">
            <v>229.24826629680993</v>
          </cell>
          <cell r="E179"/>
          <cell r="F179"/>
          <cell r="G179">
            <v>0</v>
          </cell>
          <cell r="H179"/>
          <cell r="I179"/>
          <cell r="J179">
            <v>0</v>
          </cell>
          <cell r="K179"/>
          <cell r="L179"/>
          <cell r="M179">
            <v>0</v>
          </cell>
          <cell r="N179"/>
          <cell r="O179"/>
          <cell r="P179">
            <v>0</v>
          </cell>
          <cell r="Q179"/>
          <cell r="R179"/>
          <cell r="S179">
            <v>0</v>
          </cell>
          <cell r="T179"/>
          <cell r="U179"/>
          <cell r="V179">
            <v>0</v>
          </cell>
          <cell r="W179"/>
          <cell r="X179"/>
          <cell r="Y179">
            <v>0</v>
          </cell>
          <cell r="Z179"/>
          <cell r="AA179"/>
          <cell r="AB179">
            <v>0</v>
          </cell>
          <cell r="AC179"/>
          <cell r="AD179"/>
          <cell r="AE179">
            <v>0</v>
          </cell>
          <cell r="AF179"/>
          <cell r="AG179"/>
          <cell r="AH179">
            <v>0</v>
          </cell>
          <cell r="AI179"/>
          <cell r="AJ179"/>
          <cell r="AK179">
            <v>0</v>
          </cell>
          <cell r="AL179"/>
          <cell r="AM179"/>
          <cell r="AN179">
            <v>0</v>
          </cell>
          <cell r="AO179"/>
        </row>
        <row r="180">
          <cell r="A180" t="str">
            <v>ServiceM/O Interne</v>
          </cell>
          <cell r="C180">
            <v>2000</v>
          </cell>
          <cell r="D180">
            <v>528000</v>
          </cell>
          <cell r="E180">
            <v>416064.00000000006</v>
          </cell>
          <cell r="F180"/>
          <cell r="G180">
            <v>26400</v>
          </cell>
          <cell r="H180">
            <v>20803.2</v>
          </cell>
          <cell r="I180"/>
          <cell r="J180">
            <v>31680</v>
          </cell>
          <cell r="K180">
            <v>24963.84</v>
          </cell>
          <cell r="L180"/>
          <cell r="M180">
            <v>47520</v>
          </cell>
          <cell r="N180">
            <v>37445.760000000002</v>
          </cell>
          <cell r="O180"/>
          <cell r="P180">
            <v>52800</v>
          </cell>
          <cell r="Q180">
            <v>41606.400000000001</v>
          </cell>
          <cell r="R180"/>
          <cell r="S180">
            <v>52800</v>
          </cell>
          <cell r="T180">
            <v>41606.400000000001</v>
          </cell>
          <cell r="U180"/>
          <cell r="V180">
            <v>52800</v>
          </cell>
          <cell r="W180">
            <v>41606.400000000001</v>
          </cell>
          <cell r="X180"/>
          <cell r="Y180">
            <v>47520</v>
          </cell>
          <cell r="Z180">
            <v>37445.760000000002</v>
          </cell>
          <cell r="AA180"/>
          <cell r="AB180">
            <v>47520</v>
          </cell>
          <cell r="AC180">
            <v>37445.760000000002</v>
          </cell>
          <cell r="AD180"/>
          <cell r="AE180">
            <v>47520</v>
          </cell>
          <cell r="AF180">
            <v>37445.760000000002</v>
          </cell>
          <cell r="AG180"/>
          <cell r="AH180">
            <v>47520</v>
          </cell>
          <cell r="AI180">
            <v>37445.760000000002</v>
          </cell>
          <cell r="AJ180"/>
          <cell r="AK180">
            <v>42240</v>
          </cell>
          <cell r="AL180">
            <v>33285.120000000003</v>
          </cell>
          <cell r="AM180"/>
          <cell r="AN180">
            <v>31680</v>
          </cell>
          <cell r="AO180">
            <v>24963.84</v>
          </cell>
        </row>
        <row r="181">
          <cell r="A181" t="str">
            <v>Service% profit / ventes</v>
          </cell>
          <cell r="C181"/>
          <cell r="D181"/>
          <cell r="E181">
            <v>0.78800000000000014</v>
          </cell>
          <cell r="F181"/>
          <cell r="G181"/>
          <cell r="H181">
            <v>0.78800000000000003</v>
          </cell>
          <cell r="I181"/>
          <cell r="J181"/>
          <cell r="K181">
            <v>0.78800000000000003</v>
          </cell>
          <cell r="L181"/>
          <cell r="M181"/>
          <cell r="N181">
            <v>0.78800000000000003</v>
          </cell>
          <cell r="O181"/>
          <cell r="P181"/>
          <cell r="Q181">
            <v>0.78800000000000003</v>
          </cell>
          <cell r="R181"/>
          <cell r="S181"/>
          <cell r="T181">
            <v>0.78800000000000003</v>
          </cell>
          <cell r="U181"/>
          <cell r="V181"/>
          <cell r="W181">
            <v>0.78800000000000003</v>
          </cell>
          <cell r="X181"/>
          <cell r="Y181"/>
          <cell r="Z181">
            <v>0.78800000000000003</v>
          </cell>
          <cell r="AA181"/>
          <cell r="AB181"/>
          <cell r="AC181">
            <v>0.78800000000000003</v>
          </cell>
          <cell r="AD181"/>
          <cell r="AE181"/>
          <cell r="AF181">
            <v>0.78800000000000003</v>
          </cell>
          <cell r="AG181"/>
          <cell r="AH181"/>
          <cell r="AI181">
            <v>0.78800000000000003</v>
          </cell>
          <cell r="AJ181"/>
          <cell r="AK181"/>
          <cell r="AL181">
            <v>0.78800000000000003</v>
          </cell>
          <cell r="AM181"/>
          <cell r="AN181"/>
          <cell r="AO181">
            <v>0.78800000000000003</v>
          </cell>
        </row>
        <row r="182">
          <cell r="A182" t="str">
            <v>Service</v>
          </cell>
          <cell r="C182"/>
          <cell r="D182">
            <v>264</v>
          </cell>
          <cell r="E182"/>
          <cell r="F182"/>
          <cell r="G182">
            <v>0</v>
          </cell>
          <cell r="H182"/>
          <cell r="I182"/>
          <cell r="J182">
            <v>0</v>
          </cell>
          <cell r="K182"/>
          <cell r="L182"/>
          <cell r="M182">
            <v>0</v>
          </cell>
          <cell r="N182"/>
          <cell r="O182"/>
          <cell r="P182">
            <v>0</v>
          </cell>
          <cell r="Q182"/>
          <cell r="R182"/>
          <cell r="S182">
            <v>0</v>
          </cell>
          <cell r="T182"/>
          <cell r="U182"/>
          <cell r="V182">
            <v>0</v>
          </cell>
          <cell r="W182"/>
          <cell r="X182"/>
          <cell r="Y182">
            <v>0</v>
          </cell>
          <cell r="Z182"/>
          <cell r="AA182"/>
          <cell r="AB182">
            <v>0</v>
          </cell>
          <cell r="AC182"/>
          <cell r="AD182"/>
          <cell r="AE182">
            <v>0</v>
          </cell>
          <cell r="AF182"/>
          <cell r="AG182"/>
          <cell r="AH182">
            <v>0</v>
          </cell>
          <cell r="AI182"/>
          <cell r="AJ182"/>
          <cell r="AK182">
            <v>0</v>
          </cell>
          <cell r="AL182"/>
          <cell r="AM182"/>
          <cell r="AN182">
            <v>0</v>
          </cell>
          <cell r="AO182"/>
        </row>
        <row r="183">
          <cell r="A183" t="str">
            <v>ServiceM/O Esthétique</v>
          </cell>
          <cell r="C183">
            <v>1384</v>
          </cell>
          <cell r="D183">
            <v>227583.00000000003</v>
          </cell>
          <cell r="E183">
            <v>182066.40000000002</v>
          </cell>
          <cell r="F183"/>
          <cell r="G183">
            <v>11379.150000000001</v>
          </cell>
          <cell r="H183">
            <v>9103.3200000000015</v>
          </cell>
          <cell r="I183"/>
          <cell r="J183">
            <v>13654.98</v>
          </cell>
          <cell r="K183">
            <v>10923.984</v>
          </cell>
          <cell r="L183"/>
          <cell r="M183">
            <v>18206.64</v>
          </cell>
          <cell r="N183">
            <v>14565.312</v>
          </cell>
          <cell r="O183"/>
          <cell r="P183">
            <v>27309.96</v>
          </cell>
          <cell r="Q183">
            <v>21847.968000000001</v>
          </cell>
          <cell r="R183"/>
          <cell r="S183">
            <v>27309.96</v>
          </cell>
          <cell r="T183">
            <v>21847.968000000001</v>
          </cell>
          <cell r="U183"/>
          <cell r="V183">
            <v>22758.300000000003</v>
          </cell>
          <cell r="W183">
            <v>18206.640000000003</v>
          </cell>
          <cell r="X183"/>
          <cell r="Y183">
            <v>18206.64</v>
          </cell>
          <cell r="Z183">
            <v>14565.312</v>
          </cell>
          <cell r="AA183"/>
          <cell r="AB183">
            <v>15930.810000000001</v>
          </cell>
          <cell r="AC183">
            <v>12744.648000000001</v>
          </cell>
          <cell r="AD183"/>
          <cell r="AE183">
            <v>13654.98</v>
          </cell>
          <cell r="AF183">
            <v>10923.984</v>
          </cell>
          <cell r="AG183"/>
          <cell r="AH183">
            <v>22758.300000000003</v>
          </cell>
          <cell r="AI183">
            <v>18206.640000000003</v>
          </cell>
          <cell r="AJ183"/>
          <cell r="AK183">
            <v>22758.300000000003</v>
          </cell>
          <cell r="AL183">
            <v>18206.640000000003</v>
          </cell>
          <cell r="AM183"/>
          <cell r="AN183">
            <v>13654.98</v>
          </cell>
          <cell r="AO183">
            <v>10923.984</v>
          </cell>
        </row>
        <row r="184">
          <cell r="A184" t="str">
            <v>Service% profit / ventes</v>
          </cell>
          <cell r="C184"/>
          <cell r="D184">
            <v>0</v>
          </cell>
          <cell r="E184">
            <v>0.8</v>
          </cell>
          <cell r="F184"/>
          <cell r="G184">
            <v>0</v>
          </cell>
          <cell r="H184">
            <v>0.8</v>
          </cell>
          <cell r="I184"/>
          <cell r="J184">
            <v>0</v>
          </cell>
          <cell r="K184">
            <v>0.8</v>
          </cell>
          <cell r="L184"/>
          <cell r="M184">
            <v>0</v>
          </cell>
          <cell r="N184">
            <v>0.8</v>
          </cell>
          <cell r="O184"/>
          <cell r="P184">
            <v>0</v>
          </cell>
          <cell r="Q184">
            <v>0.8</v>
          </cell>
          <cell r="R184"/>
          <cell r="S184">
            <v>0</v>
          </cell>
          <cell r="T184">
            <v>0.8</v>
          </cell>
          <cell r="U184"/>
          <cell r="V184">
            <v>0</v>
          </cell>
          <cell r="W184">
            <v>0.8</v>
          </cell>
          <cell r="X184"/>
          <cell r="Y184">
            <v>0</v>
          </cell>
          <cell r="Z184">
            <v>0.8</v>
          </cell>
          <cell r="AA184"/>
          <cell r="AB184">
            <v>0</v>
          </cell>
          <cell r="AC184">
            <v>0.8</v>
          </cell>
          <cell r="AD184"/>
          <cell r="AE184">
            <v>0</v>
          </cell>
          <cell r="AF184">
            <v>0.8</v>
          </cell>
          <cell r="AG184"/>
          <cell r="AH184">
            <v>0</v>
          </cell>
          <cell r="AI184">
            <v>0.8</v>
          </cell>
          <cell r="AJ184"/>
          <cell r="AK184">
            <v>0</v>
          </cell>
          <cell r="AL184">
            <v>0.8</v>
          </cell>
          <cell r="AM184"/>
          <cell r="AN184">
            <v>0</v>
          </cell>
          <cell r="AO184">
            <v>0.8</v>
          </cell>
        </row>
        <row r="185">
          <cell r="A185" t="str">
            <v>Service</v>
          </cell>
          <cell r="C185"/>
          <cell r="D185">
            <v>164.43858381502892</v>
          </cell>
          <cell r="E185"/>
          <cell r="F185"/>
          <cell r="G185">
            <v>0</v>
          </cell>
          <cell r="H185"/>
          <cell r="I185"/>
          <cell r="J185">
            <v>0</v>
          </cell>
          <cell r="K185"/>
          <cell r="L185"/>
          <cell r="M185">
            <v>0</v>
          </cell>
          <cell r="N185"/>
          <cell r="O185"/>
          <cell r="P185">
            <v>0</v>
          </cell>
          <cell r="Q185"/>
          <cell r="R185"/>
          <cell r="S185">
            <v>0</v>
          </cell>
          <cell r="T185"/>
          <cell r="U185"/>
          <cell r="V185">
            <v>0</v>
          </cell>
          <cell r="W185"/>
          <cell r="X185"/>
          <cell r="Y185">
            <v>0</v>
          </cell>
          <cell r="Z185"/>
          <cell r="AA185"/>
          <cell r="AB185">
            <v>0</v>
          </cell>
          <cell r="AC185"/>
          <cell r="AD185"/>
          <cell r="AE185">
            <v>0</v>
          </cell>
          <cell r="AF185"/>
          <cell r="AG185"/>
          <cell r="AH185">
            <v>0</v>
          </cell>
          <cell r="AI185"/>
          <cell r="AJ185"/>
          <cell r="AK185">
            <v>0</v>
          </cell>
          <cell r="AL185"/>
          <cell r="AM185"/>
          <cell r="AN185">
            <v>0</v>
          </cell>
          <cell r="AO185"/>
        </row>
        <row r="186">
          <cell r="A186" t="str">
            <v>ServiceAjustement M/O</v>
          </cell>
          <cell r="C186"/>
          <cell r="D186"/>
          <cell r="E186">
            <v>-29095.037519619291</v>
          </cell>
          <cell r="F186"/>
          <cell r="G186"/>
          <cell r="H186">
            <v>-1766.497861177158</v>
          </cell>
          <cell r="I186"/>
          <cell r="J186"/>
          <cell r="K186">
            <v>-1745.7022511771588</v>
          </cell>
          <cell r="L186"/>
          <cell r="M186"/>
          <cell r="N186">
            <v>-2496.2731667657367</v>
          </cell>
          <cell r="O186"/>
          <cell r="P186"/>
          <cell r="Q186">
            <v>-2941.8400967657367</v>
          </cell>
          <cell r="R186"/>
          <cell r="S186"/>
          <cell r="T186">
            <v>-2941.8400967657367</v>
          </cell>
          <cell r="U186"/>
          <cell r="V186"/>
          <cell r="W186">
            <v>-2710.4599319619274</v>
          </cell>
          <cell r="X186"/>
          <cell r="Y186"/>
          <cell r="Z186">
            <v>-2184.5271815695419</v>
          </cell>
          <cell r="AA186"/>
          <cell r="AB186"/>
          <cell r="AC186">
            <v>-2161.7688815695424</v>
          </cell>
          <cell r="AD186"/>
          <cell r="AE186"/>
          <cell r="AF186">
            <v>-2251.7127467657356</v>
          </cell>
          <cell r="AG186"/>
          <cell r="AH186"/>
          <cell r="AI186">
            <v>-3052.5795719619277</v>
          </cell>
          <cell r="AJ186"/>
          <cell r="AK186"/>
          <cell r="AL186">
            <v>-3096.1334819619296</v>
          </cell>
          <cell r="AM186"/>
          <cell r="AN186"/>
          <cell r="AO186">
            <v>-1745.7022511771588</v>
          </cell>
        </row>
        <row r="187">
          <cell r="A187" t="str">
            <v>ServiceSous-total M/O</v>
          </cell>
          <cell r="C187">
            <v>8589</v>
          </cell>
          <cell r="D187">
            <v>2540415.364771151</v>
          </cell>
          <cell r="E187">
            <v>1929419.5768591459</v>
          </cell>
          <cell r="F187">
            <v>0</v>
          </cell>
          <cell r="G187">
            <v>155927.08188626906</v>
          </cell>
          <cell r="H187">
            <v>118830.62680154879</v>
          </cell>
          <cell r="I187">
            <v>0</v>
          </cell>
          <cell r="J187">
            <v>152424.92188626909</v>
          </cell>
          <cell r="K187">
            <v>115765.17461154875</v>
          </cell>
          <cell r="L187">
            <v>0</v>
          </cell>
          <cell r="M187">
            <v>215303.56282940361</v>
          </cell>
          <cell r="N187">
            <v>162881.82632732316</v>
          </cell>
          <cell r="O187">
            <v>0</v>
          </cell>
          <cell r="P187">
            <v>262860.85282940359</v>
          </cell>
          <cell r="Q187">
            <v>201082.21079732312</v>
          </cell>
          <cell r="R187">
            <v>0</v>
          </cell>
          <cell r="S187">
            <v>262860.85282940359</v>
          </cell>
          <cell r="T187">
            <v>201082.21079732312</v>
          </cell>
          <cell r="U187">
            <v>0</v>
          </cell>
          <cell r="V187">
            <v>231925.55647711508</v>
          </cell>
          <cell r="W187">
            <v>175005.89790591461</v>
          </cell>
          <cell r="X187">
            <v>0</v>
          </cell>
          <cell r="Y187">
            <v>186397.24918169208</v>
          </cell>
          <cell r="Z187">
            <v>140522.17836873169</v>
          </cell>
          <cell r="AA187">
            <v>0</v>
          </cell>
          <cell r="AB187">
            <v>184121.41918169209</v>
          </cell>
          <cell r="AC187">
            <v>138724.27266873172</v>
          </cell>
          <cell r="AD187">
            <v>0</v>
          </cell>
          <cell r="AE187">
            <v>188635.9228294036</v>
          </cell>
          <cell r="AF187">
            <v>141349.95514732317</v>
          </cell>
          <cell r="AG187">
            <v>0</v>
          </cell>
          <cell r="AH187">
            <v>270877.5164771151</v>
          </cell>
          <cell r="AI187">
            <v>206773.34546591464</v>
          </cell>
          <cell r="AJ187">
            <v>0</v>
          </cell>
          <cell r="AK187">
            <v>276655.50647711509</v>
          </cell>
          <cell r="AL187">
            <v>211636.70335591459</v>
          </cell>
          <cell r="AM187">
            <v>0</v>
          </cell>
          <cell r="AN187">
            <v>152424.92188626909</v>
          </cell>
          <cell r="AO187">
            <v>115765.17461154875</v>
          </cell>
        </row>
        <row r="188">
          <cell r="A188" t="str">
            <v>Service% protit / ventes</v>
          </cell>
          <cell r="C188"/>
          <cell r="D188">
            <v>295.77545287823392</v>
          </cell>
          <cell r="E188">
            <v>0.75948980769644903</v>
          </cell>
          <cell r="F188"/>
          <cell r="G188">
            <v>0</v>
          </cell>
          <cell r="H188">
            <v>0.76209100666824581</v>
          </cell>
          <cell r="I188"/>
          <cell r="J188">
            <v>0</v>
          </cell>
          <cell r="K188">
            <v>0.7594898076964488</v>
          </cell>
          <cell r="L188"/>
          <cell r="M188">
            <v>0</v>
          </cell>
          <cell r="N188">
            <v>0.75652174161364449</v>
          </cell>
          <cell r="O188"/>
          <cell r="P188">
            <v>0</v>
          </cell>
          <cell r="Q188">
            <v>0.7649758746230092</v>
          </cell>
          <cell r="R188"/>
          <cell r="S188">
            <v>0</v>
          </cell>
          <cell r="T188">
            <v>0.7649758746230092</v>
          </cell>
          <cell r="U188"/>
          <cell r="V188">
            <v>0</v>
          </cell>
          <cell r="W188">
            <v>0.75457789371816408</v>
          </cell>
          <cell r="X188"/>
          <cell r="Y188">
            <v>0</v>
          </cell>
          <cell r="Z188">
            <v>0.75388547301873898</v>
          </cell>
          <cell r="AA188"/>
          <cell r="AB188">
            <v>0</v>
          </cell>
          <cell r="AC188">
            <v>0.75343907995754578</v>
          </cell>
          <cell r="AD188"/>
          <cell r="AE188">
            <v>0</v>
          </cell>
          <cell r="AF188">
            <v>0.74932681446447302</v>
          </cell>
          <cell r="AG188"/>
          <cell r="AH188">
            <v>0</v>
          </cell>
          <cell r="AI188">
            <v>0.7633462834239465</v>
          </cell>
          <cell r="AJ188"/>
          <cell r="AK188">
            <v>0</v>
          </cell>
          <cell r="AL188">
            <v>0.76498279774316058</v>
          </cell>
          <cell r="AM188"/>
          <cell r="AN188">
            <v>0</v>
          </cell>
          <cell r="AO188">
            <v>0.7594898076964488</v>
          </cell>
        </row>
        <row r="189">
          <cell r="A189" t="str">
            <v>Service</v>
          </cell>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row>
        <row r="190">
          <cell r="A190" t="str">
            <v>ServiceSous-traitement</v>
          </cell>
          <cell r="C190">
            <v>0</v>
          </cell>
          <cell r="D190">
            <v>241000</v>
          </cell>
          <cell r="E190">
            <v>48200</v>
          </cell>
          <cell r="F190"/>
          <cell r="G190">
            <v>12050</v>
          </cell>
          <cell r="H190">
            <v>2410</v>
          </cell>
          <cell r="I190"/>
          <cell r="J190">
            <v>14460</v>
          </cell>
          <cell r="K190">
            <v>2892</v>
          </cell>
          <cell r="L190"/>
          <cell r="M190">
            <v>21690</v>
          </cell>
          <cell r="N190">
            <v>4338</v>
          </cell>
          <cell r="O190"/>
          <cell r="P190">
            <v>24100</v>
          </cell>
          <cell r="Q190">
            <v>4820</v>
          </cell>
          <cell r="R190"/>
          <cell r="S190">
            <v>24100</v>
          </cell>
          <cell r="T190">
            <v>4820</v>
          </cell>
          <cell r="U190"/>
          <cell r="V190">
            <v>24100</v>
          </cell>
          <cell r="W190">
            <v>4820</v>
          </cell>
          <cell r="X190"/>
          <cell r="Y190">
            <v>21690</v>
          </cell>
          <cell r="Z190">
            <v>4338</v>
          </cell>
          <cell r="AA190"/>
          <cell r="AB190">
            <v>21690</v>
          </cell>
          <cell r="AC190">
            <v>4338</v>
          </cell>
          <cell r="AD190"/>
          <cell r="AE190">
            <v>21690</v>
          </cell>
          <cell r="AF190">
            <v>4338</v>
          </cell>
          <cell r="AG190"/>
          <cell r="AH190">
            <v>21690</v>
          </cell>
          <cell r="AI190">
            <v>4338</v>
          </cell>
          <cell r="AJ190"/>
          <cell r="AK190">
            <v>19280</v>
          </cell>
          <cell r="AL190">
            <v>3856</v>
          </cell>
          <cell r="AM190"/>
          <cell r="AN190">
            <v>14460</v>
          </cell>
          <cell r="AO190">
            <v>2892</v>
          </cell>
        </row>
        <row r="191">
          <cell r="A191" t="str">
            <v>Service% profit / ventes</v>
          </cell>
          <cell r="C191"/>
          <cell r="D191"/>
          <cell r="E191">
            <v>0.2</v>
          </cell>
          <cell r="F191"/>
          <cell r="G191"/>
          <cell r="H191">
            <v>0.2</v>
          </cell>
          <cell r="I191"/>
          <cell r="J191"/>
          <cell r="K191">
            <v>0.2</v>
          </cell>
          <cell r="L191"/>
          <cell r="M191"/>
          <cell r="N191">
            <v>0.2</v>
          </cell>
          <cell r="O191"/>
          <cell r="P191"/>
          <cell r="Q191">
            <v>0.2</v>
          </cell>
          <cell r="R191"/>
          <cell r="S191"/>
          <cell r="T191">
            <v>0.2</v>
          </cell>
          <cell r="U191"/>
          <cell r="V191"/>
          <cell r="W191">
            <v>0.2</v>
          </cell>
          <cell r="X191"/>
          <cell r="Y191"/>
          <cell r="Z191">
            <v>0.2</v>
          </cell>
          <cell r="AA191"/>
          <cell r="AB191"/>
          <cell r="AC191">
            <v>0.2</v>
          </cell>
          <cell r="AD191"/>
          <cell r="AE191"/>
          <cell r="AF191">
            <v>0.2</v>
          </cell>
          <cell r="AG191"/>
          <cell r="AH191"/>
          <cell r="AI191">
            <v>0.2</v>
          </cell>
          <cell r="AJ191"/>
          <cell r="AK191"/>
          <cell r="AL191">
            <v>0.2</v>
          </cell>
          <cell r="AM191"/>
          <cell r="AN191"/>
          <cell r="AO191">
            <v>0.2</v>
          </cell>
        </row>
        <row r="192">
          <cell r="A192" t="str">
            <v>Service</v>
          </cell>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row>
        <row r="193">
          <cell r="A193" t="str">
            <v>ServiceM.O. Recond. MCPA</v>
          </cell>
          <cell r="C193">
            <v>0</v>
          </cell>
          <cell r="D193">
            <v>0</v>
          </cell>
          <cell r="E193">
            <v>0</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 profit / ventes</v>
          </cell>
          <cell r="C194"/>
          <cell r="D194"/>
          <cell r="E194">
            <v>0</v>
          </cell>
          <cell r="F194"/>
          <cell r="G194"/>
          <cell r="H194">
            <v>0</v>
          </cell>
          <cell r="I194"/>
          <cell r="J194"/>
          <cell r="K194">
            <v>0</v>
          </cell>
          <cell r="L194"/>
          <cell r="M194"/>
          <cell r="N194">
            <v>0</v>
          </cell>
          <cell r="O194"/>
          <cell r="P194"/>
          <cell r="Q194">
            <v>0</v>
          </cell>
          <cell r="R194"/>
          <cell r="S194"/>
          <cell r="T194">
            <v>0</v>
          </cell>
          <cell r="U194"/>
          <cell r="V194"/>
          <cell r="W194">
            <v>0</v>
          </cell>
          <cell r="X194"/>
          <cell r="Y194"/>
          <cell r="Z194">
            <v>0</v>
          </cell>
          <cell r="AA194"/>
          <cell r="AB194"/>
          <cell r="AC194">
            <v>0</v>
          </cell>
          <cell r="AD194"/>
          <cell r="AE194"/>
          <cell r="AF194">
            <v>0</v>
          </cell>
          <cell r="AG194"/>
          <cell r="AH194"/>
          <cell r="AI194">
            <v>0</v>
          </cell>
          <cell r="AJ194"/>
          <cell r="AK194"/>
          <cell r="AL194">
            <v>0</v>
          </cell>
          <cell r="AM194"/>
          <cell r="AN194"/>
          <cell r="AO194">
            <v>0</v>
          </cell>
        </row>
        <row r="195">
          <cell r="A195" t="str">
            <v>Service</v>
          </cell>
          <cell r="C195"/>
          <cell r="D195"/>
          <cell r="E195"/>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row>
        <row r="196">
          <cell r="A196" t="str">
            <v>ServiceTotal Mécanique</v>
          </cell>
          <cell r="C196"/>
          <cell r="D196">
            <v>2781415.364771151</v>
          </cell>
          <cell r="E196">
            <v>1977619.5768591459</v>
          </cell>
          <cell r="F196"/>
          <cell r="G196">
            <v>167977.08188626906</v>
          </cell>
          <cell r="H196">
            <v>121240.62680154879</v>
          </cell>
          <cell r="I196"/>
          <cell r="J196">
            <v>166884.92188626909</v>
          </cell>
          <cell r="K196">
            <v>118657.17461154875</v>
          </cell>
          <cell r="L196"/>
          <cell r="M196">
            <v>236993.56282940361</v>
          </cell>
          <cell r="N196">
            <v>167219.82632732316</v>
          </cell>
          <cell r="O196"/>
          <cell r="P196">
            <v>286960.85282940359</v>
          </cell>
          <cell r="Q196">
            <v>205902.21079732312</v>
          </cell>
          <cell r="R196"/>
          <cell r="S196">
            <v>286960.85282940359</v>
          </cell>
          <cell r="T196">
            <v>205902.21079732312</v>
          </cell>
          <cell r="U196"/>
          <cell r="V196">
            <v>256025.55647711508</v>
          </cell>
          <cell r="W196">
            <v>179825.89790591461</v>
          </cell>
          <cell r="X196"/>
          <cell r="Y196">
            <v>208087.24918169208</v>
          </cell>
          <cell r="Z196">
            <v>144860.17836873169</v>
          </cell>
          <cell r="AA196"/>
          <cell r="AB196">
            <v>205811.41918169209</v>
          </cell>
          <cell r="AC196">
            <v>143062.27266873172</v>
          </cell>
          <cell r="AD196"/>
          <cell r="AE196">
            <v>210325.9228294036</v>
          </cell>
          <cell r="AF196">
            <v>145687.95514732317</v>
          </cell>
          <cell r="AG196"/>
          <cell r="AH196">
            <v>292567.5164771151</v>
          </cell>
          <cell r="AI196">
            <v>211111.34546591464</v>
          </cell>
          <cell r="AJ196"/>
          <cell r="AK196">
            <v>295935.50647711509</v>
          </cell>
          <cell r="AL196">
            <v>215492.70335591459</v>
          </cell>
          <cell r="AM196"/>
          <cell r="AN196">
            <v>166884.92188626909</v>
          </cell>
          <cell r="AO196">
            <v>118657.17461154875</v>
          </cell>
        </row>
        <row r="197">
          <cell r="A197" t="str">
            <v>Service</v>
          </cell>
          <cell r="C197"/>
          <cell r="D197"/>
          <cell r="E197">
            <v>0.7110119552466988</v>
          </cell>
          <cell r="F197"/>
          <cell r="G197"/>
          <cell r="H197">
            <v>0.7217688594187881</v>
          </cell>
          <cell r="I197"/>
          <cell r="J197"/>
          <cell r="K197">
            <v>0.71101195524669858</v>
          </cell>
          <cell r="L197"/>
          <cell r="M197"/>
          <cell r="N197">
            <v>0.70558805197461805</v>
          </cell>
          <cell r="O197"/>
          <cell r="P197"/>
          <cell r="Q197">
            <v>0.71752717754756146</v>
          </cell>
          <cell r="R197"/>
          <cell r="S197"/>
          <cell r="T197">
            <v>0.71752717754756146</v>
          </cell>
          <cell r="U197"/>
          <cell r="V197"/>
          <cell r="W197">
            <v>0.70237479562704674</v>
          </cell>
          <cell r="X197"/>
          <cell r="Y197"/>
          <cell r="Z197">
            <v>0.69615115264581418</v>
          </cell>
          <cell r="AA197"/>
          <cell r="AB197"/>
          <cell r="AC197">
            <v>0.69511338699061742</v>
          </cell>
          <cell r="AD197"/>
          <cell r="AE197"/>
          <cell r="AF197">
            <v>0.69267712314040997</v>
          </cell>
          <cell r="AG197"/>
          <cell r="AH197"/>
          <cell r="AI197">
            <v>0.7215816301411847</v>
          </cell>
          <cell r="AJ197"/>
          <cell r="AK197"/>
          <cell r="AL197">
            <v>0.72817454695176564</v>
          </cell>
          <cell r="AM197"/>
          <cell r="AN197"/>
          <cell r="AO197">
            <v>0.71101195524669858</v>
          </cell>
        </row>
        <row r="198">
          <cell r="A198" t="str">
            <v>Service</v>
          </cell>
          <cell r="C198"/>
          <cell r="D198"/>
          <cell r="E198"/>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row>
        <row r="199">
          <cell r="A199" t="str">
            <v>ServiceDEPENSES</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ServiceSalaires cadres</v>
          </cell>
          <cell r="C200"/>
          <cell r="D200"/>
          <cell r="E200">
            <v>88979.1</v>
          </cell>
          <cell r="F200"/>
          <cell r="G200"/>
          <cell r="H200">
            <v>7228.2034482758618</v>
          </cell>
          <cell r="I200"/>
          <cell r="J200"/>
          <cell r="K200">
            <v>6979.2413793103442</v>
          </cell>
          <cell r="L200"/>
          <cell r="M200"/>
          <cell r="N200">
            <v>7726.127586206896</v>
          </cell>
          <cell r="O200"/>
          <cell r="P200"/>
          <cell r="Q200">
            <v>7228.2034482758618</v>
          </cell>
          <cell r="R200"/>
          <cell r="S200"/>
          <cell r="T200">
            <v>7477.1655172413793</v>
          </cell>
          <cell r="U200"/>
          <cell r="V200"/>
          <cell r="W200">
            <v>7477.1655172413793</v>
          </cell>
          <cell r="X200"/>
          <cell r="Y200"/>
          <cell r="Z200">
            <v>7477.1655172413793</v>
          </cell>
          <cell r="AA200"/>
          <cell r="AB200"/>
          <cell r="AC200">
            <v>7477.1655172413793</v>
          </cell>
          <cell r="AD200"/>
          <cell r="AE200"/>
          <cell r="AF200">
            <v>7477.1655172413793</v>
          </cell>
          <cell r="AG200"/>
          <cell r="AH200"/>
          <cell r="AI200">
            <v>7228.2034482758618</v>
          </cell>
          <cell r="AJ200"/>
          <cell r="AK200"/>
          <cell r="AL200">
            <v>7477.1655172413793</v>
          </cell>
          <cell r="AM200"/>
          <cell r="AN200"/>
          <cell r="AO200">
            <v>7726.127586206896</v>
          </cell>
        </row>
        <row r="201">
          <cell r="A201" t="str">
            <v>ServiceSalaires commis</v>
          </cell>
          <cell r="C201"/>
          <cell r="D201"/>
          <cell r="E201">
            <v>71190.60100000001</v>
          </cell>
          <cell r="F201"/>
          <cell r="G201"/>
          <cell r="H201">
            <v>5727.9793908045976</v>
          </cell>
          <cell r="I201"/>
          <cell r="J201"/>
          <cell r="K201">
            <v>5455.2184674329501</v>
          </cell>
          <cell r="L201"/>
          <cell r="M201"/>
          <cell r="N201">
            <v>6273.5012375478927</v>
          </cell>
          <cell r="O201"/>
          <cell r="P201"/>
          <cell r="Q201">
            <v>5727.9793908045976</v>
          </cell>
          <cell r="R201"/>
          <cell r="S201"/>
          <cell r="T201">
            <v>6000.7403141762443</v>
          </cell>
          <cell r="U201"/>
          <cell r="V201"/>
          <cell r="W201">
            <v>6000.7403141762443</v>
          </cell>
          <cell r="X201"/>
          <cell r="Y201"/>
          <cell r="Z201">
            <v>6000.7403141762443</v>
          </cell>
          <cell r="AA201"/>
          <cell r="AB201"/>
          <cell r="AC201">
            <v>6000.7403141762443</v>
          </cell>
          <cell r="AD201"/>
          <cell r="AE201"/>
          <cell r="AF201">
            <v>6000.7403141762443</v>
          </cell>
          <cell r="AG201"/>
          <cell r="AH201"/>
          <cell r="AI201">
            <v>5727.9793908045976</v>
          </cell>
          <cell r="AJ201"/>
          <cell r="AK201"/>
          <cell r="AL201">
            <v>6000.7403141762443</v>
          </cell>
          <cell r="AM201"/>
          <cell r="AN201"/>
          <cell r="AO201">
            <v>6273.5012375478927</v>
          </cell>
        </row>
        <row r="202">
          <cell r="A202" t="str">
            <v>ServiceSalaires autres</v>
          </cell>
          <cell r="C202"/>
          <cell r="D202"/>
          <cell r="E202">
            <v>151478.86800000002</v>
          </cell>
          <cell r="F202"/>
          <cell r="G202"/>
          <cell r="H202">
            <v>12187.954896551724</v>
          </cell>
          <cell r="I202"/>
          <cell r="J202"/>
          <cell r="K202">
            <v>11607.576091954023</v>
          </cell>
          <cell r="L202"/>
          <cell r="M202"/>
          <cell r="N202">
            <v>13348.712505747126</v>
          </cell>
          <cell r="O202"/>
          <cell r="P202"/>
          <cell r="Q202">
            <v>12187.954896551724</v>
          </cell>
          <cell r="R202"/>
          <cell r="S202"/>
          <cell r="T202">
            <v>12768.333701149426</v>
          </cell>
          <cell r="U202"/>
          <cell r="V202"/>
          <cell r="W202">
            <v>12768.333701149426</v>
          </cell>
          <cell r="X202"/>
          <cell r="Y202"/>
          <cell r="Z202">
            <v>12768.333701149426</v>
          </cell>
          <cell r="AA202"/>
          <cell r="AB202"/>
          <cell r="AC202">
            <v>12768.333701149426</v>
          </cell>
          <cell r="AD202"/>
          <cell r="AE202"/>
          <cell r="AF202">
            <v>12768.333701149426</v>
          </cell>
          <cell r="AG202"/>
          <cell r="AH202"/>
          <cell r="AI202">
            <v>12187.954896551724</v>
          </cell>
          <cell r="AJ202"/>
          <cell r="AK202"/>
          <cell r="AL202">
            <v>12768.333701149426</v>
          </cell>
          <cell r="AM202"/>
          <cell r="AN202"/>
          <cell r="AO202">
            <v>13348.712505747126</v>
          </cell>
        </row>
        <row r="203">
          <cell r="A203" t="str">
            <v>ServiceSalaires spécialistes</v>
          </cell>
          <cell r="C203"/>
          <cell r="D203"/>
          <cell r="E203">
            <v>186953.80799999999</v>
          </cell>
          <cell r="F203"/>
          <cell r="G203"/>
          <cell r="H203">
            <v>15254.812137931034</v>
          </cell>
          <cell r="I203"/>
          <cell r="J203"/>
          <cell r="K203">
            <v>14821.916321839079</v>
          </cell>
          <cell r="L203"/>
          <cell r="M203"/>
          <cell r="N203">
            <v>16120.603770114942</v>
          </cell>
          <cell r="O203"/>
          <cell r="P203"/>
          <cell r="Q203">
            <v>15254.812137931034</v>
          </cell>
          <cell r="R203"/>
          <cell r="S203"/>
          <cell r="T203">
            <v>15687.707954022988</v>
          </cell>
          <cell r="U203"/>
          <cell r="V203"/>
          <cell r="W203">
            <v>15687.707954022988</v>
          </cell>
          <cell r="X203"/>
          <cell r="Y203"/>
          <cell r="Z203">
            <v>15687.707954022988</v>
          </cell>
          <cell r="AA203"/>
          <cell r="AB203"/>
          <cell r="AC203">
            <v>15687.707954022988</v>
          </cell>
          <cell r="AD203"/>
          <cell r="AE203"/>
          <cell r="AF203">
            <v>15687.707954022988</v>
          </cell>
          <cell r="AG203"/>
          <cell r="AH203"/>
          <cell r="AI203">
            <v>15254.812137931034</v>
          </cell>
          <cell r="AJ203"/>
          <cell r="AK203"/>
          <cell r="AL203">
            <v>15687.707954022988</v>
          </cell>
          <cell r="AM203"/>
          <cell r="AN203"/>
          <cell r="AO203">
            <v>16120.603770114942</v>
          </cell>
        </row>
        <row r="204">
          <cell r="A204" t="str">
            <v>Service[...]</v>
          </cell>
          <cell r="C204"/>
          <cell r="D204"/>
          <cell r="E204">
            <v>0</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ServiceSalaires en absences</v>
          </cell>
          <cell r="C207"/>
          <cell r="D207"/>
          <cell r="E207">
            <v>119384.44458618361</v>
          </cell>
          <cell r="F207"/>
          <cell r="G207"/>
          <cell r="H207">
            <v>9901.9988294089653</v>
          </cell>
          <cell r="I207"/>
          <cell r="J207"/>
          <cell r="K207">
            <v>9470.4945012671851</v>
          </cell>
          <cell r="L207"/>
          <cell r="M207"/>
          <cell r="N207">
            <v>10488.084125692529</v>
          </cell>
          <cell r="O207"/>
          <cell r="P207"/>
          <cell r="Q207">
            <v>9901.9988294089653</v>
          </cell>
          <cell r="R207"/>
          <cell r="S207"/>
          <cell r="T207">
            <v>9779.6564375507478</v>
          </cell>
          <cell r="U207"/>
          <cell r="V207"/>
          <cell r="W207">
            <v>10056.579797550748</v>
          </cell>
          <cell r="X207"/>
          <cell r="Y207"/>
          <cell r="Z207">
            <v>10333.503157550749</v>
          </cell>
          <cell r="AA207"/>
          <cell r="AB207"/>
          <cell r="AC207">
            <v>10056.579797550748</v>
          </cell>
          <cell r="AD207"/>
          <cell r="AE207"/>
          <cell r="AF207">
            <v>10056.579797550748</v>
          </cell>
          <cell r="AG207"/>
          <cell r="AH207"/>
          <cell r="AI207">
            <v>9901.9988294089653</v>
          </cell>
          <cell r="AJ207"/>
          <cell r="AK207"/>
          <cell r="AL207">
            <v>10056.579797550748</v>
          </cell>
          <cell r="AM207"/>
          <cell r="AN207"/>
          <cell r="AO207">
            <v>9380.3906856925296</v>
          </cell>
        </row>
        <row r="208">
          <cell r="A208" t="str">
            <v>ServiceDéduction à la source</v>
          </cell>
          <cell r="C208"/>
          <cell r="D208"/>
          <cell r="E208">
            <v>89846.025307127886</v>
          </cell>
          <cell r="F208"/>
          <cell r="G208"/>
          <cell r="H208">
            <v>7452.0197375964372</v>
          </cell>
          <cell r="I208"/>
          <cell r="J208"/>
          <cell r="K208">
            <v>7127.2793669330349</v>
          </cell>
          <cell r="L208"/>
          <cell r="M208"/>
          <cell r="N208">
            <v>7893.0942389232432</v>
          </cell>
          <cell r="O208"/>
          <cell r="P208"/>
          <cell r="Q208">
            <v>7452.0197375964372</v>
          </cell>
          <cell r="R208"/>
          <cell r="S208"/>
          <cell r="T208">
            <v>7359.9476282598398</v>
          </cell>
          <cell r="U208"/>
          <cell r="V208"/>
          <cell r="W208">
            <v>7568.353868259841</v>
          </cell>
          <cell r="X208"/>
          <cell r="Y208"/>
          <cell r="Z208">
            <v>7776.7601082598412</v>
          </cell>
          <cell r="AA208"/>
          <cell r="AB208"/>
          <cell r="AC208">
            <v>7568.353868259841</v>
          </cell>
          <cell r="AD208"/>
          <cell r="AE208"/>
          <cell r="AF208">
            <v>7568.353868259841</v>
          </cell>
          <cell r="AG208"/>
          <cell r="AH208"/>
          <cell r="AI208">
            <v>7452.0197375964372</v>
          </cell>
          <cell r="AJ208"/>
          <cell r="AK208"/>
          <cell r="AL208">
            <v>7568.353868259841</v>
          </cell>
          <cell r="AM208"/>
          <cell r="AN208"/>
          <cell r="AO208">
            <v>7059.4692789232431</v>
          </cell>
        </row>
        <row r="209">
          <cell r="A209" t="str">
            <v>ServiceBénéfices marginaux</v>
          </cell>
          <cell r="C209"/>
          <cell r="D209"/>
          <cell r="E209">
            <v>136615.18916563279</v>
          </cell>
          <cell r="F209"/>
          <cell r="G209"/>
          <cell r="H209">
            <v>11331.153299632941</v>
          </cell>
          <cell r="I209"/>
          <cell r="J209"/>
          <cell r="K209">
            <v>10837.369996295438</v>
          </cell>
          <cell r="L209"/>
          <cell r="M209"/>
          <cell r="N209">
            <v>12001.828226307945</v>
          </cell>
          <cell r="O209"/>
          <cell r="P209"/>
          <cell r="Q209">
            <v>11331.153299632941</v>
          </cell>
          <cell r="R209"/>
          <cell r="S209"/>
          <cell r="T209">
            <v>11191.153242970442</v>
          </cell>
          <cell r="U209"/>
          <cell r="V209"/>
          <cell r="W209">
            <v>11508.044922970443</v>
          </cell>
          <cell r="X209"/>
          <cell r="Y209"/>
          <cell r="Z209">
            <v>11824.936602970443</v>
          </cell>
          <cell r="AA209"/>
          <cell r="AB209"/>
          <cell r="AC209">
            <v>11508.044922970443</v>
          </cell>
          <cell r="AD209"/>
          <cell r="AE209"/>
          <cell r="AF209">
            <v>11508.044922970443</v>
          </cell>
          <cell r="AG209"/>
          <cell r="AH209"/>
          <cell r="AI209">
            <v>11331.153299632941</v>
          </cell>
          <cell r="AJ209"/>
          <cell r="AK209"/>
          <cell r="AL209">
            <v>11508.044922970443</v>
          </cell>
          <cell r="AM209"/>
          <cell r="AN209"/>
          <cell r="AO209">
            <v>10734.261506307945</v>
          </cell>
        </row>
        <row r="210">
          <cell r="A210" t="str">
            <v>ServiceCsst</v>
          </cell>
          <cell r="C210"/>
          <cell r="D210"/>
          <cell r="E210">
            <v>24615.349399213119</v>
          </cell>
          <cell r="F210"/>
          <cell r="G210"/>
          <cell r="H210">
            <v>2041.6492431771062</v>
          </cell>
          <cell r="I210"/>
          <cell r="J210"/>
          <cell r="K210">
            <v>1952.6792786117906</v>
          </cell>
          <cell r="L210"/>
          <cell r="M210"/>
          <cell r="N210">
            <v>2162.4915723077379</v>
          </cell>
          <cell r="O210"/>
          <cell r="P210"/>
          <cell r="Q210">
            <v>2041.6492431771062</v>
          </cell>
          <cell r="R210"/>
          <cell r="S210"/>
          <cell r="T210">
            <v>2016.4240077424222</v>
          </cell>
          <cell r="U210"/>
          <cell r="V210"/>
          <cell r="W210">
            <v>2073.521607742422</v>
          </cell>
          <cell r="X210"/>
          <cell r="Y210"/>
          <cell r="Z210">
            <v>2130.6192077424225</v>
          </cell>
          <cell r="AA210"/>
          <cell r="AB210"/>
          <cell r="AC210">
            <v>2073.521607742422</v>
          </cell>
          <cell r="AD210"/>
          <cell r="AE210"/>
          <cell r="AF210">
            <v>2073.521607742422</v>
          </cell>
          <cell r="AG210"/>
          <cell r="AH210"/>
          <cell r="AI210">
            <v>2041.6492431771062</v>
          </cell>
          <cell r="AJ210"/>
          <cell r="AK210"/>
          <cell r="AL210">
            <v>2073.521607742422</v>
          </cell>
          <cell r="AM210"/>
          <cell r="AN210"/>
          <cell r="AO210">
            <v>1934.1011723077379</v>
          </cell>
        </row>
        <row r="211">
          <cell r="A211" t="str">
            <v>Service[...]</v>
          </cell>
          <cell r="C211"/>
          <cell r="D211"/>
          <cell r="E211">
            <v>0</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row>
        <row r="212">
          <cell r="A212" t="str">
            <v>ServiceTOTAL PERSONNEL</v>
          </cell>
          <cell r="C212" t="str">
            <v>%brut</v>
          </cell>
          <cell r="D212">
            <v>0.43944922250335089</v>
          </cell>
          <cell r="E212">
            <v>869063.3854581574</v>
          </cell>
          <cell r="F212" t="str">
            <v>%brut</v>
          </cell>
          <cell r="G212">
            <v>0.58664964756244609</v>
          </cell>
          <cell r="H212">
            <v>71125.77098337865</v>
          </cell>
          <cell r="I212" t="str">
            <v>%brut</v>
          </cell>
          <cell r="J212">
            <v>0.57520142062274404</v>
          </cell>
          <cell r="K212">
            <v>68251.775403643842</v>
          </cell>
          <cell r="L212" t="str">
            <v>%brut</v>
          </cell>
          <cell r="M212">
            <v>0.4545779345210802</v>
          </cell>
          <cell r="N212">
            <v>76014.443262848305</v>
          </cell>
          <cell r="O212" t="str">
            <v>%brut</v>
          </cell>
          <cell r="P212">
            <v>0.34543471246838764</v>
          </cell>
          <cell r="Q212">
            <v>71125.77098337865</v>
          </cell>
          <cell r="R212" t="str">
            <v>%brut</v>
          </cell>
          <cell r="S212">
            <v>0.35104590923631401</v>
          </cell>
          <cell r="T212">
            <v>72281.12880311349</v>
          </cell>
          <cell r="U212" t="str">
            <v>%brut</v>
          </cell>
          <cell r="V212">
            <v>0.40672922273620887</v>
          </cell>
          <cell r="W212">
            <v>73140.447683113496</v>
          </cell>
          <cell r="X212" t="str">
            <v>%brut</v>
          </cell>
          <cell r="Y212">
            <v>0.51083581006473799</v>
          </cell>
          <cell r="Z212">
            <v>73999.766563113488</v>
          </cell>
          <cell r="AA212" t="str">
            <v>%brut</v>
          </cell>
          <cell r="AB212">
            <v>0.51124902686590257</v>
          </cell>
          <cell r="AC212">
            <v>73140.447683113496</v>
          </cell>
          <cell r="AD212" t="str">
            <v>%brut</v>
          </cell>
          <cell r="AE212">
            <v>0.50203496650874202</v>
          </cell>
          <cell r="AF212">
            <v>73140.447683113496</v>
          </cell>
          <cell r="AG212" t="str">
            <v>%brut</v>
          </cell>
          <cell r="AH212">
            <v>0.3369111727577066</v>
          </cell>
          <cell r="AI212">
            <v>71125.77098337865</v>
          </cell>
          <cell r="AJ212" t="str">
            <v>%brut</v>
          </cell>
          <cell r="AK212">
            <v>0.33941032129664461</v>
          </cell>
          <cell r="AL212">
            <v>73140.447683113496</v>
          </cell>
          <cell r="AM212" t="str">
            <v>%brut</v>
          </cell>
          <cell r="AN212">
            <v>0.61165427190092947</v>
          </cell>
          <cell r="AO212">
            <v>72577.167742848309</v>
          </cell>
        </row>
        <row r="213">
          <cell r="A213" t="str">
            <v>ServicePublicité 2</v>
          </cell>
          <cell r="C213"/>
          <cell r="D213"/>
          <cell r="E213">
            <v>52730.6</v>
          </cell>
          <cell r="F213"/>
          <cell r="G213"/>
          <cell r="H213">
            <v>4394.2166666666662</v>
          </cell>
          <cell r="I213"/>
          <cell r="J213"/>
          <cell r="K213">
            <v>4394.2166666666662</v>
          </cell>
          <cell r="L213"/>
          <cell r="M213"/>
          <cell r="N213">
            <v>4394.2166666666662</v>
          </cell>
          <cell r="O213"/>
          <cell r="P213"/>
          <cell r="Q213">
            <v>4394.2166666666662</v>
          </cell>
          <cell r="R213"/>
          <cell r="S213"/>
          <cell r="T213">
            <v>4394.2166666666662</v>
          </cell>
          <cell r="U213"/>
          <cell r="V213"/>
          <cell r="W213">
            <v>4394.2166666666662</v>
          </cell>
          <cell r="X213"/>
          <cell r="Y213"/>
          <cell r="Z213">
            <v>4394.2166666666662</v>
          </cell>
          <cell r="AA213"/>
          <cell r="AB213"/>
          <cell r="AC213">
            <v>4394.2166666666662</v>
          </cell>
          <cell r="AD213"/>
          <cell r="AE213"/>
          <cell r="AF213">
            <v>4394.2166666666662</v>
          </cell>
          <cell r="AG213"/>
          <cell r="AH213"/>
          <cell r="AI213">
            <v>4394.2166666666662</v>
          </cell>
          <cell r="AJ213"/>
          <cell r="AK213"/>
          <cell r="AL213">
            <v>4394.2166666666662</v>
          </cell>
          <cell r="AM213"/>
          <cell r="AN213"/>
          <cell r="AO213">
            <v>4394.2166666666662</v>
          </cell>
        </row>
        <row r="214">
          <cell r="A214" t="str">
            <v>ServiceService gratuit 2</v>
          </cell>
          <cell r="C214"/>
          <cell r="D214"/>
          <cell r="E214">
            <v>45000</v>
          </cell>
          <cell r="F214"/>
          <cell r="G214"/>
          <cell r="H214">
            <v>3750</v>
          </cell>
          <cell r="I214"/>
          <cell r="J214"/>
          <cell r="K214">
            <v>3750</v>
          </cell>
          <cell r="L214"/>
          <cell r="M214"/>
          <cell r="N214">
            <v>3750</v>
          </cell>
          <cell r="O214"/>
          <cell r="P214"/>
          <cell r="Q214">
            <v>3750</v>
          </cell>
          <cell r="R214"/>
          <cell r="S214"/>
          <cell r="T214">
            <v>3750</v>
          </cell>
          <cell r="U214"/>
          <cell r="V214"/>
          <cell r="W214">
            <v>3750</v>
          </cell>
          <cell r="X214"/>
          <cell r="Y214"/>
          <cell r="Z214">
            <v>3750</v>
          </cell>
          <cell r="AA214"/>
          <cell r="AB214"/>
          <cell r="AC214">
            <v>3750</v>
          </cell>
          <cell r="AD214"/>
          <cell r="AE214"/>
          <cell r="AF214">
            <v>3750</v>
          </cell>
          <cell r="AG214"/>
          <cell r="AH214"/>
          <cell r="AI214">
            <v>3750</v>
          </cell>
          <cell r="AJ214"/>
          <cell r="AK214"/>
          <cell r="AL214">
            <v>3750</v>
          </cell>
          <cell r="AM214"/>
          <cell r="AN214"/>
          <cell r="AO214">
            <v>3750</v>
          </cell>
        </row>
        <row r="215">
          <cell r="A215" t="str">
            <v>ServiceFrais véhicules de cie</v>
          </cell>
          <cell r="C215"/>
          <cell r="D215"/>
          <cell r="E215">
            <v>500096.56</v>
          </cell>
          <cell r="F215"/>
          <cell r="G215"/>
          <cell r="H215">
            <v>26786.38</v>
          </cell>
          <cell r="I215"/>
          <cell r="J215"/>
          <cell r="K215">
            <v>26786.38</v>
          </cell>
          <cell r="L215"/>
          <cell r="M215"/>
          <cell r="N215">
            <v>41546.379999999997</v>
          </cell>
          <cell r="O215"/>
          <cell r="P215"/>
          <cell r="Q215">
            <v>52616.38</v>
          </cell>
          <cell r="R215"/>
          <cell r="S215"/>
          <cell r="T215">
            <v>53616.38</v>
          </cell>
          <cell r="U215"/>
          <cell r="V215"/>
          <cell r="W215">
            <v>46466.38</v>
          </cell>
          <cell r="X215"/>
          <cell r="Y215"/>
          <cell r="Z215">
            <v>39086.379999999997</v>
          </cell>
          <cell r="AA215"/>
          <cell r="AB215"/>
          <cell r="AC215">
            <v>39086.379999999997</v>
          </cell>
          <cell r="AD215"/>
          <cell r="AE215"/>
          <cell r="AF215">
            <v>39086.379999999997</v>
          </cell>
          <cell r="AG215"/>
          <cell r="AH215"/>
          <cell r="AI215">
            <v>52616.38</v>
          </cell>
          <cell r="AJ215"/>
          <cell r="AK215"/>
          <cell r="AL215">
            <v>55616.38</v>
          </cell>
          <cell r="AM215"/>
          <cell r="AN215"/>
          <cell r="AO215">
            <v>26786.38</v>
          </cell>
        </row>
        <row r="216">
          <cell r="A216" t="str">
            <v>ServiceInformatique</v>
          </cell>
          <cell r="C216"/>
          <cell r="D216"/>
          <cell r="E216">
            <v>75724.425000000003</v>
          </cell>
          <cell r="F216"/>
          <cell r="G216"/>
          <cell r="H216">
            <v>6310.3687499999996</v>
          </cell>
          <cell r="I216"/>
          <cell r="J216"/>
          <cell r="K216">
            <v>6310.3687499999996</v>
          </cell>
          <cell r="L216"/>
          <cell r="M216"/>
          <cell r="N216">
            <v>6310.3687499999996</v>
          </cell>
          <cell r="O216"/>
          <cell r="P216"/>
          <cell r="Q216">
            <v>6310.3687499999996</v>
          </cell>
          <cell r="R216"/>
          <cell r="S216"/>
          <cell r="T216">
            <v>6310.3687499999996</v>
          </cell>
          <cell r="U216"/>
          <cell r="V216"/>
          <cell r="W216">
            <v>6310.3687499999996</v>
          </cell>
          <cell r="X216"/>
          <cell r="Y216"/>
          <cell r="Z216">
            <v>6310.3687499999996</v>
          </cell>
          <cell r="AA216"/>
          <cell r="AB216"/>
          <cell r="AC216">
            <v>6310.3687499999996</v>
          </cell>
          <cell r="AD216"/>
          <cell r="AE216"/>
          <cell r="AF216">
            <v>6310.3687499999996</v>
          </cell>
          <cell r="AG216"/>
          <cell r="AH216"/>
          <cell r="AI216">
            <v>6310.3687499999996</v>
          </cell>
          <cell r="AJ216"/>
          <cell r="AK216"/>
          <cell r="AL216">
            <v>6310.3687499999996</v>
          </cell>
          <cell r="AM216"/>
          <cell r="AN216"/>
          <cell r="AO216">
            <v>6310.3687499999996</v>
          </cell>
        </row>
        <row r="217">
          <cell r="A217" t="str">
            <v>ServiceFrais de déplacement</v>
          </cell>
          <cell r="C217"/>
          <cell r="D217"/>
          <cell r="E217">
            <v>18225</v>
          </cell>
          <cell r="F217"/>
          <cell r="G217"/>
          <cell r="H217">
            <v>1518.75</v>
          </cell>
          <cell r="I217"/>
          <cell r="J217"/>
          <cell r="K217">
            <v>1518.75</v>
          </cell>
          <cell r="L217"/>
          <cell r="M217"/>
          <cell r="N217">
            <v>1518.75</v>
          </cell>
          <cell r="O217"/>
          <cell r="P217"/>
          <cell r="Q217">
            <v>1518.75</v>
          </cell>
          <cell r="R217"/>
          <cell r="S217"/>
          <cell r="T217">
            <v>1518.75</v>
          </cell>
          <cell r="U217"/>
          <cell r="V217"/>
          <cell r="W217">
            <v>1518.75</v>
          </cell>
          <cell r="X217"/>
          <cell r="Y217"/>
          <cell r="Z217">
            <v>1518.75</v>
          </cell>
          <cell r="AA217"/>
          <cell r="AB217"/>
          <cell r="AC217">
            <v>1518.75</v>
          </cell>
          <cell r="AD217"/>
          <cell r="AE217"/>
          <cell r="AF217">
            <v>1518.75</v>
          </cell>
          <cell r="AG217"/>
          <cell r="AH217"/>
          <cell r="AI217">
            <v>1518.75</v>
          </cell>
          <cell r="AJ217"/>
          <cell r="AK217"/>
          <cell r="AL217">
            <v>1518.75</v>
          </cell>
          <cell r="AM217"/>
          <cell r="AN217"/>
          <cell r="AO217">
            <v>1518.75</v>
          </cell>
        </row>
        <row r="218">
          <cell r="A218" t="str">
            <v>ServiceServices extérieurs</v>
          </cell>
          <cell r="C218"/>
          <cell r="D218"/>
          <cell r="E218">
            <v>140126.52499999999</v>
          </cell>
          <cell r="F218"/>
          <cell r="G218"/>
          <cell r="H218">
            <v>10732.543749999999</v>
          </cell>
          <cell r="I218"/>
          <cell r="J218"/>
          <cell r="K218">
            <v>10024.043750000001</v>
          </cell>
          <cell r="L218"/>
          <cell r="M218"/>
          <cell r="N218">
            <v>11441.043750000001</v>
          </cell>
          <cell r="O218"/>
          <cell r="P218"/>
          <cell r="Q218">
            <v>13566.543750000001</v>
          </cell>
          <cell r="R218"/>
          <cell r="S218"/>
          <cell r="T218">
            <v>13566.543750000001</v>
          </cell>
          <cell r="U218"/>
          <cell r="V218"/>
          <cell r="W218">
            <v>11441.043750000001</v>
          </cell>
          <cell r="X218"/>
          <cell r="Y218"/>
          <cell r="Z218">
            <v>10024.043750000001</v>
          </cell>
          <cell r="AA218"/>
          <cell r="AB218"/>
          <cell r="AC218">
            <v>10024.043750000001</v>
          </cell>
          <cell r="AD218"/>
          <cell r="AE218"/>
          <cell r="AF218">
            <v>10024.043750000001</v>
          </cell>
          <cell r="AG218"/>
          <cell r="AH218"/>
          <cell r="AI218">
            <v>14275.043750000001</v>
          </cell>
          <cell r="AJ218"/>
          <cell r="AK218"/>
          <cell r="AL218">
            <v>14983.543749999997</v>
          </cell>
          <cell r="AM218"/>
          <cell r="AN218"/>
          <cell r="AO218">
            <v>10024.043750000001</v>
          </cell>
        </row>
        <row r="219">
          <cell r="A219" t="str">
            <v>ServiceFournitures autres</v>
          </cell>
          <cell r="C219"/>
          <cell r="D219"/>
          <cell r="E219">
            <v>24981.504000000001</v>
          </cell>
          <cell r="F219"/>
          <cell r="G219"/>
          <cell r="H219">
            <v>2106.8738313253011</v>
          </cell>
          <cell r="I219"/>
          <cell r="J219"/>
          <cell r="K219">
            <v>2006.5465060240963</v>
          </cell>
          <cell r="L219"/>
          <cell r="M219"/>
          <cell r="N219">
            <v>2207.201156626506</v>
          </cell>
          <cell r="O219"/>
          <cell r="P219"/>
          <cell r="Q219">
            <v>2106.8738313253011</v>
          </cell>
          <cell r="R219"/>
          <cell r="S219"/>
          <cell r="T219">
            <v>2006.5465060240963</v>
          </cell>
          <cell r="U219"/>
          <cell r="V219"/>
          <cell r="W219">
            <v>2106.8738313253011</v>
          </cell>
          <cell r="X219"/>
          <cell r="Y219"/>
          <cell r="Z219">
            <v>2207.201156626506</v>
          </cell>
          <cell r="AA219"/>
          <cell r="AB219"/>
          <cell r="AC219">
            <v>2106.8738313253011</v>
          </cell>
          <cell r="AD219"/>
          <cell r="AE219"/>
          <cell r="AF219">
            <v>2106.8738313253011</v>
          </cell>
          <cell r="AG219"/>
          <cell r="AH219"/>
          <cell r="AI219">
            <v>2106.8738313253011</v>
          </cell>
          <cell r="AJ219"/>
          <cell r="AK219"/>
          <cell r="AL219">
            <v>2106.8738313253011</v>
          </cell>
          <cell r="AM219"/>
          <cell r="AN219"/>
          <cell r="AO219">
            <v>1805.8918554216866</v>
          </cell>
        </row>
        <row r="220">
          <cell r="A220" t="str">
            <v>ServiceUniformes</v>
          </cell>
          <cell r="C220"/>
          <cell r="D220"/>
          <cell r="E220">
            <v>8400</v>
          </cell>
          <cell r="F220"/>
          <cell r="G220"/>
          <cell r="H220">
            <v>700</v>
          </cell>
          <cell r="I220"/>
          <cell r="J220"/>
          <cell r="K220">
            <v>700</v>
          </cell>
          <cell r="L220"/>
          <cell r="M220"/>
          <cell r="N220">
            <v>700</v>
          </cell>
          <cell r="O220"/>
          <cell r="P220"/>
          <cell r="Q220">
            <v>700</v>
          </cell>
          <cell r="R220"/>
          <cell r="S220"/>
          <cell r="T220">
            <v>700</v>
          </cell>
          <cell r="U220"/>
          <cell r="V220"/>
          <cell r="W220">
            <v>700</v>
          </cell>
          <cell r="X220"/>
          <cell r="Y220"/>
          <cell r="Z220">
            <v>700</v>
          </cell>
          <cell r="AA220"/>
          <cell r="AB220"/>
          <cell r="AC220">
            <v>700</v>
          </cell>
          <cell r="AD220"/>
          <cell r="AE220"/>
          <cell r="AF220">
            <v>700</v>
          </cell>
          <cell r="AG220"/>
          <cell r="AH220"/>
          <cell r="AI220">
            <v>700</v>
          </cell>
          <cell r="AJ220"/>
          <cell r="AK220"/>
          <cell r="AL220">
            <v>700</v>
          </cell>
          <cell r="AM220"/>
          <cell r="AN220"/>
          <cell r="AO220">
            <v>700</v>
          </cell>
        </row>
        <row r="221">
          <cell r="A221" t="str">
            <v>ServicePapeterie</v>
          </cell>
          <cell r="C221"/>
          <cell r="D221"/>
          <cell r="E221">
            <v>2700</v>
          </cell>
          <cell r="F221"/>
          <cell r="G221"/>
          <cell r="H221">
            <v>225</v>
          </cell>
          <cell r="I221"/>
          <cell r="J221"/>
          <cell r="K221">
            <v>225</v>
          </cell>
          <cell r="L221"/>
          <cell r="M221"/>
          <cell r="N221">
            <v>225</v>
          </cell>
          <cell r="O221"/>
          <cell r="P221"/>
          <cell r="Q221">
            <v>225</v>
          </cell>
          <cell r="R221"/>
          <cell r="S221"/>
          <cell r="T221">
            <v>225</v>
          </cell>
          <cell r="U221"/>
          <cell r="V221"/>
          <cell r="W221">
            <v>225</v>
          </cell>
          <cell r="X221"/>
          <cell r="Y221"/>
          <cell r="Z221">
            <v>225</v>
          </cell>
          <cell r="AA221"/>
          <cell r="AB221"/>
          <cell r="AC221">
            <v>225</v>
          </cell>
          <cell r="AD221"/>
          <cell r="AE221"/>
          <cell r="AF221">
            <v>225</v>
          </cell>
          <cell r="AG221"/>
          <cell r="AH221"/>
          <cell r="AI221">
            <v>225</v>
          </cell>
          <cell r="AJ221"/>
          <cell r="AK221"/>
          <cell r="AL221">
            <v>225</v>
          </cell>
          <cell r="AM221"/>
          <cell r="AN221"/>
          <cell r="AO221">
            <v>225</v>
          </cell>
        </row>
        <row r="222">
          <cell r="A222" t="str">
            <v>ServiceTéléphone</v>
          </cell>
          <cell r="C222"/>
          <cell r="D222"/>
          <cell r="E222">
            <v>4386.8999999999987</v>
          </cell>
          <cell r="F222"/>
          <cell r="G222"/>
          <cell r="H222">
            <v>365.57499999999993</v>
          </cell>
          <cell r="I222"/>
          <cell r="J222"/>
          <cell r="K222">
            <v>365.57499999999993</v>
          </cell>
          <cell r="L222"/>
          <cell r="M222"/>
          <cell r="N222">
            <v>365.57499999999993</v>
          </cell>
          <cell r="O222"/>
          <cell r="P222"/>
          <cell r="Q222">
            <v>365.57499999999993</v>
          </cell>
          <cell r="R222"/>
          <cell r="S222"/>
          <cell r="T222">
            <v>365.57499999999993</v>
          </cell>
          <cell r="U222"/>
          <cell r="V222"/>
          <cell r="W222">
            <v>365.57499999999993</v>
          </cell>
          <cell r="X222"/>
          <cell r="Y222"/>
          <cell r="Z222">
            <v>365.57499999999993</v>
          </cell>
          <cell r="AA222"/>
          <cell r="AB222"/>
          <cell r="AC222">
            <v>365.57499999999993</v>
          </cell>
          <cell r="AD222"/>
          <cell r="AE222"/>
          <cell r="AF222">
            <v>365.57499999999993</v>
          </cell>
          <cell r="AG222"/>
          <cell r="AH222"/>
          <cell r="AI222">
            <v>365.57499999999993</v>
          </cell>
          <cell r="AJ222"/>
          <cell r="AK222"/>
          <cell r="AL222">
            <v>365.57499999999993</v>
          </cell>
          <cell r="AM222"/>
          <cell r="AN222"/>
          <cell r="AO222">
            <v>365.57499999999993</v>
          </cell>
        </row>
        <row r="223">
          <cell r="A223" t="str">
            <v>ServiceFrais postaux</v>
          </cell>
          <cell r="C223"/>
          <cell r="D223"/>
          <cell r="E223">
            <v>450</v>
          </cell>
          <cell r="F223"/>
          <cell r="G223"/>
          <cell r="H223">
            <v>37.5</v>
          </cell>
          <cell r="I223"/>
          <cell r="J223"/>
          <cell r="K223">
            <v>37.5</v>
          </cell>
          <cell r="L223"/>
          <cell r="M223"/>
          <cell r="N223">
            <v>37.5</v>
          </cell>
          <cell r="O223"/>
          <cell r="P223"/>
          <cell r="Q223">
            <v>37.5</v>
          </cell>
          <cell r="R223"/>
          <cell r="S223"/>
          <cell r="T223">
            <v>37.5</v>
          </cell>
          <cell r="U223"/>
          <cell r="V223"/>
          <cell r="W223">
            <v>37.5</v>
          </cell>
          <cell r="X223"/>
          <cell r="Y223"/>
          <cell r="Z223">
            <v>37.5</v>
          </cell>
          <cell r="AA223"/>
          <cell r="AB223"/>
          <cell r="AC223">
            <v>37.5</v>
          </cell>
          <cell r="AD223"/>
          <cell r="AE223"/>
          <cell r="AF223">
            <v>37.5</v>
          </cell>
          <cell r="AG223"/>
          <cell r="AH223"/>
          <cell r="AI223">
            <v>37.5</v>
          </cell>
          <cell r="AJ223"/>
          <cell r="AK223"/>
          <cell r="AL223">
            <v>37.5</v>
          </cell>
          <cell r="AM223"/>
          <cell r="AN223"/>
          <cell r="AO223">
            <v>37.5</v>
          </cell>
        </row>
        <row r="224">
          <cell r="A224" t="str">
            <v>ServiceDivers</v>
          </cell>
          <cell r="C224"/>
          <cell r="D224"/>
          <cell r="E224">
            <v>9751.7250000000004</v>
          </cell>
          <cell r="F224"/>
          <cell r="G224"/>
          <cell r="H224">
            <v>812.64375000000007</v>
          </cell>
          <cell r="I224"/>
          <cell r="J224"/>
          <cell r="K224">
            <v>812.64375000000007</v>
          </cell>
          <cell r="L224"/>
          <cell r="M224"/>
          <cell r="N224">
            <v>812.64375000000007</v>
          </cell>
          <cell r="O224"/>
          <cell r="P224"/>
          <cell r="Q224">
            <v>812.64375000000007</v>
          </cell>
          <cell r="R224"/>
          <cell r="S224"/>
          <cell r="T224">
            <v>812.64375000000007</v>
          </cell>
          <cell r="U224"/>
          <cell r="V224"/>
          <cell r="W224">
            <v>812.64375000000007</v>
          </cell>
          <cell r="X224"/>
          <cell r="Y224"/>
          <cell r="Z224">
            <v>812.64375000000007</v>
          </cell>
          <cell r="AA224"/>
          <cell r="AB224"/>
          <cell r="AC224">
            <v>812.64375000000007</v>
          </cell>
          <cell r="AD224"/>
          <cell r="AE224"/>
          <cell r="AF224">
            <v>812.64375000000007</v>
          </cell>
          <cell r="AG224"/>
          <cell r="AH224"/>
          <cell r="AI224">
            <v>812.64375000000007</v>
          </cell>
          <cell r="AJ224"/>
          <cell r="AK224"/>
          <cell r="AL224">
            <v>812.64375000000007</v>
          </cell>
          <cell r="AM224"/>
          <cell r="AN224"/>
          <cell r="AO224">
            <v>812.64375000000007</v>
          </cell>
        </row>
        <row r="225">
          <cell r="A225" t="str">
            <v>ServiceFormation</v>
          </cell>
          <cell r="C225"/>
          <cell r="D225"/>
          <cell r="E225">
            <v>64249.999999999993</v>
          </cell>
          <cell r="F225"/>
          <cell r="G225"/>
          <cell r="H225">
            <v>5354.166666666667</v>
          </cell>
          <cell r="I225"/>
          <cell r="J225"/>
          <cell r="K225">
            <v>5354.166666666667</v>
          </cell>
          <cell r="L225"/>
          <cell r="M225"/>
          <cell r="N225">
            <v>5354.166666666667</v>
          </cell>
          <cell r="O225"/>
          <cell r="P225"/>
          <cell r="Q225">
            <v>5354.166666666667</v>
          </cell>
          <cell r="R225"/>
          <cell r="S225"/>
          <cell r="T225">
            <v>5354.166666666667</v>
          </cell>
          <cell r="U225"/>
          <cell r="V225"/>
          <cell r="W225">
            <v>5354.166666666667</v>
          </cell>
          <cell r="X225"/>
          <cell r="Y225"/>
          <cell r="Z225">
            <v>5354.166666666667</v>
          </cell>
          <cell r="AA225"/>
          <cell r="AB225"/>
          <cell r="AC225">
            <v>5354.166666666667</v>
          </cell>
          <cell r="AD225"/>
          <cell r="AE225"/>
          <cell r="AF225">
            <v>5354.166666666667</v>
          </cell>
          <cell r="AG225"/>
          <cell r="AH225"/>
          <cell r="AI225">
            <v>5354.166666666667</v>
          </cell>
          <cell r="AJ225"/>
          <cell r="AK225"/>
          <cell r="AL225">
            <v>5354.166666666667</v>
          </cell>
          <cell r="AM225"/>
          <cell r="AN225"/>
          <cell r="AO225">
            <v>5354.166666666667</v>
          </cell>
        </row>
        <row r="226">
          <cell r="A226" t="str">
            <v>ServiceFrais bancaires</v>
          </cell>
          <cell r="C226"/>
          <cell r="D226"/>
          <cell r="E226">
            <v>26825.864110086113</v>
          </cell>
          <cell r="F226"/>
          <cell r="G226"/>
          <cell r="H226">
            <v>1418.6555182290431</v>
          </cell>
          <cell r="I226"/>
          <cell r="J226"/>
          <cell r="K226">
            <v>1645.2758564616017</v>
          </cell>
          <cell r="L226"/>
          <cell r="M226"/>
          <cell r="N226">
            <v>2574.4594787302622</v>
          </cell>
          <cell r="O226"/>
          <cell r="P226"/>
          <cell r="Q226">
            <v>2468.641797734148</v>
          </cell>
          <cell r="R226"/>
          <cell r="S226"/>
          <cell r="T226">
            <v>2592.3476512501434</v>
          </cell>
          <cell r="U226"/>
          <cell r="V226"/>
          <cell r="W226">
            <v>2570.0110616733291</v>
          </cell>
          <cell r="X226"/>
          <cell r="Y226"/>
          <cell r="Z226">
            <v>2139.5909487341537</v>
          </cell>
          <cell r="AA226"/>
          <cell r="AB226"/>
          <cell r="AC226">
            <v>2262.2140602605518</v>
          </cell>
          <cell r="AD226"/>
          <cell r="AE226"/>
          <cell r="AF226">
            <v>2326.9099082751604</v>
          </cell>
          <cell r="AG226"/>
          <cell r="AH226"/>
          <cell r="AI226">
            <v>2551.0912001934239</v>
          </cell>
          <cell r="AJ226"/>
          <cell r="AK226"/>
          <cell r="AL226">
            <v>2336.6344747730332</v>
          </cell>
          <cell r="AM226"/>
          <cell r="AN226"/>
          <cell r="AO226">
            <v>1940.0321537712653</v>
          </cell>
        </row>
        <row r="227">
          <cell r="A227" t="str">
            <v>Service[...]</v>
          </cell>
          <cell r="C227"/>
          <cell r="D227"/>
          <cell r="E227">
            <v>0</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row>
        <row r="228">
          <cell r="A228" t="str">
            <v>Service[...]</v>
          </cell>
          <cell r="C228"/>
          <cell r="D228"/>
          <cell r="E228">
            <v>0</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ServiceTOTAL SEMI-FIXES</v>
          </cell>
          <cell r="C230" t="str">
            <v>%brut</v>
          </cell>
          <cell r="D230">
            <v>0.49233387174313625</v>
          </cell>
          <cell r="E230">
            <v>973649.10311008617</v>
          </cell>
          <cell r="F230" t="str">
            <v>%brut</v>
          </cell>
          <cell r="G230">
            <v>0.53210442435673344</v>
          </cell>
          <cell r="H230">
            <v>64512.673932887672</v>
          </cell>
          <cell r="I230" t="str">
            <v>%brut</v>
          </cell>
          <cell r="J230">
            <v>0.53878298682831405</v>
          </cell>
          <cell r="K230">
            <v>63930.466945819033</v>
          </cell>
          <cell r="L230" t="str">
            <v>%brut</v>
          </cell>
          <cell r="M230">
            <v>0.4858114435525891</v>
          </cell>
          <cell r="N230">
            <v>81237.305218690104</v>
          </cell>
          <cell r="O230" t="str">
            <v>%brut</v>
          </cell>
          <cell r="P230">
            <v>0.45762821024366479</v>
          </cell>
          <cell r="Q230">
            <v>94226.660212392773</v>
          </cell>
          <cell r="R230" t="str">
            <v>%brut</v>
          </cell>
          <cell r="S230">
            <v>0.46259842656262473</v>
          </cell>
          <cell r="T230">
            <v>95250.038740607561</v>
          </cell>
          <cell r="U230" t="str">
            <v>%brut</v>
          </cell>
          <cell r="V230">
            <v>0.47853246099933217</v>
          </cell>
          <cell r="W230">
            <v>86052.529476331969</v>
          </cell>
          <cell r="X230" t="str">
            <v>%brut</v>
          </cell>
          <cell r="Y230">
            <v>0.5310323206484362</v>
          </cell>
          <cell r="Z230">
            <v>76925.436688693997</v>
          </cell>
          <cell r="AA230" t="str">
            <v>%brut</v>
          </cell>
          <cell r="AB230">
            <v>0.53786180688668173</v>
          </cell>
          <cell r="AC230">
            <v>76947.73247491919</v>
          </cell>
          <cell r="AD230" t="str">
            <v>%brut</v>
          </cell>
          <cell r="AE230">
            <v>0.52861218516696851</v>
          </cell>
          <cell r="AF230">
            <v>77012.428322933803</v>
          </cell>
          <cell r="AG230" t="str">
            <v>%brut</v>
          </cell>
          <cell r="AH230">
            <v>0.45008291432727987</v>
          </cell>
          <cell r="AI230">
            <v>95017.609614852045</v>
          </cell>
          <cell r="AJ230" t="str">
            <v>%brut</v>
          </cell>
          <cell r="AK230">
            <v>0.45714611843133585</v>
          </cell>
          <cell r="AL230">
            <v>98511.652889431658</v>
          </cell>
          <cell r="AM230" t="str">
            <v>%brut</v>
          </cell>
          <cell r="AN230">
            <v>0.53957604166899542</v>
          </cell>
          <cell r="AO230">
            <v>64024.568592526288</v>
          </cell>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DES DÉPENSES</v>
          </cell>
          <cell r="C232" t="str">
            <v>% brut</v>
          </cell>
          <cell r="D232">
            <v>0.9317830942464872</v>
          </cell>
          <cell r="E232">
            <v>1842712.4885682436</v>
          </cell>
          <cell r="F232" t="str">
            <v>% brut</v>
          </cell>
          <cell r="G232">
            <v>1.1187540719191795</v>
          </cell>
          <cell r="H232">
            <v>135638.44491626631</v>
          </cell>
          <cell r="I232" t="str">
            <v>% brut</v>
          </cell>
          <cell r="J232">
            <v>1.1139844074510581</v>
          </cell>
          <cell r="K232">
            <v>132182.24234946287</v>
          </cell>
          <cell r="L232" t="str">
            <v>% brut</v>
          </cell>
          <cell r="M232">
            <v>0.94038937807366929</v>
          </cell>
          <cell r="N232">
            <v>157251.74848153841</v>
          </cell>
          <cell r="O232" t="str">
            <v>% brut</v>
          </cell>
          <cell r="P232">
            <v>0.80306292271205248</v>
          </cell>
          <cell r="Q232">
            <v>165352.43119577144</v>
          </cell>
          <cell r="R232" t="str">
            <v>% brut</v>
          </cell>
          <cell r="S232">
            <v>0.81364433579893869</v>
          </cell>
          <cell r="T232">
            <v>167531.16754372104</v>
          </cell>
          <cell r="U232" t="str">
            <v>% brut</v>
          </cell>
          <cell r="V232">
            <v>0.88526168373554104</v>
          </cell>
          <cell r="W232">
            <v>159192.97715944547</v>
          </cell>
          <cell r="X232" t="str">
            <v>% brut</v>
          </cell>
          <cell r="Y232">
            <v>1.0418681307131743</v>
          </cell>
          <cell r="Z232">
            <v>150925.20325180748</v>
          </cell>
          <cell r="AA232" t="str">
            <v>% brut</v>
          </cell>
          <cell r="AB232">
            <v>1.0491108337525843</v>
          </cell>
          <cell r="AC232">
            <v>150088.18015803269</v>
          </cell>
          <cell r="AD232" t="str">
            <v>% brut</v>
          </cell>
          <cell r="AE232">
            <v>1.0306471516757105</v>
          </cell>
          <cell r="AF232">
            <v>150152.8760060473</v>
          </cell>
          <cell r="AG232" t="str">
            <v>% brut</v>
          </cell>
          <cell r="AH232">
            <v>0.78699408708498653</v>
          </cell>
          <cell r="AI232">
            <v>166143.38059823069</v>
          </cell>
          <cell r="AJ232" t="str">
            <v>% brut</v>
          </cell>
          <cell r="AK232">
            <v>0.7965564397279804</v>
          </cell>
          <cell r="AL232">
            <v>171652.10057254514</v>
          </cell>
          <cell r="AM232" t="str">
            <v>% brut</v>
          </cell>
          <cell r="AN232">
            <v>1.1512303135699249</v>
          </cell>
          <cell r="AO232">
            <v>136601.73633537459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ServicePROFIT DÉPARTEMENTAL</v>
          </cell>
          <cell r="C234"/>
          <cell r="D234"/>
          <cell r="E234">
            <v>134907.08829090232</v>
          </cell>
          <cell r="F234"/>
          <cell r="G234"/>
          <cell r="H234">
            <v>-14397.81811471752</v>
          </cell>
          <cell r="I234"/>
          <cell r="J234"/>
          <cell r="K234">
            <v>-13525.067737914127</v>
          </cell>
          <cell r="L234"/>
          <cell r="M234"/>
          <cell r="N234">
            <v>9968.0778457847482</v>
          </cell>
          <cell r="O234"/>
          <cell r="P234"/>
          <cell r="Q234">
            <v>40549.77960155168</v>
          </cell>
          <cell r="R234"/>
          <cell r="S234"/>
          <cell r="T234">
            <v>38371.043253602082</v>
          </cell>
          <cell r="U234"/>
          <cell r="V234"/>
          <cell r="W234">
            <v>20632.920746469143</v>
          </cell>
          <cell r="X234"/>
          <cell r="Y234"/>
          <cell r="Z234">
            <v>-6065.0248830757919</v>
          </cell>
          <cell r="AA234"/>
          <cell r="AB234"/>
          <cell r="AC234">
            <v>-7025.9074893009674</v>
          </cell>
          <cell r="AD234"/>
          <cell r="AE234"/>
          <cell r="AF234">
            <v>-4464.9208587241301</v>
          </cell>
          <cell r="AG234"/>
          <cell r="AH234"/>
          <cell r="AI234">
            <v>44967.964867683942</v>
          </cell>
          <cell r="AJ234"/>
          <cell r="AK234"/>
          <cell r="AL234">
            <v>43840.602783369453</v>
          </cell>
          <cell r="AM234"/>
          <cell r="AN234"/>
          <cell r="AO234">
            <v>-17944.561723825842</v>
          </cell>
        </row>
        <row r="235">
          <cell r="A235"/>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cell r="C236"/>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row>
        <row r="237">
          <cell r="A237"/>
          <cell r="C237" t="str">
            <v>Carrosserie</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TOTAL</v>
          </cell>
          <cell r="D239"/>
          <cell r="E239"/>
          <cell r="F239" t="str">
            <v>Janvier</v>
          </cell>
          <cell r="G239"/>
          <cell r="H239"/>
          <cell r="I239" t="str">
            <v>Février</v>
          </cell>
          <cell r="J239"/>
          <cell r="K239"/>
          <cell r="L239" t="str">
            <v>Mars</v>
          </cell>
          <cell r="M239"/>
          <cell r="N239"/>
          <cell r="O239" t="str">
            <v>Avril</v>
          </cell>
          <cell r="P239"/>
          <cell r="Q239"/>
          <cell r="R239" t="str">
            <v>Mai</v>
          </cell>
          <cell r="S239"/>
          <cell r="T239"/>
          <cell r="U239" t="str">
            <v>Juin</v>
          </cell>
          <cell r="V239"/>
          <cell r="W239"/>
          <cell r="X239" t="str">
            <v>Juillet</v>
          </cell>
          <cell r="Y239"/>
          <cell r="Z239"/>
          <cell r="AA239" t="str">
            <v>Août</v>
          </cell>
          <cell r="AB239"/>
          <cell r="AC239"/>
          <cell r="AD239" t="str">
            <v>Septembre</v>
          </cell>
          <cell r="AE239"/>
          <cell r="AF239"/>
          <cell r="AG239" t="str">
            <v>Octobre</v>
          </cell>
          <cell r="AH239"/>
          <cell r="AI239"/>
          <cell r="AJ239" t="str">
            <v>Novembre</v>
          </cell>
          <cell r="AK239"/>
          <cell r="AL239"/>
          <cell r="AM239" t="str">
            <v>Décembre</v>
          </cell>
          <cell r="AN239"/>
          <cell r="AO239"/>
        </row>
        <row r="240">
          <cell r="A240" t="str">
            <v>CarrosserieCarosserie</v>
          </cell>
          <cell r="C240" t="str">
            <v>#</v>
          </cell>
          <cell r="D240" t="str">
            <v>$VENTES</v>
          </cell>
          <cell r="E240" t="str">
            <v>$PROFITS</v>
          </cell>
          <cell r="F240" t="str">
            <v>#</v>
          </cell>
          <cell r="G240" t="str">
            <v>$VENTES</v>
          </cell>
          <cell r="H240" t="str">
            <v>$PROFITS</v>
          </cell>
          <cell r="I240" t="str">
            <v>#</v>
          </cell>
          <cell r="J240" t="str">
            <v>$VENTES</v>
          </cell>
          <cell r="K240" t="str">
            <v>$PROFITS</v>
          </cell>
          <cell r="L240" t="str">
            <v>#</v>
          </cell>
          <cell r="M240" t="str">
            <v>$VENTES</v>
          </cell>
          <cell r="N240" t="str">
            <v>$PROFITS</v>
          </cell>
          <cell r="O240" t="str">
            <v>#</v>
          </cell>
          <cell r="P240" t="str">
            <v>$VENTES</v>
          </cell>
          <cell r="Q240" t="str">
            <v>$PROFITS</v>
          </cell>
          <cell r="R240" t="str">
            <v>#</v>
          </cell>
          <cell r="S240" t="str">
            <v>$VENTES</v>
          </cell>
          <cell r="T240" t="str">
            <v>$PROFITS</v>
          </cell>
          <cell r="U240" t="str">
            <v>#</v>
          </cell>
          <cell r="V240" t="str">
            <v>$VENTES</v>
          </cell>
          <cell r="W240" t="str">
            <v>$PROFITS</v>
          </cell>
          <cell r="X240" t="str">
            <v>#</v>
          </cell>
          <cell r="Y240" t="str">
            <v>$VENTES</v>
          </cell>
          <cell r="Z240" t="str">
            <v>$PROFITS</v>
          </cell>
          <cell r="AA240" t="str">
            <v>#</v>
          </cell>
          <cell r="AB240" t="str">
            <v>$VENTES</v>
          </cell>
          <cell r="AC240" t="str">
            <v>$PROFITS</v>
          </cell>
          <cell r="AD240" t="str">
            <v>#</v>
          </cell>
          <cell r="AE240" t="str">
            <v>$VENTES</v>
          </cell>
          <cell r="AF240" t="str">
            <v>$PROFITS</v>
          </cell>
          <cell r="AG240" t="str">
            <v>#</v>
          </cell>
          <cell r="AH240" t="str">
            <v>$VENTES</v>
          </cell>
          <cell r="AI240" t="str">
            <v>$PROFITS</v>
          </cell>
          <cell r="AJ240" t="str">
            <v>#</v>
          </cell>
          <cell r="AK240" t="str">
            <v>$VENTES</v>
          </cell>
          <cell r="AL240" t="str">
            <v>$PROFITS</v>
          </cell>
          <cell r="AM240" t="str">
            <v>#</v>
          </cell>
          <cell r="AN240" t="str">
            <v>$VENTES</v>
          </cell>
          <cell r="AO240" t="str">
            <v>$PROFITS</v>
          </cell>
        </row>
        <row r="241">
          <cell r="A241" t="str">
            <v>Carrosserie</v>
          </cell>
          <cell r="C241"/>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row>
        <row r="242">
          <cell r="A242" t="str">
            <v>CarrosserieM/O Sous-traitement</v>
          </cell>
          <cell r="C242">
            <v>0</v>
          </cell>
          <cell r="D242">
            <v>74000</v>
          </cell>
          <cell r="E242">
            <v>23680.000000000004</v>
          </cell>
          <cell r="F242"/>
          <cell r="G242">
            <v>8140</v>
          </cell>
          <cell r="H242">
            <v>2604.8000000000002</v>
          </cell>
          <cell r="I242"/>
          <cell r="J242">
            <v>8140</v>
          </cell>
          <cell r="K242">
            <v>2604.8000000000002</v>
          </cell>
          <cell r="L242"/>
          <cell r="M242">
            <v>7400</v>
          </cell>
          <cell r="N242">
            <v>2368</v>
          </cell>
          <cell r="O242"/>
          <cell r="P242">
            <v>5180.0000000000009</v>
          </cell>
          <cell r="Q242">
            <v>1657.6000000000004</v>
          </cell>
          <cell r="R242"/>
          <cell r="S242">
            <v>5180.0000000000009</v>
          </cell>
          <cell r="T242">
            <v>1657.6000000000004</v>
          </cell>
          <cell r="U242"/>
          <cell r="V242">
            <v>5180.0000000000009</v>
          </cell>
          <cell r="W242">
            <v>1657.6000000000004</v>
          </cell>
          <cell r="X242"/>
          <cell r="Y242">
            <v>5180.0000000000009</v>
          </cell>
          <cell r="Z242">
            <v>1657.6000000000004</v>
          </cell>
          <cell r="AA242"/>
          <cell r="AB242">
            <v>5180.0000000000009</v>
          </cell>
          <cell r="AC242">
            <v>1657.6000000000004</v>
          </cell>
          <cell r="AD242"/>
          <cell r="AE242">
            <v>3700</v>
          </cell>
          <cell r="AF242">
            <v>1184</v>
          </cell>
          <cell r="AG242"/>
          <cell r="AH242">
            <v>7400</v>
          </cell>
          <cell r="AI242">
            <v>2368</v>
          </cell>
          <cell r="AJ242"/>
          <cell r="AK242">
            <v>6660</v>
          </cell>
          <cell r="AL242">
            <v>2131.1999999999998</v>
          </cell>
          <cell r="AM242"/>
          <cell r="AN242">
            <v>6660</v>
          </cell>
          <cell r="AO242">
            <v>2131.1999999999998</v>
          </cell>
        </row>
        <row r="243">
          <cell r="A243" t="str">
            <v>Carrosserie% profit / ventes</v>
          </cell>
          <cell r="C243"/>
          <cell r="D243"/>
          <cell r="E243">
            <v>0.32000000000000006</v>
          </cell>
          <cell r="F243"/>
          <cell r="G243"/>
          <cell r="H243">
            <v>0.32</v>
          </cell>
          <cell r="I243"/>
          <cell r="J243"/>
          <cell r="K243">
            <v>0.32</v>
          </cell>
          <cell r="L243"/>
          <cell r="M243"/>
          <cell r="N243">
            <v>0.32</v>
          </cell>
          <cell r="O243"/>
          <cell r="P243"/>
          <cell r="Q243">
            <v>0.32</v>
          </cell>
          <cell r="R243"/>
          <cell r="S243"/>
          <cell r="T243">
            <v>0.32</v>
          </cell>
          <cell r="U243"/>
          <cell r="V243"/>
          <cell r="W243">
            <v>0.32</v>
          </cell>
          <cell r="X243"/>
          <cell r="Y243"/>
          <cell r="Z243">
            <v>0.32</v>
          </cell>
          <cell r="AA243"/>
          <cell r="AB243"/>
          <cell r="AC243">
            <v>0.32</v>
          </cell>
          <cell r="AD243"/>
          <cell r="AE243"/>
          <cell r="AF243">
            <v>0.32</v>
          </cell>
          <cell r="AG243"/>
          <cell r="AH243"/>
          <cell r="AI243">
            <v>0.32</v>
          </cell>
          <cell r="AJ243"/>
          <cell r="AK243"/>
          <cell r="AL243">
            <v>0.31999999999999995</v>
          </cell>
          <cell r="AM243"/>
          <cell r="AN243"/>
          <cell r="AO243">
            <v>0.31999999999999995</v>
          </cell>
        </row>
        <row r="244">
          <cell r="A244" t="str">
            <v>Carrosserie</v>
          </cell>
          <cell r="C244"/>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row>
        <row r="245">
          <cell r="A245" t="str">
            <v>CarrosserieM/O Carrosserie</v>
          </cell>
          <cell r="C245">
            <v>0</v>
          </cell>
          <cell r="D245">
            <v>0</v>
          </cell>
          <cell r="E245">
            <v>0</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row>
        <row r="246">
          <cell r="A246" t="str">
            <v>Carrosserie% profit / ventes</v>
          </cell>
          <cell r="C246"/>
          <cell r="D246"/>
          <cell r="E246">
            <v>0</v>
          </cell>
          <cell r="F246"/>
          <cell r="G246"/>
          <cell r="H246">
            <v>0</v>
          </cell>
          <cell r="I246"/>
          <cell r="J246"/>
          <cell r="K246">
            <v>0</v>
          </cell>
          <cell r="L246"/>
          <cell r="M246"/>
          <cell r="N246">
            <v>0</v>
          </cell>
          <cell r="O246"/>
          <cell r="P246"/>
          <cell r="Q246">
            <v>0</v>
          </cell>
          <cell r="R246"/>
          <cell r="S246"/>
          <cell r="T246">
            <v>0</v>
          </cell>
          <cell r="U246"/>
          <cell r="V246"/>
          <cell r="W246">
            <v>0</v>
          </cell>
          <cell r="X246"/>
          <cell r="Y246"/>
          <cell r="Z246">
            <v>0</v>
          </cell>
          <cell r="AA246"/>
          <cell r="AB246"/>
          <cell r="AC246">
            <v>0</v>
          </cell>
          <cell r="AD246"/>
          <cell r="AE246"/>
          <cell r="AF246">
            <v>0</v>
          </cell>
          <cell r="AG246"/>
          <cell r="AH246"/>
          <cell r="AI246">
            <v>0</v>
          </cell>
          <cell r="AJ246"/>
          <cell r="AK246"/>
          <cell r="AL246">
            <v>0</v>
          </cell>
          <cell r="AM246"/>
          <cell r="AN246"/>
          <cell r="AO246">
            <v>0</v>
          </cell>
        </row>
        <row r="247">
          <cell r="A247" t="str">
            <v>Carrosserie</v>
          </cell>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CarrosserieM/O Esthétique Carr.</v>
          </cell>
          <cell r="C248">
            <v>0</v>
          </cell>
          <cell r="D248">
            <v>0</v>
          </cell>
          <cell r="E248">
            <v>0</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row>
        <row r="249">
          <cell r="A249" t="str">
            <v>Carrosserie% profit / ventes</v>
          </cell>
          <cell r="C249"/>
          <cell r="D249"/>
          <cell r="E249">
            <v>0</v>
          </cell>
          <cell r="F249"/>
          <cell r="G249"/>
          <cell r="H249">
            <v>0</v>
          </cell>
          <cell r="I249"/>
          <cell r="J249"/>
          <cell r="K249">
            <v>0</v>
          </cell>
          <cell r="L249"/>
          <cell r="M249"/>
          <cell r="N249">
            <v>0</v>
          </cell>
          <cell r="O249"/>
          <cell r="P249"/>
          <cell r="Q249">
            <v>0</v>
          </cell>
          <cell r="R249"/>
          <cell r="S249"/>
          <cell r="T249">
            <v>0</v>
          </cell>
          <cell r="U249"/>
          <cell r="V249"/>
          <cell r="W249">
            <v>0</v>
          </cell>
          <cell r="X249"/>
          <cell r="Y249"/>
          <cell r="Z249">
            <v>0</v>
          </cell>
          <cell r="AA249"/>
          <cell r="AB249"/>
          <cell r="AC249">
            <v>0</v>
          </cell>
          <cell r="AD249"/>
          <cell r="AE249"/>
          <cell r="AF249">
            <v>0</v>
          </cell>
          <cell r="AG249"/>
          <cell r="AH249"/>
          <cell r="AI249">
            <v>0</v>
          </cell>
          <cell r="AJ249"/>
          <cell r="AK249"/>
          <cell r="AL249">
            <v>0</v>
          </cell>
          <cell r="AM249"/>
          <cell r="AN249"/>
          <cell r="AO249">
            <v>0</v>
          </cell>
        </row>
        <row r="250">
          <cell r="A250" t="str">
            <v>Carrosserie</v>
          </cell>
          <cell r="C250"/>
          <cell r="D250"/>
          <cell r="E250"/>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CarrosserieTotal Mécanique</v>
          </cell>
          <cell r="C251"/>
          <cell r="D251">
            <v>74000</v>
          </cell>
          <cell r="E251">
            <v>23680.000000000004</v>
          </cell>
          <cell r="F251"/>
          <cell r="G251">
            <v>8140</v>
          </cell>
          <cell r="H251">
            <v>2604.8000000000002</v>
          </cell>
          <cell r="I251"/>
          <cell r="J251">
            <v>8140</v>
          </cell>
          <cell r="K251">
            <v>2604.8000000000002</v>
          </cell>
          <cell r="L251"/>
          <cell r="M251">
            <v>7400</v>
          </cell>
          <cell r="N251">
            <v>2368</v>
          </cell>
          <cell r="O251"/>
          <cell r="P251">
            <v>5180.0000000000009</v>
          </cell>
          <cell r="Q251">
            <v>1657.6000000000004</v>
          </cell>
          <cell r="R251"/>
          <cell r="S251">
            <v>5180.0000000000009</v>
          </cell>
          <cell r="T251">
            <v>1657.6000000000004</v>
          </cell>
          <cell r="U251"/>
          <cell r="V251">
            <v>5180.0000000000009</v>
          </cell>
          <cell r="W251">
            <v>1657.6000000000004</v>
          </cell>
          <cell r="X251"/>
          <cell r="Y251">
            <v>5180.0000000000009</v>
          </cell>
          <cell r="Z251">
            <v>1657.6000000000004</v>
          </cell>
          <cell r="AA251"/>
          <cell r="AB251">
            <v>5180.0000000000009</v>
          </cell>
          <cell r="AC251">
            <v>1657.6000000000004</v>
          </cell>
          <cell r="AD251"/>
          <cell r="AE251">
            <v>3700</v>
          </cell>
          <cell r="AF251">
            <v>1184</v>
          </cell>
          <cell r="AG251"/>
          <cell r="AH251">
            <v>7400</v>
          </cell>
          <cell r="AI251">
            <v>2368</v>
          </cell>
          <cell r="AJ251"/>
          <cell r="AK251">
            <v>6660</v>
          </cell>
          <cell r="AL251">
            <v>2131.1999999999998</v>
          </cell>
          <cell r="AM251"/>
          <cell r="AN251">
            <v>6660</v>
          </cell>
          <cell r="AO251">
            <v>2131.1999999999998</v>
          </cell>
        </row>
        <row r="252">
          <cell r="A252" t="str">
            <v>Carrosserie</v>
          </cell>
          <cell r="C252"/>
          <cell r="D252"/>
          <cell r="E252">
            <v>0.32000000000000006</v>
          </cell>
          <cell r="F252"/>
          <cell r="G252"/>
          <cell r="H252">
            <v>0.32</v>
          </cell>
          <cell r="I252"/>
          <cell r="J252"/>
          <cell r="K252">
            <v>0.32</v>
          </cell>
          <cell r="L252"/>
          <cell r="M252"/>
          <cell r="N252">
            <v>0.32</v>
          </cell>
          <cell r="O252"/>
          <cell r="P252"/>
          <cell r="Q252">
            <v>0.32</v>
          </cell>
          <cell r="R252"/>
          <cell r="S252"/>
          <cell r="T252">
            <v>0.32</v>
          </cell>
          <cell r="U252"/>
          <cell r="V252"/>
          <cell r="W252">
            <v>0.32</v>
          </cell>
          <cell r="X252"/>
          <cell r="Y252"/>
          <cell r="Z252">
            <v>0.32</v>
          </cell>
          <cell r="AA252"/>
          <cell r="AB252"/>
          <cell r="AC252">
            <v>0.32</v>
          </cell>
          <cell r="AD252"/>
          <cell r="AE252"/>
          <cell r="AF252">
            <v>0.32</v>
          </cell>
          <cell r="AG252"/>
          <cell r="AH252"/>
          <cell r="AI252">
            <v>0.32</v>
          </cell>
          <cell r="AJ252"/>
          <cell r="AK252"/>
          <cell r="AL252">
            <v>0.31999999999999995</v>
          </cell>
          <cell r="AM252"/>
          <cell r="AN252"/>
          <cell r="AO252">
            <v>0.31999999999999995</v>
          </cell>
        </row>
        <row r="253">
          <cell r="A253" t="str">
            <v>Carrosserie</v>
          </cell>
          <cell r="C253"/>
          <cell r="D253"/>
          <cell r="E253"/>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row>
        <row r="254">
          <cell r="A254" t="str">
            <v>CarrosserieDEPENSES</v>
          </cell>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row>
        <row r="255">
          <cell r="A255" t="str">
            <v>CarrosserieSalaires cadres</v>
          </cell>
          <cell r="C255"/>
          <cell r="D255"/>
          <cell r="E255">
            <v>3520.7000000000003</v>
          </cell>
          <cell r="F255"/>
          <cell r="G255"/>
          <cell r="H255">
            <v>283.27471264367819</v>
          </cell>
          <cell r="I255"/>
          <cell r="J255"/>
          <cell r="K255">
            <v>269.78544061302682</v>
          </cell>
          <cell r="L255"/>
          <cell r="M255"/>
          <cell r="N255">
            <v>310.25325670498086</v>
          </cell>
          <cell r="O255"/>
          <cell r="P255"/>
          <cell r="Q255">
            <v>283.27471264367819</v>
          </cell>
          <cell r="R255"/>
          <cell r="S255"/>
          <cell r="T255">
            <v>296.76398467432955</v>
          </cell>
          <cell r="U255"/>
          <cell r="V255"/>
          <cell r="W255">
            <v>296.76398467432955</v>
          </cell>
          <cell r="X255"/>
          <cell r="Y255"/>
          <cell r="Z255">
            <v>296.76398467432955</v>
          </cell>
          <cell r="AA255"/>
          <cell r="AB255"/>
          <cell r="AC255">
            <v>296.76398467432955</v>
          </cell>
          <cell r="AD255"/>
          <cell r="AE255"/>
          <cell r="AF255">
            <v>296.76398467432955</v>
          </cell>
          <cell r="AG255"/>
          <cell r="AH255"/>
          <cell r="AI255">
            <v>283.27471264367819</v>
          </cell>
          <cell r="AJ255"/>
          <cell r="AK255"/>
          <cell r="AL255">
            <v>296.76398467432955</v>
          </cell>
          <cell r="AM255"/>
          <cell r="AN255"/>
          <cell r="AO255">
            <v>310.25325670498086</v>
          </cell>
        </row>
        <row r="256">
          <cell r="A256" t="str">
            <v>CarrosserieSalaires commis</v>
          </cell>
          <cell r="C256"/>
          <cell r="D256"/>
          <cell r="E256">
            <v>4352.0650000000005</v>
          </cell>
          <cell r="F256"/>
          <cell r="G256"/>
          <cell r="H256">
            <v>350.16614942528736</v>
          </cell>
          <cell r="I256"/>
          <cell r="J256"/>
          <cell r="K256">
            <v>333.49157088122604</v>
          </cell>
          <cell r="L256"/>
          <cell r="M256"/>
          <cell r="N256">
            <v>383.51530651341</v>
          </cell>
          <cell r="O256"/>
          <cell r="P256"/>
          <cell r="Q256">
            <v>350.16614942528736</v>
          </cell>
          <cell r="R256"/>
          <cell r="S256"/>
          <cell r="T256">
            <v>366.84072796934868</v>
          </cell>
          <cell r="U256"/>
          <cell r="V256"/>
          <cell r="W256">
            <v>366.84072796934868</v>
          </cell>
          <cell r="X256"/>
          <cell r="Y256"/>
          <cell r="Z256">
            <v>366.84072796934868</v>
          </cell>
          <cell r="AA256"/>
          <cell r="AB256"/>
          <cell r="AC256">
            <v>366.84072796934868</v>
          </cell>
          <cell r="AD256"/>
          <cell r="AE256"/>
          <cell r="AF256">
            <v>366.84072796934868</v>
          </cell>
          <cell r="AG256"/>
          <cell r="AH256"/>
          <cell r="AI256">
            <v>350.16614942528736</v>
          </cell>
          <cell r="AJ256"/>
          <cell r="AK256"/>
          <cell r="AL256">
            <v>366.84072796934868</v>
          </cell>
          <cell r="AM256"/>
          <cell r="AN256"/>
          <cell r="AO256">
            <v>383.51530651341</v>
          </cell>
        </row>
        <row r="257">
          <cell r="A257" t="str">
            <v>CarrosserieSalaires autres</v>
          </cell>
          <cell r="C257"/>
          <cell r="D257"/>
          <cell r="E257">
            <v>216.50000000000003</v>
          </cell>
          <cell r="F257"/>
          <cell r="G257"/>
          <cell r="H257">
            <v>17.419540229885058</v>
          </cell>
          <cell r="I257"/>
          <cell r="J257"/>
          <cell r="K257">
            <v>16.590038314176244</v>
          </cell>
          <cell r="L257"/>
          <cell r="M257"/>
          <cell r="N257">
            <v>19.078544061302683</v>
          </cell>
          <cell r="O257"/>
          <cell r="P257"/>
          <cell r="Q257">
            <v>17.419540229885058</v>
          </cell>
          <cell r="R257"/>
          <cell r="S257"/>
          <cell r="T257">
            <v>18.249042145593869</v>
          </cell>
          <cell r="U257"/>
          <cell r="V257"/>
          <cell r="W257">
            <v>18.249042145593869</v>
          </cell>
          <cell r="X257"/>
          <cell r="Y257"/>
          <cell r="Z257">
            <v>18.249042145593869</v>
          </cell>
          <cell r="AA257"/>
          <cell r="AB257"/>
          <cell r="AC257">
            <v>18.249042145593869</v>
          </cell>
          <cell r="AD257"/>
          <cell r="AE257"/>
          <cell r="AF257">
            <v>18.249042145593869</v>
          </cell>
          <cell r="AG257"/>
          <cell r="AH257"/>
          <cell r="AI257">
            <v>17.419540229885058</v>
          </cell>
          <cell r="AJ257"/>
          <cell r="AK257"/>
          <cell r="AL257">
            <v>18.249042145593869</v>
          </cell>
          <cell r="AM257"/>
          <cell r="AN257"/>
          <cell r="AO257">
            <v>19.078544061302683</v>
          </cell>
        </row>
        <row r="258">
          <cell r="A258" t="str">
            <v>CarrosserieSalaires spécialistes</v>
          </cell>
          <cell r="C258"/>
          <cell r="D258"/>
          <cell r="E258">
            <v>0</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row>
        <row r="259">
          <cell r="A259" t="str">
            <v>Carrosserie[...]</v>
          </cell>
          <cell r="C259"/>
          <cell r="D259"/>
          <cell r="E259">
            <v>0</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row>
        <row r="260">
          <cell r="A260" t="str">
            <v>Carrosserie[...]</v>
          </cell>
          <cell r="C260"/>
          <cell r="D260"/>
          <cell r="E260">
            <v>0</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CarrosserieSalaires en absences</v>
          </cell>
          <cell r="C262"/>
          <cell r="D262"/>
          <cell r="E262">
            <v>1060.1593378222094</v>
          </cell>
          <cell r="F262"/>
          <cell r="G262"/>
          <cell r="H262">
            <v>85.523181813461093</v>
          </cell>
          <cell r="I262"/>
          <cell r="J262"/>
          <cell r="K262">
            <v>81.758608917830358</v>
          </cell>
          <cell r="L262"/>
          <cell r="M262"/>
          <cell r="N262">
            <v>93.052327604722507</v>
          </cell>
          <cell r="O262"/>
          <cell r="P262"/>
          <cell r="Q262">
            <v>85.523181813461093</v>
          </cell>
          <cell r="R262"/>
          <cell r="S262"/>
          <cell r="T262">
            <v>89.2877547090918</v>
          </cell>
          <cell r="U262"/>
          <cell r="V262"/>
          <cell r="W262">
            <v>89.2877547090918</v>
          </cell>
          <cell r="X262"/>
          <cell r="Y262"/>
          <cell r="Z262">
            <v>89.2877547090918</v>
          </cell>
          <cell r="AA262"/>
          <cell r="AB262"/>
          <cell r="AC262">
            <v>89.2877547090918</v>
          </cell>
          <cell r="AD262"/>
          <cell r="AE262"/>
          <cell r="AF262">
            <v>89.2877547090918</v>
          </cell>
          <cell r="AG262"/>
          <cell r="AH262"/>
          <cell r="AI262">
            <v>85.523181813461093</v>
          </cell>
          <cell r="AJ262"/>
          <cell r="AK262"/>
          <cell r="AL262">
            <v>89.2877547090918</v>
          </cell>
          <cell r="AM262"/>
          <cell r="AN262"/>
          <cell r="AO262">
            <v>93.052327604722507</v>
          </cell>
        </row>
        <row r="263">
          <cell r="A263" t="str">
            <v>CarrosserieDéduction à la source</v>
          </cell>
          <cell r="C263"/>
          <cell r="D263"/>
          <cell r="E263">
            <v>797.85187279403408</v>
          </cell>
          <cell r="F263"/>
          <cell r="G263"/>
          <cell r="H263">
            <v>64.36280693178</v>
          </cell>
          <cell r="I263"/>
          <cell r="J263"/>
          <cell r="K263">
            <v>61.529674752593976</v>
          </cell>
          <cell r="L263"/>
          <cell r="M263"/>
          <cell r="N263">
            <v>70.02907129015199</v>
          </cell>
          <cell r="O263"/>
          <cell r="P263"/>
          <cell r="Q263">
            <v>64.36280693178</v>
          </cell>
          <cell r="R263"/>
          <cell r="S263"/>
          <cell r="T263">
            <v>67.195939110965995</v>
          </cell>
          <cell r="U263"/>
          <cell r="V263"/>
          <cell r="W263">
            <v>67.195939110965995</v>
          </cell>
          <cell r="X263"/>
          <cell r="Y263"/>
          <cell r="Z263">
            <v>67.195939110965995</v>
          </cell>
          <cell r="AA263"/>
          <cell r="AB263"/>
          <cell r="AC263">
            <v>67.195939110965995</v>
          </cell>
          <cell r="AD263"/>
          <cell r="AE263"/>
          <cell r="AF263">
            <v>67.195939110965995</v>
          </cell>
          <cell r="AG263"/>
          <cell r="AH263"/>
          <cell r="AI263">
            <v>64.36280693178</v>
          </cell>
          <cell r="AJ263"/>
          <cell r="AK263"/>
          <cell r="AL263">
            <v>67.195939110965995</v>
          </cell>
          <cell r="AM263"/>
          <cell r="AN263"/>
          <cell r="AO263">
            <v>70.02907129015199</v>
          </cell>
        </row>
        <row r="264">
          <cell r="A264" t="str">
            <v>CarrosserieBénéfices marginaux</v>
          </cell>
          <cell r="C264"/>
          <cell r="D264"/>
          <cell r="E264">
            <v>1213.172025755312</v>
          </cell>
          <cell r="F264"/>
          <cell r="G264"/>
          <cell r="H264">
            <v>97.866733827775064</v>
          </cell>
          <cell r="I264"/>
          <cell r="J264"/>
          <cell r="K264">
            <v>93.558820514218255</v>
          </cell>
          <cell r="L264"/>
          <cell r="M264"/>
          <cell r="N264">
            <v>106.48256045488864</v>
          </cell>
          <cell r="O264"/>
          <cell r="P264"/>
          <cell r="Q264">
            <v>97.866733827775064</v>
          </cell>
          <cell r="R264"/>
          <cell r="S264"/>
          <cell r="T264">
            <v>102.17464714133186</v>
          </cell>
          <cell r="U264"/>
          <cell r="V264"/>
          <cell r="W264">
            <v>102.17464714133186</v>
          </cell>
          <cell r="X264"/>
          <cell r="Y264"/>
          <cell r="Z264">
            <v>102.17464714133186</v>
          </cell>
          <cell r="AA264"/>
          <cell r="AB264"/>
          <cell r="AC264">
            <v>102.17464714133186</v>
          </cell>
          <cell r="AD264"/>
          <cell r="AE264"/>
          <cell r="AF264">
            <v>102.17464714133186</v>
          </cell>
          <cell r="AG264"/>
          <cell r="AH264"/>
          <cell r="AI264">
            <v>97.866733827775064</v>
          </cell>
          <cell r="AJ264"/>
          <cell r="AK264"/>
          <cell r="AL264">
            <v>102.17464714133186</v>
          </cell>
          <cell r="AM264"/>
          <cell r="AN264"/>
          <cell r="AO264">
            <v>106.48256045488864</v>
          </cell>
        </row>
        <row r="265">
          <cell r="A265" t="str">
            <v>CarrosserieCsst</v>
          </cell>
          <cell r="C265"/>
          <cell r="D265"/>
          <cell r="E265">
            <v>218.58955419014626</v>
          </cell>
          <cell r="F265"/>
          <cell r="G265"/>
          <cell r="H265">
            <v>17.633645734734245</v>
          </cell>
          <cell r="I265"/>
          <cell r="J265"/>
          <cell r="K265">
            <v>16.857445137696981</v>
          </cell>
          <cell r="L265"/>
          <cell r="M265"/>
          <cell r="N265">
            <v>19.186046928808764</v>
          </cell>
          <cell r="O265"/>
          <cell r="P265"/>
          <cell r="Q265">
            <v>17.633645734734245</v>
          </cell>
          <cell r="R265"/>
          <cell r="S265"/>
          <cell r="T265">
            <v>18.409846331771504</v>
          </cell>
          <cell r="U265"/>
          <cell r="V265"/>
          <cell r="W265">
            <v>18.409846331771504</v>
          </cell>
          <cell r="X265"/>
          <cell r="Y265"/>
          <cell r="Z265">
            <v>18.409846331771504</v>
          </cell>
          <cell r="AA265"/>
          <cell r="AB265"/>
          <cell r="AC265">
            <v>18.409846331771504</v>
          </cell>
          <cell r="AD265"/>
          <cell r="AE265"/>
          <cell r="AF265">
            <v>18.409846331771504</v>
          </cell>
          <cell r="AG265"/>
          <cell r="AH265"/>
          <cell r="AI265">
            <v>17.633645734734245</v>
          </cell>
          <cell r="AJ265"/>
          <cell r="AK265"/>
          <cell r="AL265">
            <v>18.409846331771504</v>
          </cell>
          <cell r="AM265"/>
          <cell r="AN265"/>
          <cell r="AO265">
            <v>19.186046928808764</v>
          </cell>
        </row>
        <row r="266">
          <cell r="A266" t="str">
            <v>Carrosserie[...]</v>
          </cell>
          <cell r="C266"/>
          <cell r="D266"/>
          <cell r="E266">
            <v>0</v>
          </cell>
          <cell r="F266"/>
          <cell r="G266"/>
          <cell r="H266"/>
          <cell r="I266"/>
          <cell r="J266"/>
          <cell r="K266"/>
          <cell r="L266"/>
          <cell r="M266"/>
          <cell r="N266"/>
          <cell r="O266"/>
          <cell r="P266"/>
          <cell r="Q266"/>
          <cell r="R266"/>
          <cell r="S266"/>
          <cell r="T266"/>
          <cell r="U266"/>
          <cell r="V266"/>
          <cell r="W266"/>
          <cell r="X266"/>
          <cell r="Y266"/>
          <cell r="Z266"/>
          <cell r="AA266"/>
          <cell r="AB266"/>
          <cell r="AC266"/>
          <cell r="AD266"/>
          <cell r="AE266"/>
          <cell r="AF266"/>
          <cell r="AG266"/>
          <cell r="AH266"/>
          <cell r="AI266"/>
          <cell r="AJ266"/>
          <cell r="AK266"/>
          <cell r="AL266"/>
          <cell r="AM266"/>
          <cell r="AN266"/>
          <cell r="AO266"/>
        </row>
        <row r="267">
          <cell r="A267" t="str">
            <v>CarrosserieTOTAL PERSONNEL</v>
          </cell>
          <cell r="C267" t="str">
            <v>% brut</v>
          </cell>
          <cell r="D267">
            <v>0</v>
          </cell>
          <cell r="E267">
            <v>11379.037790561702</v>
          </cell>
          <cell r="F267" t="str">
            <v>% brut</v>
          </cell>
          <cell r="G267">
            <v>0</v>
          </cell>
          <cell r="H267">
            <v>916.2467706066011</v>
          </cell>
          <cell r="I267" t="str">
            <v>% brut</v>
          </cell>
          <cell r="J267">
            <v>0</v>
          </cell>
          <cell r="K267">
            <v>873.57159913076873</v>
          </cell>
          <cell r="L267" t="str">
            <v>% brut</v>
          </cell>
          <cell r="M267">
            <v>0</v>
          </cell>
          <cell r="N267">
            <v>1001.5971135582654</v>
          </cell>
          <cell r="O267" t="str">
            <v>% brut</v>
          </cell>
          <cell r="P267">
            <v>0</v>
          </cell>
          <cell r="Q267">
            <v>916.2467706066011</v>
          </cell>
          <cell r="R267" t="str">
            <v>% brut</v>
          </cell>
          <cell r="S267">
            <v>0</v>
          </cell>
          <cell r="T267">
            <v>958.92194208243336</v>
          </cell>
          <cell r="U267" t="str">
            <v>% brut</v>
          </cell>
          <cell r="V267">
            <v>0</v>
          </cell>
          <cell r="W267">
            <v>958.92194208243336</v>
          </cell>
          <cell r="X267" t="str">
            <v>% brut</v>
          </cell>
          <cell r="Y267">
            <v>0</v>
          </cell>
          <cell r="Z267">
            <v>958.92194208243336</v>
          </cell>
          <cell r="AA267" t="str">
            <v>% brut</v>
          </cell>
          <cell r="AB267">
            <v>0</v>
          </cell>
          <cell r="AC267">
            <v>958.92194208243336</v>
          </cell>
          <cell r="AD267" t="str">
            <v>% brut</v>
          </cell>
          <cell r="AE267">
            <v>0</v>
          </cell>
          <cell r="AF267">
            <v>958.92194208243336</v>
          </cell>
          <cell r="AG267" t="str">
            <v>% brut</v>
          </cell>
          <cell r="AH267">
            <v>0</v>
          </cell>
          <cell r="AI267">
            <v>916.2467706066011</v>
          </cell>
          <cell r="AJ267" t="str">
            <v>% brut</v>
          </cell>
          <cell r="AK267">
            <v>0</v>
          </cell>
          <cell r="AL267">
            <v>958.92194208243336</v>
          </cell>
          <cell r="AM267" t="str">
            <v>% brut</v>
          </cell>
          <cell r="AN267">
            <v>0</v>
          </cell>
          <cell r="AO267">
            <v>1001.5971135582654</v>
          </cell>
        </row>
        <row r="268">
          <cell r="A268" t="str">
            <v>CarrosseriePublicité 2</v>
          </cell>
          <cell r="C268"/>
          <cell r="D268"/>
          <cell r="E268">
            <v>0</v>
          </cell>
          <cell r="F268"/>
          <cell r="G268"/>
          <cell r="H268">
            <v>0</v>
          </cell>
          <cell r="I268"/>
          <cell r="J268"/>
          <cell r="K268">
            <v>0</v>
          </cell>
          <cell r="L268"/>
          <cell r="M268"/>
          <cell r="N268">
            <v>0</v>
          </cell>
          <cell r="O268"/>
          <cell r="P268"/>
          <cell r="Q268">
            <v>0</v>
          </cell>
          <cell r="R268"/>
          <cell r="S268"/>
          <cell r="T268">
            <v>0</v>
          </cell>
          <cell r="U268"/>
          <cell r="V268"/>
          <cell r="W268">
            <v>0</v>
          </cell>
          <cell r="X268"/>
          <cell r="Y268"/>
          <cell r="Z268">
            <v>0</v>
          </cell>
          <cell r="AA268"/>
          <cell r="AB268"/>
          <cell r="AC268">
            <v>0</v>
          </cell>
          <cell r="AD268"/>
          <cell r="AE268"/>
          <cell r="AF268">
            <v>0</v>
          </cell>
          <cell r="AG268"/>
          <cell r="AH268"/>
          <cell r="AI268">
            <v>0</v>
          </cell>
          <cell r="AJ268"/>
          <cell r="AK268"/>
          <cell r="AL268">
            <v>0</v>
          </cell>
          <cell r="AM268"/>
          <cell r="AN268"/>
          <cell r="AO268">
            <v>0</v>
          </cell>
        </row>
        <row r="269">
          <cell r="A269" t="str">
            <v>CarrosserieService gratuit 2</v>
          </cell>
          <cell r="C269"/>
          <cell r="D269"/>
          <cell r="E269">
            <v>0</v>
          </cell>
          <cell r="F269"/>
          <cell r="G269"/>
          <cell r="H269">
            <v>0</v>
          </cell>
          <cell r="I269"/>
          <cell r="J269"/>
          <cell r="K269">
            <v>0</v>
          </cell>
          <cell r="L269"/>
          <cell r="M269"/>
          <cell r="N269">
            <v>0</v>
          </cell>
          <cell r="O269"/>
          <cell r="P269"/>
          <cell r="Q269">
            <v>0</v>
          </cell>
          <cell r="R269"/>
          <cell r="S269"/>
          <cell r="T269">
            <v>0</v>
          </cell>
          <cell r="U269"/>
          <cell r="V269"/>
          <cell r="W269">
            <v>0</v>
          </cell>
          <cell r="X269"/>
          <cell r="Y269"/>
          <cell r="Z269">
            <v>0</v>
          </cell>
          <cell r="AA269"/>
          <cell r="AB269"/>
          <cell r="AC269">
            <v>0</v>
          </cell>
          <cell r="AD269"/>
          <cell r="AE269"/>
          <cell r="AF269">
            <v>0</v>
          </cell>
          <cell r="AG269"/>
          <cell r="AH269"/>
          <cell r="AI269">
            <v>0</v>
          </cell>
          <cell r="AJ269"/>
          <cell r="AK269"/>
          <cell r="AL269">
            <v>0</v>
          </cell>
          <cell r="AM269"/>
          <cell r="AN269"/>
          <cell r="AO269">
            <v>0</v>
          </cell>
        </row>
        <row r="270">
          <cell r="A270" t="str">
            <v>CarrosserieFrais véhicules de cie</v>
          </cell>
          <cell r="C270"/>
          <cell r="D270"/>
          <cell r="E270">
            <v>375.60000000000008</v>
          </cell>
          <cell r="F270"/>
          <cell r="G270"/>
          <cell r="H270">
            <v>31.3</v>
          </cell>
          <cell r="I270"/>
          <cell r="J270"/>
          <cell r="K270">
            <v>31.3</v>
          </cell>
          <cell r="L270"/>
          <cell r="M270"/>
          <cell r="N270">
            <v>31.3</v>
          </cell>
          <cell r="O270"/>
          <cell r="P270"/>
          <cell r="Q270">
            <v>31.3</v>
          </cell>
          <cell r="R270"/>
          <cell r="S270"/>
          <cell r="T270">
            <v>31.3</v>
          </cell>
          <cell r="U270"/>
          <cell r="V270"/>
          <cell r="W270">
            <v>31.3</v>
          </cell>
          <cell r="X270"/>
          <cell r="Y270"/>
          <cell r="Z270">
            <v>31.3</v>
          </cell>
          <cell r="AA270"/>
          <cell r="AB270"/>
          <cell r="AC270">
            <v>31.3</v>
          </cell>
          <cell r="AD270"/>
          <cell r="AE270"/>
          <cell r="AF270">
            <v>31.3</v>
          </cell>
          <cell r="AG270"/>
          <cell r="AH270"/>
          <cell r="AI270">
            <v>31.3</v>
          </cell>
          <cell r="AJ270"/>
          <cell r="AK270"/>
          <cell r="AL270">
            <v>31.3</v>
          </cell>
          <cell r="AM270"/>
          <cell r="AN270"/>
          <cell r="AO270">
            <v>31.3</v>
          </cell>
        </row>
        <row r="271">
          <cell r="A271" t="str">
            <v>CarrosserieInformatique</v>
          </cell>
          <cell r="C271"/>
          <cell r="D271"/>
          <cell r="E271">
            <v>3213.8249999999994</v>
          </cell>
          <cell r="F271"/>
          <cell r="G271"/>
          <cell r="H271">
            <v>267.81875000000002</v>
          </cell>
          <cell r="I271"/>
          <cell r="J271"/>
          <cell r="K271">
            <v>267.81875000000002</v>
          </cell>
          <cell r="L271"/>
          <cell r="M271"/>
          <cell r="N271">
            <v>267.81875000000002</v>
          </cell>
          <cell r="O271"/>
          <cell r="P271"/>
          <cell r="Q271">
            <v>267.81875000000002</v>
          </cell>
          <cell r="R271"/>
          <cell r="S271"/>
          <cell r="T271">
            <v>267.81875000000002</v>
          </cell>
          <cell r="U271"/>
          <cell r="V271"/>
          <cell r="W271">
            <v>267.81875000000002</v>
          </cell>
          <cell r="X271"/>
          <cell r="Y271"/>
          <cell r="Z271">
            <v>267.81875000000002</v>
          </cell>
          <cell r="AA271"/>
          <cell r="AB271"/>
          <cell r="AC271">
            <v>267.81875000000002</v>
          </cell>
          <cell r="AD271"/>
          <cell r="AE271"/>
          <cell r="AF271">
            <v>267.81875000000002</v>
          </cell>
          <cell r="AG271"/>
          <cell r="AH271"/>
          <cell r="AI271">
            <v>267.81875000000002</v>
          </cell>
          <cell r="AJ271"/>
          <cell r="AK271"/>
          <cell r="AL271">
            <v>267.81875000000002</v>
          </cell>
          <cell r="AM271"/>
          <cell r="AN271"/>
          <cell r="AO271">
            <v>267.81875000000002</v>
          </cell>
        </row>
        <row r="272">
          <cell r="A272" t="str">
            <v>CarrosserieFrais de déplacement</v>
          </cell>
          <cell r="C272"/>
          <cell r="D272"/>
          <cell r="E272">
            <v>2025</v>
          </cell>
          <cell r="F272"/>
          <cell r="G272"/>
          <cell r="H272">
            <v>168.75</v>
          </cell>
          <cell r="I272"/>
          <cell r="J272"/>
          <cell r="K272">
            <v>168.75</v>
          </cell>
          <cell r="L272"/>
          <cell r="M272"/>
          <cell r="N272">
            <v>168.75</v>
          </cell>
          <cell r="O272"/>
          <cell r="P272"/>
          <cell r="Q272">
            <v>168.75</v>
          </cell>
          <cell r="R272"/>
          <cell r="S272"/>
          <cell r="T272">
            <v>168.75</v>
          </cell>
          <cell r="U272"/>
          <cell r="V272"/>
          <cell r="W272">
            <v>168.75</v>
          </cell>
          <cell r="X272"/>
          <cell r="Y272"/>
          <cell r="Z272">
            <v>168.75</v>
          </cell>
          <cell r="AA272"/>
          <cell r="AB272"/>
          <cell r="AC272">
            <v>168.75</v>
          </cell>
          <cell r="AD272"/>
          <cell r="AE272"/>
          <cell r="AF272">
            <v>168.75</v>
          </cell>
          <cell r="AG272"/>
          <cell r="AH272"/>
          <cell r="AI272">
            <v>168.75</v>
          </cell>
          <cell r="AJ272"/>
          <cell r="AK272"/>
          <cell r="AL272">
            <v>168.75</v>
          </cell>
          <cell r="AM272"/>
          <cell r="AN272"/>
          <cell r="AO272">
            <v>168.75</v>
          </cell>
        </row>
        <row r="273">
          <cell r="A273" t="str">
            <v>CarrosserieServices extérieurs</v>
          </cell>
          <cell r="C273"/>
          <cell r="D273"/>
          <cell r="E273">
            <v>1030.7249999999999</v>
          </cell>
          <cell r="F273"/>
          <cell r="G273"/>
          <cell r="H273">
            <v>85.893750000000011</v>
          </cell>
          <cell r="I273"/>
          <cell r="J273"/>
          <cell r="K273">
            <v>85.893750000000011</v>
          </cell>
          <cell r="L273"/>
          <cell r="M273"/>
          <cell r="N273">
            <v>85.893750000000011</v>
          </cell>
          <cell r="O273"/>
          <cell r="P273"/>
          <cell r="Q273">
            <v>85.893750000000011</v>
          </cell>
          <cell r="R273"/>
          <cell r="S273"/>
          <cell r="T273">
            <v>85.893750000000011</v>
          </cell>
          <cell r="U273"/>
          <cell r="V273"/>
          <cell r="W273">
            <v>85.893750000000011</v>
          </cell>
          <cell r="X273"/>
          <cell r="Y273"/>
          <cell r="Z273">
            <v>85.893750000000011</v>
          </cell>
          <cell r="AA273"/>
          <cell r="AB273"/>
          <cell r="AC273">
            <v>85.893750000000011</v>
          </cell>
          <cell r="AD273"/>
          <cell r="AE273"/>
          <cell r="AF273">
            <v>85.893750000000011</v>
          </cell>
          <cell r="AG273"/>
          <cell r="AH273"/>
          <cell r="AI273">
            <v>85.893750000000011</v>
          </cell>
          <cell r="AJ273"/>
          <cell r="AK273"/>
          <cell r="AL273">
            <v>85.893750000000011</v>
          </cell>
          <cell r="AM273"/>
          <cell r="AN273"/>
          <cell r="AO273">
            <v>85.893750000000011</v>
          </cell>
        </row>
        <row r="274">
          <cell r="A274" t="str">
            <v>CarrosserieFournitures autres</v>
          </cell>
          <cell r="C274"/>
          <cell r="D274"/>
          <cell r="E274">
            <v>0</v>
          </cell>
          <cell r="F274"/>
          <cell r="G274"/>
          <cell r="H274">
            <v>0</v>
          </cell>
          <cell r="I274"/>
          <cell r="J274"/>
          <cell r="K274">
            <v>0</v>
          </cell>
          <cell r="L274"/>
          <cell r="M274"/>
          <cell r="N274">
            <v>0</v>
          </cell>
          <cell r="O274"/>
          <cell r="P274"/>
          <cell r="Q274">
            <v>0</v>
          </cell>
          <cell r="R274"/>
          <cell r="S274"/>
          <cell r="T274">
            <v>0</v>
          </cell>
          <cell r="U274"/>
          <cell r="V274"/>
          <cell r="W274">
            <v>0</v>
          </cell>
          <cell r="X274"/>
          <cell r="Y274"/>
          <cell r="Z274">
            <v>0</v>
          </cell>
          <cell r="AA274"/>
          <cell r="AB274"/>
          <cell r="AC274">
            <v>0</v>
          </cell>
          <cell r="AD274"/>
          <cell r="AE274"/>
          <cell r="AF274">
            <v>0</v>
          </cell>
          <cell r="AG274"/>
          <cell r="AH274"/>
          <cell r="AI274">
            <v>0</v>
          </cell>
          <cell r="AJ274"/>
          <cell r="AK274"/>
          <cell r="AL274">
            <v>0</v>
          </cell>
          <cell r="AM274"/>
          <cell r="AN274"/>
          <cell r="AO274">
            <v>0</v>
          </cell>
        </row>
        <row r="275">
          <cell r="A275" t="str">
            <v>CarrosserieUniformes</v>
          </cell>
          <cell r="C275"/>
          <cell r="D275"/>
          <cell r="E275">
            <v>0</v>
          </cell>
          <cell r="F275"/>
          <cell r="G275"/>
          <cell r="H275">
            <v>0</v>
          </cell>
          <cell r="I275"/>
          <cell r="J275"/>
          <cell r="K275">
            <v>0</v>
          </cell>
          <cell r="L275"/>
          <cell r="M275"/>
          <cell r="N275">
            <v>0</v>
          </cell>
          <cell r="O275"/>
          <cell r="P275"/>
          <cell r="Q275">
            <v>0</v>
          </cell>
          <cell r="R275"/>
          <cell r="S275"/>
          <cell r="T275">
            <v>0</v>
          </cell>
          <cell r="U275"/>
          <cell r="V275"/>
          <cell r="W275">
            <v>0</v>
          </cell>
          <cell r="X275"/>
          <cell r="Y275"/>
          <cell r="Z275">
            <v>0</v>
          </cell>
          <cell r="AA275"/>
          <cell r="AB275"/>
          <cell r="AC275">
            <v>0</v>
          </cell>
          <cell r="AD275"/>
          <cell r="AE275"/>
          <cell r="AF275">
            <v>0</v>
          </cell>
          <cell r="AG275"/>
          <cell r="AH275"/>
          <cell r="AI275">
            <v>0</v>
          </cell>
          <cell r="AJ275"/>
          <cell r="AK275"/>
          <cell r="AL275">
            <v>0</v>
          </cell>
          <cell r="AM275"/>
          <cell r="AN275"/>
          <cell r="AO275">
            <v>0</v>
          </cell>
        </row>
        <row r="276">
          <cell r="A276" t="str">
            <v>CarrosseriePapeterie</v>
          </cell>
          <cell r="C276"/>
          <cell r="D276"/>
          <cell r="E276">
            <v>300</v>
          </cell>
          <cell r="F276"/>
          <cell r="G276"/>
          <cell r="H276">
            <v>25</v>
          </cell>
          <cell r="I276"/>
          <cell r="J276"/>
          <cell r="K276">
            <v>25</v>
          </cell>
          <cell r="L276"/>
          <cell r="M276"/>
          <cell r="N276">
            <v>25</v>
          </cell>
          <cell r="O276"/>
          <cell r="P276"/>
          <cell r="Q276">
            <v>25</v>
          </cell>
          <cell r="R276"/>
          <cell r="S276"/>
          <cell r="T276">
            <v>25</v>
          </cell>
          <cell r="U276"/>
          <cell r="V276"/>
          <cell r="W276">
            <v>25</v>
          </cell>
          <cell r="X276"/>
          <cell r="Y276"/>
          <cell r="Z276">
            <v>25</v>
          </cell>
          <cell r="AA276"/>
          <cell r="AB276"/>
          <cell r="AC276">
            <v>25</v>
          </cell>
          <cell r="AD276"/>
          <cell r="AE276"/>
          <cell r="AF276">
            <v>25</v>
          </cell>
          <cell r="AG276"/>
          <cell r="AH276"/>
          <cell r="AI276">
            <v>25</v>
          </cell>
          <cell r="AJ276"/>
          <cell r="AK276"/>
          <cell r="AL276">
            <v>25</v>
          </cell>
          <cell r="AM276"/>
          <cell r="AN276"/>
          <cell r="AO276">
            <v>25</v>
          </cell>
        </row>
        <row r="277">
          <cell r="A277" t="str">
            <v>CarrosserieTéléphone</v>
          </cell>
          <cell r="C277"/>
          <cell r="D277"/>
          <cell r="E277">
            <v>434.10000000000008</v>
          </cell>
          <cell r="F277"/>
          <cell r="G277"/>
          <cell r="H277">
            <v>36.174999999999997</v>
          </cell>
          <cell r="I277"/>
          <cell r="J277"/>
          <cell r="K277">
            <v>36.174999999999997</v>
          </cell>
          <cell r="L277"/>
          <cell r="M277"/>
          <cell r="N277">
            <v>36.174999999999997</v>
          </cell>
          <cell r="O277"/>
          <cell r="P277"/>
          <cell r="Q277">
            <v>36.174999999999997</v>
          </cell>
          <cell r="R277"/>
          <cell r="S277"/>
          <cell r="T277">
            <v>36.174999999999997</v>
          </cell>
          <cell r="U277"/>
          <cell r="V277"/>
          <cell r="W277">
            <v>36.174999999999997</v>
          </cell>
          <cell r="X277"/>
          <cell r="Y277"/>
          <cell r="Z277">
            <v>36.174999999999997</v>
          </cell>
          <cell r="AA277"/>
          <cell r="AB277"/>
          <cell r="AC277">
            <v>36.174999999999997</v>
          </cell>
          <cell r="AD277"/>
          <cell r="AE277"/>
          <cell r="AF277">
            <v>36.174999999999997</v>
          </cell>
          <cell r="AG277"/>
          <cell r="AH277"/>
          <cell r="AI277">
            <v>36.174999999999997</v>
          </cell>
          <cell r="AJ277"/>
          <cell r="AK277"/>
          <cell r="AL277">
            <v>36.174999999999997</v>
          </cell>
          <cell r="AM277"/>
          <cell r="AN277"/>
          <cell r="AO277">
            <v>36.174999999999997</v>
          </cell>
        </row>
        <row r="278">
          <cell r="A278" t="str">
            <v>CarrosserieFrais postaux</v>
          </cell>
          <cell r="C278"/>
          <cell r="D278"/>
          <cell r="E278">
            <v>49.999999999999993</v>
          </cell>
          <cell r="F278"/>
          <cell r="G278"/>
          <cell r="H278">
            <v>4.166666666666667</v>
          </cell>
          <cell r="I278"/>
          <cell r="J278"/>
          <cell r="K278">
            <v>4.166666666666667</v>
          </cell>
          <cell r="L278"/>
          <cell r="M278"/>
          <cell r="N278">
            <v>4.166666666666667</v>
          </cell>
          <cell r="O278"/>
          <cell r="P278"/>
          <cell r="Q278">
            <v>4.166666666666667</v>
          </cell>
          <cell r="R278"/>
          <cell r="S278"/>
          <cell r="T278">
            <v>4.166666666666667</v>
          </cell>
          <cell r="U278"/>
          <cell r="V278"/>
          <cell r="W278">
            <v>4.166666666666667</v>
          </cell>
          <cell r="X278"/>
          <cell r="Y278"/>
          <cell r="Z278">
            <v>4.166666666666667</v>
          </cell>
          <cell r="AA278"/>
          <cell r="AB278"/>
          <cell r="AC278">
            <v>4.166666666666667</v>
          </cell>
          <cell r="AD278"/>
          <cell r="AE278"/>
          <cell r="AF278">
            <v>4.166666666666667</v>
          </cell>
          <cell r="AG278"/>
          <cell r="AH278"/>
          <cell r="AI278">
            <v>4.166666666666667</v>
          </cell>
          <cell r="AJ278"/>
          <cell r="AK278"/>
          <cell r="AL278">
            <v>4.166666666666667</v>
          </cell>
          <cell r="AM278"/>
          <cell r="AN278"/>
          <cell r="AO278">
            <v>4.166666666666667</v>
          </cell>
        </row>
        <row r="279">
          <cell r="A279" t="str">
            <v>CarrosserieDivers</v>
          </cell>
          <cell r="C279"/>
          <cell r="D279"/>
          <cell r="E279">
            <v>1083.5250000000003</v>
          </cell>
          <cell r="F279"/>
          <cell r="G279"/>
          <cell r="H279">
            <v>90.293750000000003</v>
          </cell>
          <cell r="I279"/>
          <cell r="J279"/>
          <cell r="K279">
            <v>90.293750000000003</v>
          </cell>
          <cell r="L279"/>
          <cell r="M279"/>
          <cell r="N279">
            <v>90.293750000000003</v>
          </cell>
          <cell r="O279"/>
          <cell r="P279"/>
          <cell r="Q279">
            <v>90.293750000000003</v>
          </cell>
          <cell r="R279"/>
          <cell r="S279"/>
          <cell r="T279">
            <v>90.293750000000003</v>
          </cell>
          <cell r="U279"/>
          <cell r="V279"/>
          <cell r="W279">
            <v>90.293750000000003</v>
          </cell>
          <cell r="X279"/>
          <cell r="Y279"/>
          <cell r="Z279">
            <v>90.293750000000003</v>
          </cell>
          <cell r="AA279"/>
          <cell r="AB279"/>
          <cell r="AC279">
            <v>90.293750000000003</v>
          </cell>
          <cell r="AD279"/>
          <cell r="AE279"/>
          <cell r="AF279">
            <v>90.293750000000003</v>
          </cell>
          <cell r="AG279"/>
          <cell r="AH279"/>
          <cell r="AI279">
            <v>90.293750000000003</v>
          </cell>
          <cell r="AJ279"/>
          <cell r="AK279"/>
          <cell r="AL279">
            <v>90.293750000000003</v>
          </cell>
          <cell r="AM279"/>
          <cell r="AN279"/>
          <cell r="AO279">
            <v>90.293750000000003</v>
          </cell>
        </row>
        <row r="280">
          <cell r="A280" t="str">
            <v>CarrosserieFormation</v>
          </cell>
          <cell r="C280"/>
          <cell r="D280"/>
          <cell r="E280">
            <v>250.00000000000009</v>
          </cell>
          <cell r="F280"/>
          <cell r="G280"/>
          <cell r="H280">
            <v>20.833333333333336</v>
          </cell>
          <cell r="I280"/>
          <cell r="J280"/>
          <cell r="K280">
            <v>20.833333333333336</v>
          </cell>
          <cell r="L280"/>
          <cell r="M280"/>
          <cell r="N280">
            <v>20.833333333333336</v>
          </cell>
          <cell r="O280"/>
          <cell r="P280"/>
          <cell r="Q280">
            <v>20.833333333333336</v>
          </cell>
          <cell r="R280"/>
          <cell r="S280"/>
          <cell r="T280">
            <v>20.833333333333336</v>
          </cell>
          <cell r="U280"/>
          <cell r="V280"/>
          <cell r="W280">
            <v>20.833333333333336</v>
          </cell>
          <cell r="X280"/>
          <cell r="Y280"/>
          <cell r="Z280">
            <v>20.833333333333336</v>
          </cell>
          <cell r="AA280"/>
          <cell r="AB280"/>
          <cell r="AC280">
            <v>20.833333333333336</v>
          </cell>
          <cell r="AD280"/>
          <cell r="AE280"/>
          <cell r="AF280">
            <v>20.833333333333336</v>
          </cell>
          <cell r="AG280"/>
          <cell r="AH280"/>
          <cell r="AI280">
            <v>20.833333333333336</v>
          </cell>
          <cell r="AJ280"/>
          <cell r="AK280"/>
          <cell r="AL280">
            <v>20.833333333333336</v>
          </cell>
          <cell r="AM280"/>
          <cell r="AN280"/>
          <cell r="AO280">
            <v>20.833333333333336</v>
          </cell>
        </row>
        <row r="281">
          <cell r="A281" t="str">
            <v>CarrosserieFrais bancaires</v>
          </cell>
          <cell r="C281"/>
          <cell r="D281"/>
          <cell r="E281">
            <v>2980.6515677873463</v>
          </cell>
          <cell r="F281"/>
          <cell r="G281"/>
          <cell r="H281">
            <v>157.62839091433813</v>
          </cell>
          <cell r="I281"/>
          <cell r="J281"/>
          <cell r="K281">
            <v>182.80842849573355</v>
          </cell>
          <cell r="L281"/>
          <cell r="M281"/>
          <cell r="N281">
            <v>286.05105319225135</v>
          </cell>
          <cell r="O281"/>
          <cell r="P281"/>
          <cell r="Q281">
            <v>274.29353308157204</v>
          </cell>
          <cell r="R281"/>
          <cell r="S281"/>
          <cell r="T281">
            <v>288.03862791668257</v>
          </cell>
          <cell r="U281"/>
          <cell r="V281"/>
          <cell r="W281">
            <v>285.55678463036992</v>
          </cell>
          <cell r="X281"/>
          <cell r="Y281"/>
          <cell r="Z281">
            <v>237.73232763712818</v>
          </cell>
          <cell r="AA281"/>
          <cell r="AB281"/>
          <cell r="AC281">
            <v>251.35711780672796</v>
          </cell>
          <cell r="AD281"/>
          <cell r="AE281"/>
          <cell r="AF281">
            <v>258.54554536390668</v>
          </cell>
          <cell r="AG281"/>
          <cell r="AH281"/>
          <cell r="AI281">
            <v>283.45457779926932</v>
          </cell>
          <cell r="AJ281"/>
          <cell r="AK281"/>
          <cell r="AL281">
            <v>259.62605275255925</v>
          </cell>
          <cell r="AM281"/>
          <cell r="AN281"/>
          <cell r="AO281">
            <v>215.55912819680725</v>
          </cell>
        </row>
        <row r="282">
          <cell r="A282" t="str">
            <v>Carrosserie[...]</v>
          </cell>
          <cell r="C282"/>
          <cell r="D282"/>
          <cell r="E282">
            <v>0</v>
          </cell>
          <cell r="F282"/>
          <cell r="G282"/>
          <cell r="H282"/>
          <cell r="I282"/>
          <cell r="J282"/>
          <cell r="K282"/>
          <cell r="L282"/>
          <cell r="M282"/>
          <cell r="N282"/>
          <cell r="O282"/>
          <cell r="P282"/>
          <cell r="Q282"/>
          <cell r="R282"/>
          <cell r="S282"/>
          <cell r="T282"/>
          <cell r="U282"/>
          <cell r="V282"/>
          <cell r="W282"/>
          <cell r="X282"/>
          <cell r="Y282"/>
          <cell r="Z282"/>
          <cell r="AA282"/>
          <cell r="AB282"/>
          <cell r="AC282"/>
          <cell r="AD282"/>
          <cell r="AE282"/>
          <cell r="AF282"/>
          <cell r="AG282"/>
          <cell r="AH282"/>
          <cell r="AI282"/>
          <cell r="AJ282"/>
          <cell r="AK282"/>
          <cell r="AL282"/>
          <cell r="AM282"/>
          <cell r="AN282"/>
          <cell r="AO282"/>
        </row>
        <row r="283">
          <cell r="A283" t="str">
            <v>Carrosserie[...]</v>
          </cell>
          <cell r="C283"/>
          <cell r="D283"/>
          <cell r="E283">
            <v>0</v>
          </cell>
          <cell r="F283"/>
          <cell r="G283"/>
          <cell r="H283"/>
          <cell r="I283"/>
          <cell r="J283"/>
          <cell r="K283"/>
          <cell r="L283"/>
          <cell r="M283"/>
          <cell r="N283"/>
          <cell r="O283"/>
          <cell r="P283"/>
          <cell r="Q283"/>
          <cell r="R283"/>
          <cell r="S283"/>
          <cell r="T283"/>
          <cell r="U283"/>
          <cell r="V283"/>
          <cell r="W283"/>
          <cell r="X283"/>
          <cell r="Y283"/>
          <cell r="Z283"/>
          <cell r="AA283"/>
          <cell r="AB283"/>
          <cell r="AC283"/>
          <cell r="AD283"/>
          <cell r="AE283"/>
          <cell r="AF283"/>
          <cell r="AG283"/>
          <cell r="AH283"/>
          <cell r="AI283"/>
          <cell r="AJ283"/>
          <cell r="AK283"/>
          <cell r="AL283"/>
          <cell r="AM283"/>
          <cell r="AN283"/>
          <cell r="AO283"/>
        </row>
        <row r="284">
          <cell r="A284" t="str">
            <v>Carrosserie[...]</v>
          </cell>
          <cell r="C284"/>
          <cell r="D284"/>
          <cell r="E284">
            <v>0</v>
          </cell>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row>
        <row r="285">
          <cell r="A285" t="str">
            <v>CarrosserieTOTAL SEMI-FIXES</v>
          </cell>
          <cell r="C285" t="str">
            <v>% brut</v>
          </cell>
          <cell r="D285">
            <v>0</v>
          </cell>
          <cell r="E285">
            <v>11743.426567787346</v>
          </cell>
          <cell r="F285" t="str">
            <v>% brut</v>
          </cell>
          <cell r="G285">
            <v>0</v>
          </cell>
          <cell r="H285">
            <v>887.85964091433812</v>
          </cell>
          <cell r="I285" t="str">
            <v>% brut</v>
          </cell>
          <cell r="J285">
            <v>0</v>
          </cell>
          <cell r="K285">
            <v>913.0396784957336</v>
          </cell>
          <cell r="L285" t="str">
            <v>% brut</v>
          </cell>
          <cell r="M285">
            <v>0</v>
          </cell>
          <cell r="N285">
            <v>1016.2823031922514</v>
          </cell>
          <cell r="O285" t="str">
            <v>% brut</v>
          </cell>
          <cell r="P285">
            <v>0</v>
          </cell>
          <cell r="Q285">
            <v>1004.5247830815721</v>
          </cell>
          <cell r="R285" t="str">
            <v>% brut</v>
          </cell>
          <cell r="S285">
            <v>0</v>
          </cell>
          <cell r="T285">
            <v>1018.2698779166826</v>
          </cell>
          <cell r="U285" t="str">
            <v>% brut</v>
          </cell>
          <cell r="V285">
            <v>0</v>
          </cell>
          <cell r="W285">
            <v>1015.78803463037</v>
          </cell>
          <cell r="X285" t="str">
            <v>% brut</v>
          </cell>
          <cell r="Y285">
            <v>0</v>
          </cell>
          <cell r="Z285">
            <v>967.9635776371282</v>
          </cell>
          <cell r="AA285" t="str">
            <v>% brut</v>
          </cell>
          <cell r="AB285">
            <v>0</v>
          </cell>
          <cell r="AC285">
            <v>981.588367806728</v>
          </cell>
          <cell r="AD285" t="str">
            <v>% brut</v>
          </cell>
          <cell r="AE285">
            <v>0</v>
          </cell>
          <cell r="AF285">
            <v>988.77679536390679</v>
          </cell>
          <cell r="AG285" t="str">
            <v>% brut</v>
          </cell>
          <cell r="AH285">
            <v>0</v>
          </cell>
          <cell r="AI285">
            <v>1013.6858277992694</v>
          </cell>
          <cell r="AJ285" t="str">
            <v>% brut</v>
          </cell>
          <cell r="AK285">
            <v>0</v>
          </cell>
          <cell r="AL285">
            <v>989.85730275255924</v>
          </cell>
          <cell r="AM285" t="str">
            <v>% brut</v>
          </cell>
          <cell r="AN285">
            <v>0</v>
          </cell>
          <cell r="AO285">
            <v>945.7903781968073</v>
          </cell>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CarrosserieTOTAL DES DÉPENSES</v>
          </cell>
          <cell r="C287" t="str">
            <v>% brut</v>
          </cell>
          <cell r="D287">
            <v>0</v>
          </cell>
          <cell r="E287">
            <v>23122.464358349047</v>
          </cell>
          <cell r="F287" t="str">
            <v>% brut</v>
          </cell>
          <cell r="G287">
            <v>0</v>
          </cell>
          <cell r="H287">
            <v>1804.1064115209392</v>
          </cell>
          <cell r="I287" t="str">
            <v>% brut</v>
          </cell>
          <cell r="J287">
            <v>0</v>
          </cell>
          <cell r="K287">
            <v>1786.6112776265022</v>
          </cell>
          <cell r="L287" t="str">
            <v>% brut</v>
          </cell>
          <cell r="M287">
            <v>0</v>
          </cell>
          <cell r="N287">
            <v>2017.8794167505168</v>
          </cell>
          <cell r="O287" t="str">
            <v>% brut</v>
          </cell>
          <cell r="P287">
            <v>0</v>
          </cell>
          <cell r="Q287">
            <v>1920.7715536881733</v>
          </cell>
          <cell r="R287" t="str">
            <v>% brut</v>
          </cell>
          <cell r="S287">
            <v>0</v>
          </cell>
          <cell r="T287">
            <v>1977.191819999116</v>
          </cell>
          <cell r="U287" t="str">
            <v>% brut</v>
          </cell>
          <cell r="V287">
            <v>0</v>
          </cell>
          <cell r="W287">
            <v>1974.7099767128034</v>
          </cell>
          <cell r="X287" t="str">
            <v>% brut</v>
          </cell>
          <cell r="Y287">
            <v>0</v>
          </cell>
          <cell r="Z287">
            <v>1926.8855197195617</v>
          </cell>
          <cell r="AA287" t="str">
            <v>% brut</v>
          </cell>
          <cell r="AB287">
            <v>0</v>
          </cell>
          <cell r="AC287">
            <v>1940.5103098891614</v>
          </cell>
          <cell r="AD287" t="str">
            <v>% brut</v>
          </cell>
          <cell r="AE287">
            <v>0</v>
          </cell>
          <cell r="AF287">
            <v>1947.6987374463401</v>
          </cell>
          <cell r="AG287" t="str">
            <v>% brut</v>
          </cell>
          <cell r="AH287">
            <v>0</v>
          </cell>
          <cell r="AI287">
            <v>1929.9325984058705</v>
          </cell>
          <cell r="AJ287" t="str">
            <v>% brut</v>
          </cell>
          <cell r="AK287">
            <v>0</v>
          </cell>
          <cell r="AL287">
            <v>1948.7792448349926</v>
          </cell>
          <cell r="AM287" t="str">
            <v>% brut</v>
          </cell>
          <cell r="AN287">
            <v>0</v>
          </cell>
          <cell r="AO287">
            <v>1947.3874917550727</v>
          </cell>
        </row>
        <row r="288">
          <cell r="A288" t="str">
            <v>Carrosserie</v>
          </cell>
          <cell r="C288"/>
          <cell r="D288"/>
          <cell r="E288"/>
          <cell r="F288"/>
          <cell r="G288"/>
          <cell r="H288"/>
          <cell r="I288"/>
          <cell r="J288"/>
          <cell r="K288"/>
          <cell r="L288"/>
          <cell r="M288"/>
          <cell r="N288"/>
          <cell r="O288"/>
          <cell r="P288"/>
          <cell r="Q288"/>
          <cell r="R288"/>
          <cell r="S288"/>
          <cell r="T288"/>
          <cell r="U288"/>
          <cell r="V288"/>
          <cell r="W288"/>
          <cell r="X288"/>
          <cell r="Y288"/>
          <cell r="Z288"/>
          <cell r="AA288"/>
          <cell r="AB288"/>
          <cell r="AC288"/>
          <cell r="AD288"/>
          <cell r="AE288"/>
          <cell r="AF288"/>
          <cell r="AG288"/>
          <cell r="AH288"/>
          <cell r="AI288"/>
          <cell r="AJ288"/>
          <cell r="AK288"/>
          <cell r="AL288"/>
          <cell r="AM288"/>
          <cell r="AN288"/>
          <cell r="AO288"/>
        </row>
        <row r="289">
          <cell r="A289" t="str">
            <v>CarrosseriePROFIT DÉPARTEMENTAL</v>
          </cell>
          <cell r="C289"/>
          <cell r="D289"/>
          <cell r="E289">
            <v>557.53564165095668</v>
          </cell>
          <cell r="F289"/>
          <cell r="G289"/>
          <cell r="H289">
            <v>800.69358847906096</v>
          </cell>
          <cell r="I289"/>
          <cell r="J289"/>
          <cell r="K289">
            <v>818.18872237349797</v>
          </cell>
          <cell r="L289"/>
          <cell r="M289"/>
          <cell r="N289">
            <v>350.12058324948316</v>
          </cell>
          <cell r="O289"/>
          <cell r="P289"/>
          <cell r="Q289">
            <v>-263.17155368817293</v>
          </cell>
          <cell r="R289"/>
          <cell r="S289"/>
          <cell r="T289">
            <v>-319.59181999911561</v>
          </cell>
          <cell r="U289"/>
          <cell r="V289"/>
          <cell r="W289">
            <v>-317.10997671280302</v>
          </cell>
          <cell r="X289"/>
          <cell r="Y289"/>
          <cell r="Z289">
            <v>-269.28551971956131</v>
          </cell>
          <cell r="AA289"/>
          <cell r="AB289"/>
          <cell r="AC289">
            <v>-282.910309889161</v>
          </cell>
          <cell r="AD289"/>
          <cell r="AE289"/>
          <cell r="AF289">
            <v>-763.69873744634015</v>
          </cell>
          <cell r="AG289"/>
          <cell r="AH289"/>
          <cell r="AI289">
            <v>438.06740159412948</v>
          </cell>
          <cell r="AJ289"/>
          <cell r="AK289"/>
          <cell r="AL289">
            <v>182.42075516500722</v>
          </cell>
          <cell r="AM289"/>
          <cell r="AN289"/>
          <cell r="AO289">
            <v>183.81250824492713</v>
          </cell>
        </row>
        <row r="290">
          <cell r="A290"/>
          <cell r="C290"/>
          <cell r="D290"/>
          <cell r="E290"/>
          <cell r="F290"/>
          <cell r="G290"/>
          <cell r="H290"/>
          <cell r="I290"/>
          <cell r="J290"/>
          <cell r="K290"/>
          <cell r="L290"/>
          <cell r="M290"/>
          <cell r="N290"/>
          <cell r="O290"/>
          <cell r="P290"/>
          <cell r="Q290"/>
          <cell r="R290"/>
          <cell r="S290"/>
          <cell r="T290"/>
          <cell r="U290"/>
          <cell r="V290"/>
          <cell r="W290"/>
          <cell r="X290"/>
          <cell r="Y290"/>
          <cell r="Z290"/>
          <cell r="AA290"/>
          <cell r="AB290"/>
          <cell r="AC290"/>
          <cell r="AD290"/>
          <cell r="AE290"/>
          <cell r="AF290"/>
          <cell r="AG290"/>
          <cell r="AH290"/>
          <cell r="AI290"/>
          <cell r="AJ290"/>
          <cell r="AK290"/>
          <cell r="AL290"/>
          <cell r="AM290"/>
          <cell r="AN290"/>
          <cell r="AO290"/>
        </row>
        <row r="291">
          <cell r="A291"/>
          <cell r="C291" t="str">
            <v>Pièces</v>
          </cell>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cell r="C292"/>
          <cell r="D292"/>
          <cell r="E292"/>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row>
        <row r="293">
          <cell r="A293"/>
          <cell r="C293" t="str">
            <v>TOTAL</v>
          </cell>
          <cell r="D293"/>
          <cell r="E293"/>
          <cell r="F293" t="str">
            <v>Janvier</v>
          </cell>
          <cell r="G293"/>
          <cell r="H293"/>
          <cell r="I293" t="str">
            <v>Février</v>
          </cell>
          <cell r="J293"/>
          <cell r="K293"/>
          <cell r="L293" t="str">
            <v>Mars</v>
          </cell>
          <cell r="M293"/>
          <cell r="N293"/>
          <cell r="O293" t="str">
            <v>Avril</v>
          </cell>
          <cell r="P293"/>
          <cell r="Q293"/>
          <cell r="R293" t="str">
            <v>Mai</v>
          </cell>
          <cell r="S293"/>
          <cell r="T293"/>
          <cell r="U293" t="str">
            <v>Juin</v>
          </cell>
          <cell r="V293"/>
          <cell r="W293"/>
          <cell r="X293" t="str">
            <v>Juillet</v>
          </cell>
          <cell r="Y293"/>
          <cell r="Z293"/>
          <cell r="AA293" t="str">
            <v>Août</v>
          </cell>
          <cell r="AB293"/>
          <cell r="AC293"/>
          <cell r="AD293" t="str">
            <v>Septembre</v>
          </cell>
          <cell r="AE293"/>
          <cell r="AF293"/>
          <cell r="AG293" t="str">
            <v>Octobre</v>
          </cell>
          <cell r="AH293"/>
          <cell r="AI293"/>
          <cell r="AJ293" t="str">
            <v>Novembre</v>
          </cell>
          <cell r="AK293"/>
          <cell r="AL293"/>
          <cell r="AM293" t="str">
            <v>Décembre</v>
          </cell>
          <cell r="AN293"/>
          <cell r="AO293"/>
        </row>
        <row r="294">
          <cell r="A294" t="str">
            <v>Pièces</v>
          </cell>
          <cell r="C294" t="str">
            <v>$VENTES</v>
          </cell>
          <cell r="D294" t="str">
            <v>% P. BRUT</v>
          </cell>
          <cell r="E294" t="str">
            <v>$PROFITS</v>
          </cell>
          <cell r="F294" t="str">
            <v>$VENTES</v>
          </cell>
          <cell r="G294" t="str">
            <v>% P. BRUT</v>
          </cell>
          <cell r="H294" t="str">
            <v>$PROFITS</v>
          </cell>
          <cell r="I294" t="str">
            <v>$VENTES</v>
          </cell>
          <cell r="J294" t="str">
            <v>% P. BRUT</v>
          </cell>
          <cell r="K294" t="str">
            <v>$PROFITS</v>
          </cell>
          <cell r="L294" t="str">
            <v>$VENTES</v>
          </cell>
          <cell r="M294" t="str">
            <v>% P. BRUT</v>
          </cell>
          <cell r="N294" t="str">
            <v>$PROFITS</v>
          </cell>
          <cell r="O294" t="str">
            <v>$VENTES</v>
          </cell>
          <cell r="P294" t="str">
            <v>% P. BRUT</v>
          </cell>
          <cell r="Q294" t="str">
            <v>$PROFITS</v>
          </cell>
          <cell r="R294" t="str">
            <v>$VENTES</v>
          </cell>
          <cell r="S294" t="str">
            <v>% P. BRUT</v>
          </cell>
          <cell r="T294" t="str">
            <v>$PROFITS</v>
          </cell>
          <cell r="U294" t="str">
            <v>$VENTES</v>
          </cell>
          <cell r="V294" t="str">
            <v>% P. BRUT</v>
          </cell>
          <cell r="W294" t="str">
            <v>$PROFITS</v>
          </cell>
          <cell r="X294" t="str">
            <v>$VENTES</v>
          </cell>
          <cell r="Y294" t="str">
            <v>% P. BRUT</v>
          </cell>
          <cell r="Z294" t="str">
            <v>$PROFITS</v>
          </cell>
          <cell r="AA294" t="str">
            <v>$VENTES</v>
          </cell>
          <cell r="AB294" t="str">
            <v>% P. BRUT</v>
          </cell>
          <cell r="AC294" t="str">
            <v>$PROFITS</v>
          </cell>
          <cell r="AD294" t="str">
            <v>$VENTES</v>
          </cell>
          <cell r="AE294" t="str">
            <v>% P. BRUT</v>
          </cell>
          <cell r="AF294" t="str">
            <v>$PROFITS</v>
          </cell>
          <cell r="AG294" t="str">
            <v>$VENTES</v>
          </cell>
          <cell r="AH294" t="str">
            <v>% P. BRUT</v>
          </cell>
          <cell r="AI294" t="str">
            <v>$PROFITS</v>
          </cell>
          <cell r="AJ294" t="str">
            <v>$VENTES</v>
          </cell>
          <cell r="AK294" t="str">
            <v>% P. BRUT</v>
          </cell>
          <cell r="AL294" t="str">
            <v>$PROFITS</v>
          </cell>
          <cell r="AM294" t="str">
            <v>$VENTES</v>
          </cell>
          <cell r="AN294" t="str">
            <v>% P. BRUT</v>
          </cell>
          <cell r="AO294" t="str">
            <v>$PROFITS</v>
          </cell>
        </row>
        <row r="295">
          <cell r="A295" t="str">
            <v>PiècesPièces Ro Clients</v>
          </cell>
          <cell r="C295">
            <v>917813.17</v>
          </cell>
          <cell r="D295">
            <v>0.40072167434293043</v>
          </cell>
          <cell r="E295">
            <v>367787.63021639269</v>
          </cell>
          <cell r="F295">
            <v>64246.921900000001</v>
          </cell>
          <cell r="G295">
            <v>0.40072167434293049</v>
          </cell>
          <cell r="H295">
            <v>25745.134115147488</v>
          </cell>
          <cell r="I295">
            <v>55068.790199999996</v>
          </cell>
          <cell r="J295">
            <v>0.40072167434293049</v>
          </cell>
          <cell r="K295">
            <v>22067.25781298356</v>
          </cell>
          <cell r="L295">
            <v>73425.053599999999</v>
          </cell>
          <cell r="M295">
            <v>0.40072167434293049</v>
          </cell>
          <cell r="N295">
            <v>29423.010417311416</v>
          </cell>
          <cell r="O295">
            <v>100959.44869999999</v>
          </cell>
          <cell r="P295">
            <v>0.40072167434293049</v>
          </cell>
          <cell r="Q295">
            <v>40456.639323803196</v>
          </cell>
          <cell r="R295">
            <v>100959.44869999999</v>
          </cell>
          <cell r="S295">
            <v>0.40072167434293049</v>
          </cell>
          <cell r="T295">
            <v>40456.639323803196</v>
          </cell>
          <cell r="U295">
            <v>73425.053599999999</v>
          </cell>
          <cell r="V295">
            <v>0.40072167434293049</v>
          </cell>
          <cell r="W295">
            <v>29423.010417311416</v>
          </cell>
          <cell r="X295">
            <v>55068.790199999996</v>
          </cell>
          <cell r="Y295">
            <v>0.40072167434293049</v>
          </cell>
          <cell r="Z295">
            <v>22067.25781298356</v>
          </cell>
          <cell r="AA295">
            <v>55068.790199999996</v>
          </cell>
          <cell r="AB295">
            <v>0.40072167434293049</v>
          </cell>
          <cell r="AC295">
            <v>22067.25781298356</v>
          </cell>
          <cell r="AD295">
            <v>55068.790199999996</v>
          </cell>
          <cell r="AE295">
            <v>0.40072167434293049</v>
          </cell>
          <cell r="AF295">
            <v>22067.25781298356</v>
          </cell>
          <cell r="AG295">
            <v>110137.58039999999</v>
          </cell>
          <cell r="AH295">
            <v>0.40072167434293049</v>
          </cell>
          <cell r="AI295">
            <v>44134.51562596712</v>
          </cell>
          <cell r="AJ295">
            <v>119315.71209999999</v>
          </cell>
          <cell r="AK295">
            <v>0.40072167434293049</v>
          </cell>
          <cell r="AL295">
            <v>47812.391928131045</v>
          </cell>
          <cell r="AM295">
            <v>55068.790199999996</v>
          </cell>
          <cell r="AN295">
            <v>0.40072167434293049</v>
          </cell>
          <cell r="AO295">
            <v>22067.25781298356</v>
          </cell>
        </row>
        <row r="296">
          <cell r="A296" t="str">
            <v>PiècesPièces Ro Carrosserie</v>
          </cell>
          <cell r="C296">
            <v>25279.004219113813</v>
          </cell>
          <cell r="D296">
            <v>0.33782606467483217</v>
          </cell>
          <cell r="E296">
            <v>8539.9065142416985</v>
          </cell>
          <cell r="F296">
            <v>2780.6904641025194</v>
          </cell>
          <cell r="G296">
            <v>0.33782606467483217</v>
          </cell>
          <cell r="H296">
            <v>939.3897165665868</v>
          </cell>
          <cell r="I296">
            <v>2780.6904641025194</v>
          </cell>
          <cell r="J296">
            <v>0.33782606467483217</v>
          </cell>
          <cell r="K296">
            <v>939.3897165665868</v>
          </cell>
          <cell r="L296">
            <v>2527.9004219113813</v>
          </cell>
          <cell r="M296">
            <v>0.33782606467483217</v>
          </cell>
          <cell r="N296">
            <v>853.99065142416987</v>
          </cell>
          <cell r="O296">
            <v>1769.5302953379671</v>
          </cell>
          <cell r="P296">
            <v>0.33782606467483217</v>
          </cell>
          <cell r="Q296">
            <v>597.79345599691896</v>
          </cell>
          <cell r="R296">
            <v>1769.5302953379671</v>
          </cell>
          <cell r="S296">
            <v>0.33782606467483217</v>
          </cell>
          <cell r="T296">
            <v>597.79345599691896</v>
          </cell>
          <cell r="U296">
            <v>1769.5302953379671</v>
          </cell>
          <cell r="V296">
            <v>0.33782606467483217</v>
          </cell>
          <cell r="W296">
            <v>597.79345599691896</v>
          </cell>
          <cell r="X296">
            <v>1769.5302953379671</v>
          </cell>
          <cell r="Y296">
            <v>0.33782606467483217</v>
          </cell>
          <cell r="Z296">
            <v>597.79345599691896</v>
          </cell>
          <cell r="AA296">
            <v>1769.5302953379671</v>
          </cell>
          <cell r="AB296">
            <v>0.33782606467483217</v>
          </cell>
          <cell r="AC296">
            <v>597.79345599691896</v>
          </cell>
          <cell r="AD296">
            <v>1263.9502109556906</v>
          </cell>
          <cell r="AE296">
            <v>0.33782606467483217</v>
          </cell>
          <cell r="AF296">
            <v>426.99532571208493</v>
          </cell>
          <cell r="AG296">
            <v>2527.9004219113813</v>
          </cell>
          <cell r="AH296">
            <v>0.33782606467483217</v>
          </cell>
          <cell r="AI296">
            <v>853.99065142416987</v>
          </cell>
          <cell r="AJ296">
            <v>2275.1103797202431</v>
          </cell>
          <cell r="AK296">
            <v>0.33782606467483217</v>
          </cell>
          <cell r="AL296">
            <v>768.59158628175283</v>
          </cell>
          <cell r="AM296">
            <v>2275.1103797202431</v>
          </cell>
          <cell r="AN296">
            <v>0.33782606467483217</v>
          </cell>
          <cell r="AO296">
            <v>768.59158628175283</v>
          </cell>
        </row>
        <row r="297">
          <cell r="A297" t="str">
            <v>PiècesP/A Garantie</v>
          </cell>
          <cell r="C297">
            <v>1079663.0499861306</v>
          </cell>
          <cell r="D297">
            <v>0.27899256079055468</v>
          </cell>
          <cell r="E297">
            <v>301217.95910657122</v>
          </cell>
          <cell r="F297">
            <v>64779.782999167815</v>
          </cell>
          <cell r="G297">
            <v>0.27899256079055479</v>
          </cell>
          <cell r="H297">
            <v>18073.077546394274</v>
          </cell>
          <cell r="I297">
            <v>64779.782999167815</v>
          </cell>
          <cell r="J297">
            <v>0.27899256079055479</v>
          </cell>
          <cell r="K297">
            <v>18073.077546394274</v>
          </cell>
          <cell r="L297">
            <v>97169.67449875173</v>
          </cell>
          <cell r="M297">
            <v>0.27899256079055479</v>
          </cell>
          <cell r="N297">
            <v>27109.616319591412</v>
          </cell>
          <cell r="O297">
            <v>97169.67449875173</v>
          </cell>
          <cell r="P297">
            <v>0.27899256079055479</v>
          </cell>
          <cell r="Q297">
            <v>27109.616319591412</v>
          </cell>
          <cell r="R297">
            <v>97169.67449875173</v>
          </cell>
          <cell r="S297">
            <v>0.27899256079055479</v>
          </cell>
          <cell r="T297">
            <v>27109.616319591412</v>
          </cell>
          <cell r="U297">
            <v>107966.30499861304</v>
          </cell>
          <cell r="V297">
            <v>0.27899256079055479</v>
          </cell>
          <cell r="W297">
            <v>30121.795910657125</v>
          </cell>
          <cell r="X297">
            <v>86373.043998890425</v>
          </cell>
          <cell r="Y297">
            <v>0.27899256079055479</v>
          </cell>
          <cell r="Z297">
            <v>24097.436728525699</v>
          </cell>
          <cell r="AA297">
            <v>86373.043998890425</v>
          </cell>
          <cell r="AB297">
            <v>0.27899256079055479</v>
          </cell>
          <cell r="AC297">
            <v>24097.436728525699</v>
          </cell>
          <cell r="AD297">
            <v>97169.67449875173</v>
          </cell>
          <cell r="AE297">
            <v>0.27899256079055479</v>
          </cell>
          <cell r="AF297">
            <v>27109.616319591412</v>
          </cell>
          <cell r="AG297">
            <v>107966.30499861304</v>
          </cell>
          <cell r="AH297">
            <v>0.27899256079055479</v>
          </cell>
          <cell r="AI297">
            <v>30121.795910657125</v>
          </cell>
          <cell r="AJ297">
            <v>107966.30499861304</v>
          </cell>
          <cell r="AK297">
            <v>0.27899256079055479</v>
          </cell>
          <cell r="AL297">
            <v>30121.795910657125</v>
          </cell>
          <cell r="AM297">
            <v>64779.782999167815</v>
          </cell>
          <cell r="AN297">
            <v>0.27899256079055479</v>
          </cell>
          <cell r="AO297">
            <v>18073.077546394274</v>
          </cell>
        </row>
        <row r="298">
          <cell r="A298" t="str">
            <v>PiècesVentes Internes</v>
          </cell>
          <cell r="C298">
            <v>485760.00000000006</v>
          </cell>
          <cell r="D298">
            <v>0.33999999999999991</v>
          </cell>
          <cell r="E298">
            <v>165158.39999999997</v>
          </cell>
          <cell r="F298">
            <v>24288</v>
          </cell>
          <cell r="G298">
            <v>0.34</v>
          </cell>
          <cell r="H298">
            <v>8257.92</v>
          </cell>
          <cell r="I298">
            <v>29145.599999999999</v>
          </cell>
          <cell r="J298">
            <v>0.34</v>
          </cell>
          <cell r="K298">
            <v>9909.5040000000008</v>
          </cell>
          <cell r="L298">
            <v>43718.400000000001</v>
          </cell>
          <cell r="M298">
            <v>0.34</v>
          </cell>
          <cell r="N298">
            <v>14864.256000000001</v>
          </cell>
          <cell r="O298">
            <v>48576</v>
          </cell>
          <cell r="P298">
            <v>0.34</v>
          </cell>
          <cell r="Q298">
            <v>16515.84</v>
          </cell>
          <cell r="R298">
            <v>48576</v>
          </cell>
          <cell r="S298">
            <v>0.34</v>
          </cell>
          <cell r="T298">
            <v>16515.84</v>
          </cell>
          <cell r="U298">
            <v>48576</v>
          </cell>
          <cell r="V298">
            <v>0.34</v>
          </cell>
          <cell r="W298">
            <v>16515.84</v>
          </cell>
          <cell r="X298">
            <v>43718.400000000001</v>
          </cell>
          <cell r="Y298">
            <v>0.34</v>
          </cell>
          <cell r="Z298">
            <v>14864.256000000001</v>
          </cell>
          <cell r="AA298">
            <v>43718.400000000001</v>
          </cell>
          <cell r="AB298">
            <v>0.34</v>
          </cell>
          <cell r="AC298">
            <v>14864.256000000001</v>
          </cell>
          <cell r="AD298">
            <v>43718.400000000001</v>
          </cell>
          <cell r="AE298">
            <v>0.34</v>
          </cell>
          <cell r="AF298">
            <v>14864.256000000001</v>
          </cell>
          <cell r="AG298">
            <v>43718.400000000001</v>
          </cell>
          <cell r="AH298">
            <v>0.34</v>
          </cell>
          <cell r="AI298">
            <v>14864.256000000001</v>
          </cell>
          <cell r="AJ298">
            <v>38860.800000000003</v>
          </cell>
          <cell r="AK298">
            <v>0.34</v>
          </cell>
          <cell r="AL298">
            <v>13212.672000000002</v>
          </cell>
          <cell r="AM298">
            <v>29145.599999999999</v>
          </cell>
          <cell r="AN298">
            <v>0.34</v>
          </cell>
          <cell r="AO298">
            <v>9909.5040000000008</v>
          </cell>
        </row>
        <row r="299">
          <cell r="A299" t="str">
            <v>PiècesVentes Détails</v>
          </cell>
          <cell r="C299">
            <v>162276</v>
          </cell>
          <cell r="D299">
            <v>0.29059133821390715</v>
          </cell>
          <cell r="E299">
            <v>47156</v>
          </cell>
          <cell r="F299">
            <v>15337.262724745135</v>
          </cell>
          <cell r="G299">
            <v>0.29059133821390715</v>
          </cell>
          <cell r="H299">
            <v>4456.8756997219643</v>
          </cell>
          <cell r="I299">
            <v>3771.9018350324372</v>
          </cell>
          <cell r="J299">
            <v>0.29059133821390715</v>
          </cell>
          <cell r="K299">
            <v>1096.082001853568</v>
          </cell>
          <cell r="L299">
            <v>13362.578869323448</v>
          </cell>
          <cell r="M299">
            <v>0.29059133821390715</v>
          </cell>
          <cell r="N299">
            <v>3883.0496756255789</v>
          </cell>
          <cell r="O299">
            <v>13812.259351251158</v>
          </cell>
          <cell r="P299">
            <v>0.29059133821390715</v>
          </cell>
          <cell r="Q299">
            <v>4013.7229286376269</v>
          </cell>
          <cell r="R299">
            <v>16110.29204819277</v>
          </cell>
          <cell r="S299">
            <v>0.29059133821390715</v>
          </cell>
          <cell r="T299">
            <v>4681.5113253012041</v>
          </cell>
          <cell r="U299">
            <v>9559.0941241890632</v>
          </cell>
          <cell r="V299">
            <v>0.29059133821390715</v>
          </cell>
          <cell r="W299">
            <v>2777.7899536607965</v>
          </cell>
          <cell r="X299">
            <v>13079.836626506025</v>
          </cell>
          <cell r="Y299">
            <v>0.29059133821390715</v>
          </cell>
          <cell r="Z299">
            <v>3800.8872289156625</v>
          </cell>
          <cell r="AA299">
            <v>18700.090676552361</v>
          </cell>
          <cell r="AB299">
            <v>0.29059133821390715</v>
          </cell>
          <cell r="AC299">
            <v>5434.0843744207586</v>
          </cell>
          <cell r="AD299">
            <v>8056.6499721964783</v>
          </cell>
          <cell r="AE299">
            <v>0.29059133821390715</v>
          </cell>
          <cell r="AF299">
            <v>2341.1926969416122</v>
          </cell>
          <cell r="AG299">
            <v>17984.211380908248</v>
          </cell>
          <cell r="AH299">
            <v>0.29059133821390715</v>
          </cell>
          <cell r="AI299">
            <v>5226.0560518999064</v>
          </cell>
          <cell r="AJ299">
            <v>19474.623948100092</v>
          </cell>
          <cell r="AK299">
            <v>0.29059133821390715</v>
          </cell>
          <cell r="AL299">
            <v>5659.1570342910099</v>
          </cell>
          <cell r="AM299">
            <v>13027.198443002781</v>
          </cell>
          <cell r="AN299">
            <v>0.29059133821390715</v>
          </cell>
          <cell r="AO299">
            <v>3785.5910287303054</v>
          </cell>
        </row>
        <row r="300">
          <cell r="A300" t="str">
            <v>PiècesVentes de Gros</v>
          </cell>
          <cell r="C300">
            <v>1385243</v>
          </cell>
          <cell r="D300">
            <v>0.24834415333627385</v>
          </cell>
          <cell r="E300">
            <v>344017</v>
          </cell>
          <cell r="F300">
            <v>152376.73000000001</v>
          </cell>
          <cell r="G300">
            <v>0.24834415333627385</v>
          </cell>
          <cell r="H300">
            <v>37841.870000000003</v>
          </cell>
          <cell r="I300">
            <v>152376.73000000001</v>
          </cell>
          <cell r="J300">
            <v>0.24834415333627385</v>
          </cell>
          <cell r="K300">
            <v>37841.870000000003</v>
          </cell>
          <cell r="L300">
            <v>138524.30000000002</v>
          </cell>
          <cell r="M300">
            <v>0.24834415333627385</v>
          </cell>
          <cell r="N300">
            <v>34401.700000000004</v>
          </cell>
          <cell r="O300">
            <v>96967.010000000009</v>
          </cell>
          <cell r="P300">
            <v>0.24834415333627385</v>
          </cell>
          <cell r="Q300">
            <v>24081.190000000002</v>
          </cell>
          <cell r="R300">
            <v>96967.010000000009</v>
          </cell>
          <cell r="S300">
            <v>0.24834415333627385</v>
          </cell>
          <cell r="T300">
            <v>24081.190000000002</v>
          </cell>
          <cell r="U300">
            <v>96967.010000000009</v>
          </cell>
          <cell r="V300">
            <v>0.24834415333627385</v>
          </cell>
          <cell r="W300">
            <v>24081.190000000002</v>
          </cell>
          <cell r="X300">
            <v>96967.010000000009</v>
          </cell>
          <cell r="Y300">
            <v>0.24834415333627385</v>
          </cell>
          <cell r="Z300">
            <v>24081.190000000002</v>
          </cell>
          <cell r="AA300">
            <v>96967.010000000009</v>
          </cell>
          <cell r="AB300">
            <v>0.24834415333627385</v>
          </cell>
          <cell r="AC300">
            <v>24081.190000000002</v>
          </cell>
          <cell r="AD300">
            <v>69262.150000000009</v>
          </cell>
          <cell r="AE300">
            <v>0.24834415333627385</v>
          </cell>
          <cell r="AF300">
            <v>17200.850000000002</v>
          </cell>
          <cell r="AG300">
            <v>138524.30000000002</v>
          </cell>
          <cell r="AH300">
            <v>0.24834415333627385</v>
          </cell>
          <cell r="AI300">
            <v>34401.700000000004</v>
          </cell>
          <cell r="AJ300">
            <v>124671.87</v>
          </cell>
          <cell r="AK300">
            <v>0.24834415333627385</v>
          </cell>
          <cell r="AL300">
            <v>30961.53</v>
          </cell>
          <cell r="AM300">
            <v>124671.87</v>
          </cell>
          <cell r="AN300">
            <v>0.24834415333627385</v>
          </cell>
          <cell r="AO300">
            <v>30961.53</v>
          </cell>
        </row>
        <row r="301">
          <cell r="A301" t="str">
            <v>Pièces[...]</v>
          </cell>
          <cell r="C301">
            <v>0</v>
          </cell>
          <cell r="D301">
            <v>0</v>
          </cell>
          <cell r="E301">
            <v>0</v>
          </cell>
          <cell r="F301"/>
          <cell r="G301">
            <v>0</v>
          </cell>
          <cell r="H301"/>
          <cell r="I301"/>
          <cell r="J301">
            <v>0</v>
          </cell>
          <cell r="K301"/>
          <cell r="L301"/>
          <cell r="M301">
            <v>0</v>
          </cell>
          <cell r="N301"/>
          <cell r="O301"/>
          <cell r="P301">
            <v>0</v>
          </cell>
          <cell r="Q301"/>
          <cell r="R301"/>
          <cell r="S301">
            <v>0</v>
          </cell>
          <cell r="T301"/>
          <cell r="U301"/>
          <cell r="V301">
            <v>0</v>
          </cell>
          <cell r="W301"/>
          <cell r="X301"/>
          <cell r="Y301">
            <v>0</v>
          </cell>
          <cell r="Z301"/>
          <cell r="AA301"/>
          <cell r="AB301">
            <v>0</v>
          </cell>
          <cell r="AC301"/>
          <cell r="AD301"/>
          <cell r="AE301">
            <v>0</v>
          </cell>
          <cell r="AF301"/>
          <cell r="AG301"/>
          <cell r="AH301">
            <v>0</v>
          </cell>
          <cell r="AI301"/>
          <cell r="AJ301"/>
          <cell r="AK301">
            <v>0</v>
          </cell>
          <cell r="AL301"/>
          <cell r="AM301"/>
          <cell r="AN301">
            <v>0</v>
          </cell>
          <cell r="AO301"/>
        </row>
        <row r="302">
          <cell r="A302" t="str">
            <v>PiècesEscomptes</v>
          </cell>
          <cell r="C302">
            <v>0</v>
          </cell>
          <cell r="D302">
            <v>0</v>
          </cell>
          <cell r="E302">
            <v>-7009.9999999999991</v>
          </cell>
          <cell r="F302"/>
          <cell r="G302">
            <v>0</v>
          </cell>
          <cell r="H302">
            <v>-559.63625675317439</v>
          </cell>
          <cell r="I302"/>
          <cell r="J302">
            <v>0</v>
          </cell>
          <cell r="K302">
            <v>-532.18084072405884</v>
          </cell>
          <cell r="L302"/>
          <cell r="M302">
            <v>0</v>
          </cell>
          <cell r="N302">
            <v>-637.26844694222928</v>
          </cell>
          <cell r="O302"/>
          <cell r="P302">
            <v>0</v>
          </cell>
          <cell r="Q302">
            <v>-620.89466211032754</v>
          </cell>
          <cell r="R302"/>
          <cell r="S302">
            <v>0</v>
          </cell>
          <cell r="T302">
            <v>-624.8663271198152</v>
          </cell>
          <cell r="U302"/>
          <cell r="V302">
            <v>0</v>
          </cell>
          <cell r="W302">
            <v>-584.61626553996575</v>
          </cell>
          <cell r="X302"/>
          <cell r="Y302">
            <v>0</v>
          </cell>
          <cell r="Z302">
            <v>-513.26145907071725</v>
          </cell>
          <cell r="AA302"/>
          <cell r="AB302">
            <v>0</v>
          </cell>
          <cell r="AC302">
            <v>-522.97488324640813</v>
          </cell>
          <cell r="AD302"/>
          <cell r="AE302">
            <v>0</v>
          </cell>
          <cell r="AF302">
            <v>-474.48384159017911</v>
          </cell>
          <cell r="AG302"/>
          <cell r="AH302">
            <v>0</v>
          </cell>
          <cell r="AI302">
            <v>-727.36552610330125</v>
          </cell>
          <cell r="AJ302"/>
          <cell r="AK302">
            <v>0</v>
          </cell>
          <cell r="AL302">
            <v>-713.03061915508931</v>
          </cell>
          <cell r="AM302"/>
          <cell r="AN302">
            <v>0</v>
          </cell>
          <cell r="AO302">
            <v>-499.42087164473378</v>
          </cell>
        </row>
        <row r="303">
          <cell r="A303" t="str">
            <v>PiècesRectif. Inventaire</v>
          </cell>
          <cell r="C303">
            <v>0</v>
          </cell>
          <cell r="D303">
            <v>0</v>
          </cell>
          <cell r="E303">
            <v>0</v>
          </cell>
          <cell r="F303"/>
          <cell r="G303">
            <v>0</v>
          </cell>
          <cell r="H303">
            <v>0</v>
          </cell>
          <cell r="I303"/>
          <cell r="J303">
            <v>0</v>
          </cell>
          <cell r="K303">
            <v>0</v>
          </cell>
          <cell r="L303"/>
          <cell r="M303">
            <v>0</v>
          </cell>
          <cell r="N303">
            <v>0</v>
          </cell>
          <cell r="O303"/>
          <cell r="P303">
            <v>0</v>
          </cell>
          <cell r="Q303">
            <v>0</v>
          </cell>
          <cell r="R303"/>
          <cell r="S303">
            <v>0</v>
          </cell>
          <cell r="T303">
            <v>0</v>
          </cell>
          <cell r="U303"/>
          <cell r="V303">
            <v>0</v>
          </cell>
          <cell r="W303">
            <v>0</v>
          </cell>
          <cell r="X303"/>
          <cell r="Y303">
            <v>0</v>
          </cell>
          <cell r="Z303">
            <v>0</v>
          </cell>
          <cell r="AA303"/>
          <cell r="AB303">
            <v>0</v>
          </cell>
          <cell r="AC303">
            <v>0</v>
          </cell>
          <cell r="AD303"/>
          <cell r="AE303">
            <v>0</v>
          </cell>
          <cell r="AF303">
            <v>0</v>
          </cell>
          <cell r="AG303"/>
          <cell r="AH303">
            <v>0</v>
          </cell>
          <cell r="AI303">
            <v>0</v>
          </cell>
          <cell r="AJ303"/>
          <cell r="AK303">
            <v>0</v>
          </cell>
          <cell r="AL303">
            <v>0</v>
          </cell>
          <cell r="AM303"/>
          <cell r="AN303">
            <v>0</v>
          </cell>
          <cell r="AO303">
            <v>0</v>
          </cell>
        </row>
        <row r="304">
          <cell r="A304" t="str">
            <v>PiècesSous-total Pièces</v>
          </cell>
          <cell r="C304">
            <v>4056034.2242052443</v>
          </cell>
          <cell r="D304">
            <v>0.30247942399391431</v>
          </cell>
          <cell r="E304">
            <v>1226866.8958372055</v>
          </cell>
          <cell r="F304">
            <v>323809.38808801549</v>
          </cell>
          <cell r="G304">
            <v>0.2926247178334484</v>
          </cell>
          <cell r="H304">
            <v>94754.630821077124</v>
          </cell>
          <cell r="I304">
            <v>307923.4954983028</v>
          </cell>
          <cell r="J304">
            <v>0.29031561911964149</v>
          </cell>
          <cell r="K304">
            <v>89395.000237073924</v>
          </cell>
          <cell r="L304">
            <v>368727.90738998656</v>
          </cell>
          <cell r="M304">
            <v>0.29804729290743898</v>
          </cell>
          <cell r="N304">
            <v>109898.35461701035</v>
          </cell>
          <cell r="O304">
            <v>359253.92284534086</v>
          </cell>
          <cell r="P304">
            <v>0.312185616451017</v>
          </cell>
          <cell r="Q304">
            <v>112153.90736591883</v>
          </cell>
          <cell r="R304">
            <v>361551.95554228249</v>
          </cell>
          <cell r="S304">
            <v>0.31203737766640072</v>
          </cell>
          <cell r="T304">
            <v>112817.72409757292</v>
          </cell>
          <cell r="U304">
            <v>338262.99301814009</v>
          </cell>
          <cell r="V304">
            <v>0.30429815142848421</v>
          </cell>
          <cell r="W304">
            <v>102932.80347208629</v>
          </cell>
          <cell r="X304">
            <v>296976.61112073442</v>
          </cell>
          <cell r="Y304">
            <v>0.29967194868140778</v>
          </cell>
          <cell r="Z304">
            <v>88995.559767351122</v>
          </cell>
          <cell r="AA304">
            <v>302596.86517078074</v>
          </cell>
          <cell r="AB304">
            <v>0.29947119061374483</v>
          </cell>
          <cell r="AC304">
            <v>90619.043488680531</v>
          </cell>
          <cell r="AD304">
            <v>274539.61488190386</v>
          </cell>
          <cell r="AE304">
            <v>0.30427552085542287</v>
          </cell>
          <cell r="AF304">
            <v>83535.6843136385</v>
          </cell>
          <cell r="AG304">
            <v>420858.69720143266</v>
          </cell>
          <cell r="AH304">
            <v>0.30621904589549809</v>
          </cell>
          <cell r="AI304">
            <v>128874.94871384505</v>
          </cell>
          <cell r="AJ304">
            <v>412564.42142643331</v>
          </cell>
          <cell r="AK304">
            <v>0.30982581434981715</v>
          </cell>
          <cell r="AL304">
            <v>127823.10784020585</v>
          </cell>
          <cell r="AM304">
            <v>288968.35202189081</v>
          </cell>
          <cell r="AN304">
            <v>0.29437871139709088</v>
          </cell>
          <cell r="AO304">
            <v>85066.131102745159</v>
          </cell>
        </row>
        <row r="305">
          <cell r="A305" t="str">
            <v>Pièces</v>
          </cell>
          <cell r="C305"/>
          <cell r="D305"/>
          <cell r="E305"/>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row>
        <row r="306">
          <cell r="A306" t="str">
            <v>Pièces</v>
          </cell>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row>
        <row r="307">
          <cell r="A307" t="str">
            <v>PiècesVentes Pneus</v>
          </cell>
          <cell r="C307">
            <v>579706</v>
          </cell>
          <cell r="D307">
            <v>0.21371522806388063</v>
          </cell>
          <cell r="E307">
            <v>123891.99999999999</v>
          </cell>
          <cell r="F307">
            <v>34274.947156488073</v>
          </cell>
          <cell r="G307">
            <v>0.21371522806388066</v>
          </cell>
          <cell r="H307">
            <v>7325.0781484263061</v>
          </cell>
          <cell r="I307">
            <v>37916.99666333184</v>
          </cell>
          <cell r="J307">
            <v>0.21371522806388066</v>
          </cell>
          <cell r="K307">
            <v>8103.439589401366</v>
          </cell>
          <cell r="L307">
            <v>22394.507763850361</v>
          </cell>
          <cell r="M307">
            <v>0.21371522806388066</v>
          </cell>
          <cell r="N307">
            <v>4786.0473341296256</v>
          </cell>
          <cell r="O307">
            <v>32238.644664240837</v>
          </cell>
          <cell r="P307">
            <v>0.21371522806388069</v>
          </cell>
          <cell r="Q307">
            <v>6889.8892968886403</v>
          </cell>
          <cell r="R307">
            <v>41744.602728640748</v>
          </cell>
          <cell r="S307">
            <v>0.21371522806388066</v>
          </cell>
          <cell r="T307">
            <v>8921.4572925875527</v>
          </cell>
          <cell r="U307">
            <v>13842.840571556844</v>
          </cell>
          <cell r="V307">
            <v>0.21371522806388066</v>
          </cell>
          <cell r="W307">
            <v>2958.425829802211</v>
          </cell>
          <cell r="X307">
            <v>18456.85300369417</v>
          </cell>
          <cell r="Y307">
            <v>0.21371522806388066</v>
          </cell>
          <cell r="Z307">
            <v>3944.5105490260203</v>
          </cell>
          <cell r="AA307">
            <v>16575.58261440698</v>
          </cell>
          <cell r="AB307">
            <v>0.21371522806388066</v>
          </cell>
          <cell r="AC307">
            <v>3542.4544187296829</v>
          </cell>
          <cell r="AD307">
            <v>16432.599638619995</v>
          </cell>
          <cell r="AE307">
            <v>0.21371522806388066</v>
          </cell>
          <cell r="AF307">
            <v>3511.896779450115</v>
          </cell>
          <cell r="AG307">
            <v>92781.492333145798</v>
          </cell>
          <cell r="AH307">
            <v>0.21371522806388063</v>
          </cell>
          <cell r="AI307">
            <v>19828.817794085448</v>
          </cell>
          <cell r="AJ307">
            <v>193290.49155994781</v>
          </cell>
          <cell r="AK307">
            <v>0.21371522806388066</v>
          </cell>
          <cell r="AL307">
            <v>41309.121486313845</v>
          </cell>
          <cell r="AM307">
            <v>59756.44130207655</v>
          </cell>
          <cell r="AN307">
            <v>0.21371522806388066</v>
          </cell>
          <cell r="AO307">
            <v>12770.861481159187</v>
          </cell>
        </row>
        <row r="308">
          <cell r="A308" t="str">
            <v>PiècesHuiles et Graisse</v>
          </cell>
          <cell r="C308">
            <v>160533.00000000003</v>
          </cell>
          <cell r="D308">
            <v>0.3677437037867603</v>
          </cell>
          <cell r="E308">
            <v>59035</v>
          </cell>
          <cell r="F308">
            <v>12437.21605686908</v>
          </cell>
          <cell r="G308">
            <v>0.36774370378676036</v>
          </cell>
          <cell r="H308">
            <v>4573.7078975492022</v>
          </cell>
          <cell r="I308">
            <v>5755.9713493197569</v>
          </cell>
          <cell r="J308">
            <v>0.3677437037867603</v>
          </cell>
          <cell r="K308">
            <v>2116.7222228893238</v>
          </cell>
          <cell r="L308">
            <v>9648.5449633160824</v>
          </cell>
          <cell r="M308">
            <v>0.36774370378676036</v>
          </cell>
          <cell r="N308">
            <v>3548.1916609629479</v>
          </cell>
          <cell r="O308">
            <v>11556.278713721345</v>
          </cell>
          <cell r="P308">
            <v>0.36774370378676041</v>
          </cell>
          <cell r="Q308">
            <v>4249.7487361759868</v>
          </cell>
          <cell r="R308">
            <v>16832.907059402733</v>
          </cell>
          <cell r="S308">
            <v>0.36774370378676036</v>
          </cell>
          <cell r="T308">
            <v>6190.195587523066</v>
          </cell>
          <cell r="U308">
            <v>13065.630879333325</v>
          </cell>
          <cell r="V308">
            <v>0.36774370378676036</v>
          </cell>
          <cell r="W308">
            <v>4804.8034918767034</v>
          </cell>
          <cell r="X308">
            <v>33701.154420682287</v>
          </cell>
          <cell r="Y308">
            <v>0.36774370378676036</v>
          </cell>
          <cell r="Z308">
            <v>12393.387348551256</v>
          </cell>
          <cell r="AA308">
            <v>18900.635994668522</v>
          </cell>
          <cell r="AB308">
            <v>0.36774370378676036</v>
          </cell>
          <cell r="AC308">
            <v>6950.5898846047621</v>
          </cell>
          <cell r="AD308">
            <v>7425.3186997922639</v>
          </cell>
          <cell r="AE308">
            <v>0.3677437037867603</v>
          </cell>
          <cell r="AF308">
            <v>2730.6142004586986</v>
          </cell>
          <cell r="AG308">
            <v>10713.894427166511</v>
          </cell>
          <cell r="AH308">
            <v>0.36774370378676036</v>
          </cell>
          <cell r="AI308">
            <v>3939.9672186265443</v>
          </cell>
          <cell r="AJ308">
            <v>13235.264328342078</v>
          </cell>
          <cell r="AK308">
            <v>0.3677437037867603</v>
          </cell>
          <cell r="AL308">
            <v>4867.1851247013046</v>
          </cell>
          <cell r="AM308">
            <v>7260.1831073860158</v>
          </cell>
          <cell r="AN308">
            <v>0.36774370378676036</v>
          </cell>
          <cell r="AO308">
            <v>2669.8866260802042</v>
          </cell>
        </row>
        <row r="309">
          <cell r="A309" t="str">
            <v>PiècesSous-total Pièces et Acc.</v>
          </cell>
          <cell r="C309">
            <v>4796273.2242052443</v>
          </cell>
          <cell r="D309">
            <v>0.29393527639802303</v>
          </cell>
          <cell r="E309">
            <v>1409793.8958372055</v>
          </cell>
          <cell r="F309">
            <v>370521.55130137264</v>
          </cell>
          <cell r="G309">
            <v>0.28784672981222492</v>
          </cell>
          <cell r="H309">
            <v>106653.41686705264</v>
          </cell>
          <cell r="I309">
            <v>351596.46351095435</v>
          </cell>
          <cell r="J309">
            <v>0.28332242325372825</v>
          </cell>
          <cell r="K309">
            <v>99615.162049364619</v>
          </cell>
          <cell r="L309">
            <v>400770.96011715301</v>
          </cell>
          <cell r="M309">
            <v>0.2950128761264072</v>
          </cell>
          <cell r="N309">
            <v>118232.59361210294</v>
          </cell>
          <cell r="O309">
            <v>403048.846223303</v>
          </cell>
          <cell r="P309">
            <v>0.30590224126500676</v>
          </cell>
          <cell r="Q309">
            <v>123293.54539898345</v>
          </cell>
          <cell r="R309">
            <v>420129.46533032594</v>
          </cell>
          <cell r="S309">
            <v>0.30449989237745878</v>
          </cell>
          <cell r="T309">
            <v>127929.37697768354</v>
          </cell>
          <cell r="U309">
            <v>365171.46446903021</v>
          </cell>
          <cell r="V309">
            <v>0.30313440004059578</v>
          </cell>
          <cell r="W309">
            <v>110696.03279376522</v>
          </cell>
          <cell r="X309">
            <v>349134.61854511086</v>
          </cell>
          <cell r="Y309">
            <v>0.30169869176498898</v>
          </cell>
          <cell r="Z309">
            <v>105333.4576649284</v>
          </cell>
          <cell r="AA309">
            <v>338073.08377985627</v>
          </cell>
          <cell r="AB309">
            <v>0.29908351963877827</v>
          </cell>
          <cell r="AC309">
            <v>101112.08779201498</v>
          </cell>
          <cell r="AD309">
            <v>298397.53322031611</v>
          </cell>
          <cell r="AE309">
            <v>0.30086775290887308</v>
          </cell>
          <cell r="AF309">
            <v>89778.195293547309</v>
          </cell>
          <cell r="AG309">
            <v>524354.08396174503</v>
          </cell>
          <cell r="AH309">
            <v>0.291108124062391</v>
          </cell>
          <cell r="AI309">
            <v>152643.73372655705</v>
          </cell>
          <cell r="AJ309">
            <v>619090.17731472314</v>
          </cell>
          <cell r="AK309">
            <v>0.28105665511595734</v>
          </cell>
          <cell r="AL309">
            <v>173999.414451221</v>
          </cell>
          <cell r="AM309">
            <v>355984.97643135337</v>
          </cell>
          <cell r="AN309">
            <v>0.28233460922294251</v>
          </cell>
          <cell r="AO309">
            <v>100506.87920998455</v>
          </cell>
        </row>
        <row r="310">
          <cell r="A310" t="str">
            <v>Pièces</v>
          </cell>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row>
        <row r="311">
          <cell r="A311" t="str">
            <v>Pièces</v>
          </cell>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row>
        <row r="312">
          <cell r="A312" t="str">
            <v>PiècesAutostock</v>
          </cell>
          <cell r="C312">
            <v>0</v>
          </cell>
          <cell r="D312">
            <v>0</v>
          </cell>
          <cell r="E312">
            <v>0</v>
          </cell>
          <cell r="F312"/>
          <cell r="G312">
            <v>0</v>
          </cell>
          <cell r="H312"/>
          <cell r="I312"/>
          <cell r="J312">
            <v>0</v>
          </cell>
          <cell r="K312"/>
          <cell r="L312"/>
          <cell r="M312">
            <v>0</v>
          </cell>
          <cell r="N312"/>
          <cell r="O312"/>
          <cell r="P312">
            <v>0</v>
          </cell>
          <cell r="Q312"/>
          <cell r="R312"/>
          <cell r="S312">
            <v>0</v>
          </cell>
          <cell r="T312"/>
          <cell r="U312"/>
          <cell r="V312">
            <v>0</v>
          </cell>
          <cell r="W312"/>
          <cell r="X312"/>
          <cell r="Y312">
            <v>0</v>
          </cell>
          <cell r="Z312"/>
          <cell r="AA312"/>
          <cell r="AB312">
            <v>0</v>
          </cell>
          <cell r="AC312"/>
          <cell r="AD312"/>
          <cell r="AE312">
            <v>0</v>
          </cell>
          <cell r="AF312"/>
          <cell r="AG312"/>
          <cell r="AH312">
            <v>0</v>
          </cell>
          <cell r="AI312"/>
          <cell r="AJ312"/>
          <cell r="AK312">
            <v>0</v>
          </cell>
          <cell r="AL312"/>
          <cell r="AM312"/>
          <cell r="AN312">
            <v>0</v>
          </cell>
          <cell r="AO312"/>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PiècesTotal Dépt. Pièces</v>
          </cell>
          <cell r="C314">
            <v>4796273.2242052443</v>
          </cell>
          <cell r="D314">
            <v>0.29393527639802303</v>
          </cell>
          <cell r="E314">
            <v>1409793.8958372055</v>
          </cell>
          <cell r="F314">
            <v>370521.55130137264</v>
          </cell>
          <cell r="G314">
            <v>0.28784672981222492</v>
          </cell>
          <cell r="H314">
            <v>106653.41686705264</v>
          </cell>
          <cell r="I314">
            <v>351596.46351095435</v>
          </cell>
          <cell r="J314">
            <v>0.28332242325372825</v>
          </cell>
          <cell r="K314">
            <v>99615.162049364619</v>
          </cell>
          <cell r="L314">
            <v>400770.96011715301</v>
          </cell>
          <cell r="M314">
            <v>0.2950128761264072</v>
          </cell>
          <cell r="N314">
            <v>118232.59361210294</v>
          </cell>
          <cell r="O314">
            <v>403048.846223303</v>
          </cell>
          <cell r="P314">
            <v>0.30590224126500676</v>
          </cell>
          <cell r="Q314">
            <v>123293.54539898345</v>
          </cell>
          <cell r="R314">
            <v>420129.46533032594</v>
          </cell>
          <cell r="S314">
            <v>0.30449989237745878</v>
          </cell>
          <cell r="T314">
            <v>127929.37697768354</v>
          </cell>
          <cell r="U314">
            <v>365171.46446903021</v>
          </cell>
          <cell r="V314">
            <v>0.30313440004059578</v>
          </cell>
          <cell r="W314">
            <v>110696.03279376522</v>
          </cell>
          <cell r="X314">
            <v>349134.61854511086</v>
          </cell>
          <cell r="Y314">
            <v>0.30169869176498898</v>
          </cell>
          <cell r="Z314">
            <v>105333.4576649284</v>
          </cell>
          <cell r="AA314">
            <v>338073.08377985627</v>
          </cell>
          <cell r="AB314">
            <v>0.29908351963877827</v>
          </cell>
          <cell r="AC314">
            <v>101112.08779201498</v>
          </cell>
          <cell r="AD314">
            <v>298397.53322031611</v>
          </cell>
          <cell r="AE314">
            <v>0.30086775290887308</v>
          </cell>
          <cell r="AF314">
            <v>89778.195293547309</v>
          </cell>
          <cell r="AG314">
            <v>524354.08396174503</v>
          </cell>
          <cell r="AH314">
            <v>0.291108124062391</v>
          </cell>
          <cell r="AI314">
            <v>152643.73372655705</v>
          </cell>
          <cell r="AJ314">
            <v>619090.17731472314</v>
          </cell>
          <cell r="AK314">
            <v>0.28105665511595734</v>
          </cell>
          <cell r="AL314">
            <v>173999.414451221</v>
          </cell>
          <cell r="AM314">
            <v>355984.97643135337</v>
          </cell>
          <cell r="AN314">
            <v>0.28233460922294251</v>
          </cell>
          <cell r="AO314">
            <v>100506.87920998455</v>
          </cell>
        </row>
        <row r="315">
          <cell r="A315" t="str">
            <v>Pièces</v>
          </cell>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PiècesDEPENSES</v>
          </cell>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row>
        <row r="318">
          <cell r="A318" t="str">
            <v>PiècesSalaires cadres</v>
          </cell>
          <cell r="C318"/>
          <cell r="D318"/>
          <cell r="E318">
            <v>66360.800000000003</v>
          </cell>
          <cell r="F318"/>
          <cell r="G318"/>
          <cell r="H318">
            <v>5385.3517241379313</v>
          </cell>
          <cell r="I318"/>
          <cell r="J318"/>
          <cell r="K318">
            <v>5192.3984674329504</v>
          </cell>
          <cell r="L318"/>
          <cell r="M318"/>
          <cell r="N318">
            <v>5771.2582375478923</v>
          </cell>
          <cell r="O318"/>
          <cell r="P318"/>
          <cell r="Q318">
            <v>5385.3517241379313</v>
          </cell>
          <cell r="R318"/>
          <cell r="S318"/>
          <cell r="T318">
            <v>5578.3049808429123</v>
          </cell>
          <cell r="U318"/>
          <cell r="V318"/>
          <cell r="W318">
            <v>5578.3049808429123</v>
          </cell>
          <cell r="X318"/>
          <cell r="Y318"/>
          <cell r="Z318">
            <v>5578.3049808429123</v>
          </cell>
          <cell r="AA318"/>
          <cell r="AB318"/>
          <cell r="AC318">
            <v>5578.3049808429123</v>
          </cell>
          <cell r="AD318"/>
          <cell r="AE318"/>
          <cell r="AF318">
            <v>5578.3049808429123</v>
          </cell>
          <cell r="AG318"/>
          <cell r="AH318"/>
          <cell r="AI318">
            <v>5385.3517241379313</v>
          </cell>
          <cell r="AJ318"/>
          <cell r="AK318"/>
          <cell r="AL318">
            <v>5578.3049808429123</v>
          </cell>
          <cell r="AM318"/>
          <cell r="AN318"/>
          <cell r="AO318">
            <v>5771.2582375478923</v>
          </cell>
        </row>
        <row r="319">
          <cell r="A319" t="str">
            <v>PiècesSalaires commis</v>
          </cell>
          <cell r="C319"/>
          <cell r="D319"/>
          <cell r="E319">
            <v>149812.02271999998</v>
          </cell>
          <cell r="F319"/>
          <cell r="G319"/>
          <cell r="H319">
            <v>12071.082287816093</v>
          </cell>
          <cell r="I319"/>
          <cell r="J319"/>
          <cell r="K319">
            <v>11520.078369348659</v>
          </cell>
          <cell r="L319"/>
          <cell r="M319"/>
          <cell r="N319">
            <v>13173.090124750957</v>
          </cell>
          <cell r="O319"/>
          <cell r="P319"/>
          <cell r="Q319">
            <v>12071.082287816093</v>
          </cell>
          <cell r="R319"/>
          <cell r="S319"/>
          <cell r="T319">
            <v>12622.086206283524</v>
          </cell>
          <cell r="U319"/>
          <cell r="V319"/>
          <cell r="W319">
            <v>12622.086206283524</v>
          </cell>
          <cell r="X319"/>
          <cell r="Y319"/>
          <cell r="Z319">
            <v>12622.086206283524</v>
          </cell>
          <cell r="AA319"/>
          <cell r="AB319"/>
          <cell r="AC319">
            <v>12622.086206283524</v>
          </cell>
          <cell r="AD319"/>
          <cell r="AE319"/>
          <cell r="AF319">
            <v>12622.086206283524</v>
          </cell>
          <cell r="AG319"/>
          <cell r="AH319"/>
          <cell r="AI319">
            <v>12071.082287816093</v>
          </cell>
          <cell r="AJ319"/>
          <cell r="AK319"/>
          <cell r="AL319">
            <v>12622.086206283524</v>
          </cell>
          <cell r="AM319"/>
          <cell r="AN319"/>
          <cell r="AO319">
            <v>13173.090124750957</v>
          </cell>
        </row>
        <row r="320">
          <cell r="A320" t="str">
            <v>PiècesSalaires autres</v>
          </cell>
          <cell r="C320"/>
          <cell r="D320"/>
          <cell r="E320">
            <v>1732.0000000000002</v>
          </cell>
          <cell r="F320"/>
          <cell r="G320"/>
          <cell r="H320">
            <v>139.35632183908046</v>
          </cell>
          <cell r="I320"/>
          <cell r="J320"/>
          <cell r="K320">
            <v>132.72030651340995</v>
          </cell>
          <cell r="L320"/>
          <cell r="M320"/>
          <cell r="N320">
            <v>152.62835249042146</v>
          </cell>
          <cell r="O320"/>
          <cell r="P320"/>
          <cell r="Q320">
            <v>139.35632183908046</v>
          </cell>
          <cell r="R320"/>
          <cell r="S320"/>
          <cell r="T320">
            <v>145.99233716475095</v>
          </cell>
          <cell r="U320"/>
          <cell r="V320"/>
          <cell r="W320">
            <v>145.99233716475095</v>
          </cell>
          <cell r="X320"/>
          <cell r="Y320"/>
          <cell r="Z320">
            <v>145.99233716475095</v>
          </cell>
          <cell r="AA320"/>
          <cell r="AB320"/>
          <cell r="AC320">
            <v>145.99233716475095</v>
          </cell>
          <cell r="AD320"/>
          <cell r="AE320"/>
          <cell r="AF320">
            <v>145.99233716475095</v>
          </cell>
          <cell r="AG320"/>
          <cell r="AH320"/>
          <cell r="AI320">
            <v>139.35632183908046</v>
          </cell>
          <cell r="AJ320"/>
          <cell r="AK320"/>
          <cell r="AL320">
            <v>145.99233716475095</v>
          </cell>
          <cell r="AM320"/>
          <cell r="AN320"/>
          <cell r="AO320">
            <v>152.62835249042146</v>
          </cell>
        </row>
        <row r="321">
          <cell r="A321" t="str">
            <v>PiècesSalaires spécialistes</v>
          </cell>
          <cell r="C321"/>
          <cell r="D321"/>
          <cell r="E321">
            <v>0</v>
          </cell>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row>
        <row r="322">
          <cell r="A322" t="str">
            <v>Pièces[...]</v>
          </cell>
          <cell r="C322"/>
          <cell r="D322"/>
          <cell r="E322">
            <v>0</v>
          </cell>
          <cell r="F322"/>
          <cell r="G322"/>
          <cell r="H322"/>
          <cell r="I322"/>
          <cell r="J322"/>
          <cell r="K322"/>
          <cell r="L322"/>
          <cell r="M322"/>
          <cell r="N322"/>
          <cell r="O322"/>
          <cell r="P322"/>
          <cell r="Q322"/>
          <cell r="R322"/>
          <cell r="S322"/>
          <cell r="T322"/>
          <cell r="U322"/>
          <cell r="V322"/>
          <cell r="W322"/>
          <cell r="X322"/>
          <cell r="Y322"/>
          <cell r="Z322"/>
          <cell r="AA322"/>
          <cell r="AB322"/>
          <cell r="AC322"/>
          <cell r="AD322"/>
          <cell r="AE322"/>
          <cell r="AF322"/>
          <cell r="AG322"/>
          <cell r="AH322"/>
          <cell r="AI322"/>
          <cell r="AJ322"/>
          <cell r="AK322"/>
          <cell r="AL322"/>
          <cell r="AM322"/>
          <cell r="AN322"/>
          <cell r="AO322"/>
        </row>
        <row r="323">
          <cell r="A323" t="str">
            <v>Pièces[...]</v>
          </cell>
          <cell r="C323"/>
          <cell r="D323"/>
          <cell r="E323">
            <v>0</v>
          </cell>
          <cell r="F323"/>
          <cell r="G323"/>
          <cell r="H323"/>
          <cell r="I323"/>
          <cell r="J323"/>
          <cell r="K323"/>
          <cell r="L323"/>
          <cell r="M323"/>
          <cell r="N323"/>
          <cell r="O323"/>
          <cell r="P323"/>
          <cell r="Q323"/>
          <cell r="R323"/>
          <cell r="S323"/>
          <cell r="T323"/>
          <cell r="U323"/>
          <cell r="V323"/>
          <cell r="W323"/>
          <cell r="X323"/>
          <cell r="Y323"/>
          <cell r="Z323"/>
          <cell r="AA323"/>
          <cell r="AB323"/>
          <cell r="AC323"/>
          <cell r="AD323"/>
          <cell r="AE323"/>
          <cell r="AF323"/>
          <cell r="AG323"/>
          <cell r="AH323"/>
          <cell r="AI323"/>
          <cell r="AJ323"/>
          <cell r="AK323"/>
          <cell r="AL323"/>
          <cell r="AM323"/>
          <cell r="AN323"/>
          <cell r="AO323"/>
        </row>
        <row r="324">
          <cell r="A324" t="str">
            <v>Pièces[...]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PiècesSalaires en absences</v>
          </cell>
          <cell r="C325"/>
          <cell r="D325"/>
          <cell r="E325">
            <v>22927.390776365231</v>
          </cell>
          <cell r="F325"/>
          <cell r="G325"/>
          <cell r="H325">
            <v>1852.3142028033267</v>
          </cell>
          <cell r="I325"/>
          <cell r="J325"/>
          <cell r="K325">
            <v>1774.57860916718</v>
          </cell>
          <cell r="L325"/>
          <cell r="M325"/>
          <cell r="N325">
            <v>2007.7853900756188</v>
          </cell>
          <cell r="O325"/>
          <cell r="P325"/>
          <cell r="Q325">
            <v>1852.3142028033267</v>
          </cell>
          <cell r="R325"/>
          <cell r="S325"/>
          <cell r="T325">
            <v>1930.0497964394724</v>
          </cell>
          <cell r="U325"/>
          <cell r="V325"/>
          <cell r="W325">
            <v>1930.0497964394724</v>
          </cell>
          <cell r="X325"/>
          <cell r="Y325"/>
          <cell r="Z325">
            <v>1930.0497964394724</v>
          </cell>
          <cell r="AA325"/>
          <cell r="AB325"/>
          <cell r="AC325">
            <v>1930.0497964394724</v>
          </cell>
          <cell r="AD325"/>
          <cell r="AE325"/>
          <cell r="AF325">
            <v>1930.0497964394724</v>
          </cell>
          <cell r="AG325"/>
          <cell r="AH325"/>
          <cell r="AI325">
            <v>1852.3142028033267</v>
          </cell>
          <cell r="AJ325"/>
          <cell r="AK325"/>
          <cell r="AL325">
            <v>1930.0497964394724</v>
          </cell>
          <cell r="AM325"/>
          <cell r="AN325"/>
          <cell r="AO325">
            <v>2007.7853900756188</v>
          </cell>
        </row>
        <row r="326">
          <cell r="A326" t="str">
            <v>PiècesDéduction à la source</v>
          </cell>
          <cell r="C326"/>
          <cell r="D326"/>
          <cell r="E326">
            <v>17254.634295615073</v>
          </cell>
          <cell r="F326"/>
          <cell r="G326"/>
          <cell r="H326">
            <v>1394.0096577798231</v>
          </cell>
          <cell r="I326"/>
          <cell r="J326"/>
          <cell r="K326">
            <v>1335.5076130845787</v>
          </cell>
          <cell r="L326"/>
          <cell r="M326"/>
          <cell r="N326">
            <v>1511.013747170311</v>
          </cell>
          <cell r="O326"/>
          <cell r="P326"/>
          <cell r="Q326">
            <v>1394.0096577798231</v>
          </cell>
          <cell r="R326"/>
          <cell r="S326"/>
          <cell r="T326">
            <v>1452.5117024750668</v>
          </cell>
          <cell r="U326"/>
          <cell r="V326"/>
          <cell r="W326">
            <v>1452.5117024750668</v>
          </cell>
          <cell r="X326"/>
          <cell r="Y326"/>
          <cell r="Z326">
            <v>1452.5117024750668</v>
          </cell>
          <cell r="AA326"/>
          <cell r="AB326"/>
          <cell r="AC326">
            <v>1452.5117024750668</v>
          </cell>
          <cell r="AD326"/>
          <cell r="AE326"/>
          <cell r="AF326">
            <v>1452.5117024750668</v>
          </cell>
          <cell r="AG326"/>
          <cell r="AH326"/>
          <cell r="AI326">
            <v>1394.0096577798231</v>
          </cell>
          <cell r="AJ326"/>
          <cell r="AK326"/>
          <cell r="AL326">
            <v>1452.5117024750668</v>
          </cell>
          <cell r="AM326"/>
          <cell r="AN326"/>
          <cell r="AO326">
            <v>1511.013747170311</v>
          </cell>
        </row>
        <row r="327">
          <cell r="A327" t="str">
            <v>PiècesBénéfices marginaux</v>
          </cell>
          <cell r="C327"/>
          <cell r="D327"/>
          <cell r="E327">
            <v>26236.498723469496</v>
          </cell>
          <cell r="F327"/>
          <cell r="G327"/>
          <cell r="H327">
            <v>2119.6585207337034</v>
          </cell>
          <cell r="I327"/>
          <cell r="J327"/>
          <cell r="K327">
            <v>2030.7033568820309</v>
          </cell>
          <cell r="L327"/>
          <cell r="M327"/>
          <cell r="N327">
            <v>2297.5688484370485</v>
          </cell>
          <cell r="O327"/>
          <cell r="P327"/>
          <cell r="Q327">
            <v>2119.6585207337034</v>
          </cell>
          <cell r="R327"/>
          <cell r="S327"/>
          <cell r="T327">
            <v>2208.6136845853757</v>
          </cell>
          <cell r="U327"/>
          <cell r="V327"/>
          <cell r="W327">
            <v>2208.6136845853757</v>
          </cell>
          <cell r="X327"/>
          <cell r="Y327"/>
          <cell r="Z327">
            <v>2208.6136845853757</v>
          </cell>
          <cell r="AA327"/>
          <cell r="AB327"/>
          <cell r="AC327">
            <v>2208.6136845853757</v>
          </cell>
          <cell r="AD327"/>
          <cell r="AE327"/>
          <cell r="AF327">
            <v>2208.6136845853757</v>
          </cell>
          <cell r="AG327"/>
          <cell r="AH327"/>
          <cell r="AI327">
            <v>2119.6585207337034</v>
          </cell>
          <cell r="AJ327"/>
          <cell r="AK327"/>
          <cell r="AL327">
            <v>2208.6136845853757</v>
          </cell>
          <cell r="AM327"/>
          <cell r="AN327"/>
          <cell r="AO327">
            <v>2297.5688484370485</v>
          </cell>
        </row>
        <row r="328">
          <cell r="A328" t="str">
            <v>PiècesCsst</v>
          </cell>
          <cell r="C328"/>
          <cell r="D328"/>
          <cell r="E328">
            <v>4727.2970672918</v>
          </cell>
          <cell r="F328"/>
          <cell r="G328"/>
          <cell r="H328">
            <v>381.92045418625293</v>
          </cell>
          <cell r="I328"/>
          <cell r="J328"/>
          <cell r="K328">
            <v>365.89249673550103</v>
          </cell>
          <cell r="L328"/>
          <cell r="M328"/>
          <cell r="N328">
            <v>413.9763690877565</v>
          </cell>
          <cell r="O328"/>
          <cell r="P328"/>
          <cell r="Q328">
            <v>381.92045418625293</v>
          </cell>
          <cell r="R328"/>
          <cell r="S328"/>
          <cell r="T328">
            <v>397.9484116370046</v>
          </cell>
          <cell r="U328"/>
          <cell r="V328"/>
          <cell r="W328">
            <v>397.9484116370046</v>
          </cell>
          <cell r="X328"/>
          <cell r="Y328"/>
          <cell r="Z328">
            <v>397.9484116370046</v>
          </cell>
          <cell r="AA328"/>
          <cell r="AB328"/>
          <cell r="AC328">
            <v>397.9484116370046</v>
          </cell>
          <cell r="AD328"/>
          <cell r="AE328"/>
          <cell r="AF328">
            <v>397.9484116370046</v>
          </cell>
          <cell r="AG328"/>
          <cell r="AH328"/>
          <cell r="AI328">
            <v>381.92045418625293</v>
          </cell>
          <cell r="AJ328"/>
          <cell r="AK328"/>
          <cell r="AL328">
            <v>397.9484116370046</v>
          </cell>
          <cell r="AM328"/>
          <cell r="AN328"/>
          <cell r="AO328">
            <v>413.9763690877565</v>
          </cell>
        </row>
        <row r="329">
          <cell r="A329" t="str">
            <v>Pièces[...]</v>
          </cell>
          <cell r="C329"/>
          <cell r="D329"/>
          <cell r="E329">
            <v>0</v>
          </cell>
          <cell r="F329"/>
          <cell r="G329"/>
          <cell r="H329"/>
          <cell r="I329"/>
          <cell r="J329"/>
          <cell r="K329"/>
          <cell r="L329"/>
          <cell r="M329"/>
          <cell r="N329"/>
          <cell r="O329"/>
          <cell r="P329"/>
          <cell r="Q329"/>
          <cell r="R329"/>
          <cell r="S329"/>
          <cell r="T329"/>
          <cell r="U329"/>
          <cell r="V329"/>
          <cell r="W329"/>
          <cell r="X329"/>
          <cell r="Y329"/>
          <cell r="Z329"/>
          <cell r="AA329"/>
          <cell r="AB329"/>
          <cell r="AC329"/>
          <cell r="AD329"/>
          <cell r="AE329"/>
          <cell r="AF329"/>
          <cell r="AG329"/>
          <cell r="AH329"/>
          <cell r="AI329"/>
          <cell r="AJ329"/>
          <cell r="AK329"/>
          <cell r="AL329"/>
          <cell r="AM329"/>
          <cell r="AN329"/>
          <cell r="AO329"/>
        </row>
        <row r="330">
          <cell r="A330" t="str">
            <v>PiècesTOTAL PERSONNEL</v>
          </cell>
          <cell r="C330" t="str">
            <v>% brut</v>
          </cell>
          <cell r="D330">
            <v>0.20503042638802818</v>
          </cell>
          <cell r="E330">
            <v>289050.64358274161</v>
          </cell>
          <cell r="F330" t="str">
            <v>% brut</v>
          </cell>
          <cell r="G330">
            <v>0.21887431134433297</v>
          </cell>
          <cell r="H330">
            <v>23343.693169296213</v>
          </cell>
          <cell r="I330" t="str">
            <v>% brut</v>
          </cell>
          <cell r="J330">
            <v>0.22438230043823812</v>
          </cell>
          <cell r="K330">
            <v>22351.879219164308</v>
          </cell>
          <cell r="L330" t="str">
            <v>% brut</v>
          </cell>
          <cell r="M330">
            <v>0.21421606594078266</v>
          </cell>
          <cell r="N330">
            <v>25327.321069560003</v>
          </cell>
          <cell r="O330" t="str">
            <v>% brut</v>
          </cell>
          <cell r="P330">
            <v>0.18933426801666683</v>
          </cell>
          <cell r="Q330">
            <v>23343.693169296213</v>
          </cell>
          <cell r="R330" t="str">
            <v>% brut</v>
          </cell>
          <cell r="S330">
            <v>0.19022610517108415</v>
          </cell>
          <cell r="T330">
            <v>24335.507119428101</v>
          </cell>
          <cell r="U330" t="str">
            <v>% brut</v>
          </cell>
          <cell r="V330">
            <v>0.21984082451054887</v>
          </cell>
          <cell r="W330">
            <v>24335.507119428101</v>
          </cell>
          <cell r="X330" t="str">
            <v>% brut</v>
          </cell>
          <cell r="Y330">
            <v>0.23103302273472029</v>
          </cell>
          <cell r="Z330">
            <v>24335.507119428101</v>
          </cell>
          <cell r="AA330" t="str">
            <v>% brut</v>
          </cell>
          <cell r="AB330">
            <v>0.2406785148130422</v>
          </cell>
          <cell r="AC330">
            <v>24335.507119428101</v>
          </cell>
          <cell r="AD330" t="str">
            <v>% brut</v>
          </cell>
          <cell r="AE330">
            <v>0.27106255633518156</v>
          </cell>
          <cell r="AF330">
            <v>24335.507119428101</v>
          </cell>
          <cell r="AG330" t="str">
            <v>% brut</v>
          </cell>
          <cell r="AH330">
            <v>0.15292925952082409</v>
          </cell>
          <cell r="AI330">
            <v>23343.693169296213</v>
          </cell>
          <cell r="AJ330" t="str">
            <v>% brut</v>
          </cell>
          <cell r="AK330">
            <v>0.1398597069776365</v>
          </cell>
          <cell r="AL330">
            <v>24335.507119428101</v>
          </cell>
          <cell r="AM330" t="str">
            <v>% brut</v>
          </cell>
          <cell r="AN330">
            <v>0.25199589588932275</v>
          </cell>
          <cell r="AO330">
            <v>25327.321069560003</v>
          </cell>
        </row>
        <row r="331">
          <cell r="A331" t="str">
            <v>PiècesPublicité 2</v>
          </cell>
          <cell r="C331"/>
          <cell r="D331"/>
          <cell r="E331">
            <v>28393.399999999991</v>
          </cell>
          <cell r="F331"/>
          <cell r="G331"/>
          <cell r="H331">
            <v>2366.1166666666663</v>
          </cell>
          <cell r="I331"/>
          <cell r="J331"/>
          <cell r="K331">
            <v>2366.1166666666663</v>
          </cell>
          <cell r="L331"/>
          <cell r="M331"/>
          <cell r="N331">
            <v>2366.1166666666663</v>
          </cell>
          <cell r="O331"/>
          <cell r="P331"/>
          <cell r="Q331">
            <v>2366.1166666666663</v>
          </cell>
          <cell r="R331"/>
          <cell r="S331"/>
          <cell r="T331">
            <v>2366.1166666666663</v>
          </cell>
          <cell r="U331"/>
          <cell r="V331"/>
          <cell r="W331">
            <v>2366.1166666666663</v>
          </cell>
          <cell r="X331"/>
          <cell r="Y331"/>
          <cell r="Z331">
            <v>2366.1166666666663</v>
          </cell>
          <cell r="AA331"/>
          <cell r="AB331"/>
          <cell r="AC331">
            <v>2366.1166666666663</v>
          </cell>
          <cell r="AD331"/>
          <cell r="AE331"/>
          <cell r="AF331">
            <v>2366.1166666666663</v>
          </cell>
          <cell r="AG331"/>
          <cell r="AH331"/>
          <cell r="AI331">
            <v>2366.1166666666663</v>
          </cell>
          <cell r="AJ331"/>
          <cell r="AK331"/>
          <cell r="AL331">
            <v>2366.1166666666663</v>
          </cell>
          <cell r="AM331"/>
          <cell r="AN331"/>
          <cell r="AO331">
            <v>2366.1166666666663</v>
          </cell>
        </row>
        <row r="332">
          <cell r="A332" t="str">
            <v>PiècesService gratuit 2</v>
          </cell>
          <cell r="C332"/>
          <cell r="D332"/>
          <cell r="E332">
            <v>8000.0000000000009</v>
          </cell>
          <cell r="F332"/>
          <cell r="G332"/>
          <cell r="H332">
            <v>666.66666666666663</v>
          </cell>
          <cell r="I332"/>
          <cell r="J332"/>
          <cell r="K332">
            <v>666.66666666666663</v>
          </cell>
          <cell r="L332"/>
          <cell r="M332"/>
          <cell r="N332">
            <v>666.66666666666663</v>
          </cell>
          <cell r="O332"/>
          <cell r="P332"/>
          <cell r="Q332">
            <v>666.66666666666663</v>
          </cell>
          <cell r="R332"/>
          <cell r="S332"/>
          <cell r="T332">
            <v>666.66666666666663</v>
          </cell>
          <cell r="U332"/>
          <cell r="V332"/>
          <cell r="W332">
            <v>666.66666666666663</v>
          </cell>
          <cell r="X332"/>
          <cell r="Y332"/>
          <cell r="Z332">
            <v>666.66666666666663</v>
          </cell>
          <cell r="AA332"/>
          <cell r="AB332"/>
          <cell r="AC332">
            <v>666.66666666666663</v>
          </cell>
          <cell r="AD332"/>
          <cell r="AE332"/>
          <cell r="AF332">
            <v>666.66666666666663</v>
          </cell>
          <cell r="AG332"/>
          <cell r="AH332"/>
          <cell r="AI332">
            <v>666.66666666666663</v>
          </cell>
          <cell r="AJ332"/>
          <cell r="AK332"/>
          <cell r="AL332">
            <v>666.66666666666663</v>
          </cell>
          <cell r="AM332"/>
          <cell r="AN332"/>
          <cell r="AO332">
            <v>666.66666666666663</v>
          </cell>
        </row>
        <row r="333">
          <cell r="A333" t="str">
            <v>PiècesFrais véhicules de cie</v>
          </cell>
          <cell r="C333"/>
          <cell r="D333"/>
          <cell r="E333">
            <v>6901.44</v>
          </cell>
          <cell r="F333"/>
          <cell r="G333"/>
          <cell r="H333">
            <v>575.12</v>
          </cell>
          <cell r="I333"/>
          <cell r="J333"/>
          <cell r="K333">
            <v>575.12</v>
          </cell>
          <cell r="L333"/>
          <cell r="M333"/>
          <cell r="N333">
            <v>575.12</v>
          </cell>
          <cell r="O333"/>
          <cell r="P333"/>
          <cell r="Q333">
            <v>575.12</v>
          </cell>
          <cell r="R333"/>
          <cell r="S333"/>
          <cell r="T333">
            <v>575.12</v>
          </cell>
          <cell r="U333"/>
          <cell r="V333"/>
          <cell r="W333">
            <v>575.12</v>
          </cell>
          <cell r="X333"/>
          <cell r="Y333"/>
          <cell r="Z333">
            <v>575.12</v>
          </cell>
          <cell r="AA333"/>
          <cell r="AB333"/>
          <cell r="AC333">
            <v>575.12</v>
          </cell>
          <cell r="AD333"/>
          <cell r="AE333"/>
          <cell r="AF333">
            <v>575.12</v>
          </cell>
          <cell r="AG333"/>
          <cell r="AH333"/>
          <cell r="AI333">
            <v>575.12</v>
          </cell>
          <cell r="AJ333"/>
          <cell r="AK333"/>
          <cell r="AL333">
            <v>575.12</v>
          </cell>
          <cell r="AM333"/>
          <cell r="AN333"/>
          <cell r="AO333">
            <v>575.12</v>
          </cell>
        </row>
        <row r="334">
          <cell r="A334" t="str">
            <v>PiècesInformatique</v>
          </cell>
          <cell r="C334"/>
          <cell r="D334"/>
          <cell r="E334">
            <v>25710.599999999995</v>
          </cell>
          <cell r="F334"/>
          <cell r="G334"/>
          <cell r="H334">
            <v>2142.5500000000002</v>
          </cell>
          <cell r="I334"/>
          <cell r="J334"/>
          <cell r="K334">
            <v>2142.5500000000002</v>
          </cell>
          <cell r="L334"/>
          <cell r="M334"/>
          <cell r="N334">
            <v>2142.5500000000002</v>
          </cell>
          <cell r="O334"/>
          <cell r="P334"/>
          <cell r="Q334">
            <v>2142.5500000000002</v>
          </cell>
          <cell r="R334"/>
          <cell r="S334"/>
          <cell r="T334">
            <v>2142.5500000000002</v>
          </cell>
          <cell r="U334"/>
          <cell r="V334"/>
          <cell r="W334">
            <v>2142.5500000000002</v>
          </cell>
          <cell r="X334"/>
          <cell r="Y334"/>
          <cell r="Z334">
            <v>2142.5500000000002</v>
          </cell>
          <cell r="AA334"/>
          <cell r="AB334"/>
          <cell r="AC334">
            <v>2142.5500000000002</v>
          </cell>
          <cell r="AD334"/>
          <cell r="AE334"/>
          <cell r="AF334">
            <v>2142.5500000000002</v>
          </cell>
          <cell r="AG334"/>
          <cell r="AH334"/>
          <cell r="AI334">
            <v>2142.5500000000002</v>
          </cell>
          <cell r="AJ334"/>
          <cell r="AK334"/>
          <cell r="AL334">
            <v>2142.5500000000002</v>
          </cell>
          <cell r="AM334"/>
          <cell r="AN334"/>
          <cell r="AO334">
            <v>2142.5500000000002</v>
          </cell>
        </row>
        <row r="335">
          <cell r="A335" t="str">
            <v>PiècesFrais de déplacement</v>
          </cell>
          <cell r="C335"/>
          <cell r="D335"/>
          <cell r="E335">
            <v>16200</v>
          </cell>
          <cell r="F335"/>
          <cell r="G335"/>
          <cell r="H335">
            <v>1350</v>
          </cell>
          <cell r="I335"/>
          <cell r="J335"/>
          <cell r="K335">
            <v>1350</v>
          </cell>
          <cell r="L335"/>
          <cell r="M335"/>
          <cell r="N335">
            <v>1350</v>
          </cell>
          <cell r="O335"/>
          <cell r="P335"/>
          <cell r="Q335">
            <v>1350</v>
          </cell>
          <cell r="R335"/>
          <cell r="S335"/>
          <cell r="T335">
            <v>1350</v>
          </cell>
          <cell r="U335"/>
          <cell r="V335"/>
          <cell r="W335">
            <v>1350</v>
          </cell>
          <cell r="X335"/>
          <cell r="Y335"/>
          <cell r="Z335">
            <v>1350</v>
          </cell>
          <cell r="AA335"/>
          <cell r="AB335"/>
          <cell r="AC335">
            <v>1350</v>
          </cell>
          <cell r="AD335"/>
          <cell r="AE335"/>
          <cell r="AF335">
            <v>1350</v>
          </cell>
          <cell r="AG335"/>
          <cell r="AH335"/>
          <cell r="AI335">
            <v>1350</v>
          </cell>
          <cell r="AJ335"/>
          <cell r="AK335"/>
          <cell r="AL335">
            <v>1350</v>
          </cell>
          <cell r="AM335"/>
          <cell r="AN335"/>
          <cell r="AO335">
            <v>1350</v>
          </cell>
        </row>
        <row r="336">
          <cell r="A336" t="str">
            <v>PiècesServices extérieurs</v>
          </cell>
          <cell r="C336"/>
          <cell r="D336"/>
          <cell r="E336">
            <v>117245.80000000002</v>
          </cell>
          <cell r="F336"/>
          <cell r="G336"/>
          <cell r="H336">
            <v>6429.4450466779981</v>
          </cell>
          <cell r="I336"/>
          <cell r="J336"/>
          <cell r="K336">
            <v>5239.2354819875382</v>
          </cell>
          <cell r="L336"/>
          <cell r="M336"/>
          <cell r="N336">
            <v>9934.1001020883377</v>
          </cell>
          <cell r="O336"/>
          <cell r="P336"/>
          <cell r="Q336">
            <v>10679.621472304454</v>
          </cell>
          <cell r="R336"/>
          <cell r="S336"/>
          <cell r="T336">
            <v>11559.841437367912</v>
          </cell>
          <cell r="U336"/>
          <cell r="V336"/>
          <cell r="W336">
            <v>11613.012754698257</v>
          </cell>
          <cell r="X336"/>
          <cell r="Y336"/>
          <cell r="Z336">
            <v>9215.7257868627948</v>
          </cell>
          <cell r="AA336"/>
          <cell r="AB336"/>
          <cell r="AC336">
            <v>10159.816567922591</v>
          </cell>
          <cell r="AD336"/>
          <cell r="AE336"/>
          <cell r="AF336">
            <v>10733.775445678353</v>
          </cell>
          <cell r="AG336"/>
          <cell r="AH336"/>
          <cell r="AI336">
            <v>11591.282928658113</v>
          </cell>
          <cell r="AJ336"/>
          <cell r="AK336"/>
          <cell r="AL336">
            <v>10378.79867455272</v>
          </cell>
          <cell r="AM336"/>
          <cell r="AN336"/>
          <cell r="AO336">
            <v>9711.1443012009513</v>
          </cell>
        </row>
        <row r="337">
          <cell r="A337" t="str">
            <v>PiècesFournitures autres</v>
          </cell>
          <cell r="C337"/>
          <cell r="D337"/>
          <cell r="E337">
            <v>1314.816</v>
          </cell>
          <cell r="F337"/>
          <cell r="G337"/>
          <cell r="H337">
            <v>110.88809638554216</v>
          </cell>
          <cell r="I337"/>
          <cell r="J337"/>
          <cell r="K337">
            <v>105.60771084337348</v>
          </cell>
          <cell r="L337"/>
          <cell r="M337"/>
          <cell r="N337">
            <v>116.16848192771083</v>
          </cell>
          <cell r="O337"/>
          <cell r="P337"/>
          <cell r="Q337">
            <v>110.88809638554216</v>
          </cell>
          <cell r="R337"/>
          <cell r="S337"/>
          <cell r="T337">
            <v>105.60771084337348</v>
          </cell>
          <cell r="U337"/>
          <cell r="V337"/>
          <cell r="W337">
            <v>110.88809638554216</v>
          </cell>
          <cell r="X337"/>
          <cell r="Y337"/>
          <cell r="Z337">
            <v>116.16848192771083</v>
          </cell>
          <cell r="AA337"/>
          <cell r="AB337"/>
          <cell r="AC337">
            <v>110.88809638554216</v>
          </cell>
          <cell r="AD337"/>
          <cell r="AE337"/>
          <cell r="AF337">
            <v>110.88809638554216</v>
          </cell>
          <cell r="AG337"/>
          <cell r="AH337"/>
          <cell r="AI337">
            <v>110.88809638554216</v>
          </cell>
          <cell r="AJ337"/>
          <cell r="AK337"/>
          <cell r="AL337">
            <v>110.88809638554216</v>
          </cell>
          <cell r="AM337"/>
          <cell r="AN337"/>
          <cell r="AO337">
            <v>95.046939759036135</v>
          </cell>
        </row>
        <row r="338">
          <cell r="A338" t="str">
            <v>PiècesUniformes</v>
          </cell>
          <cell r="C338"/>
          <cell r="D338"/>
          <cell r="E338">
            <v>1200</v>
          </cell>
          <cell r="F338"/>
          <cell r="G338"/>
          <cell r="H338">
            <v>100</v>
          </cell>
          <cell r="I338"/>
          <cell r="J338"/>
          <cell r="K338">
            <v>100</v>
          </cell>
          <cell r="L338"/>
          <cell r="M338"/>
          <cell r="N338">
            <v>100</v>
          </cell>
          <cell r="O338"/>
          <cell r="P338"/>
          <cell r="Q338">
            <v>100</v>
          </cell>
          <cell r="R338"/>
          <cell r="S338"/>
          <cell r="T338">
            <v>100</v>
          </cell>
          <cell r="U338"/>
          <cell r="V338"/>
          <cell r="W338">
            <v>100</v>
          </cell>
          <cell r="X338"/>
          <cell r="Y338"/>
          <cell r="Z338">
            <v>100</v>
          </cell>
          <cell r="AA338"/>
          <cell r="AB338"/>
          <cell r="AC338">
            <v>100</v>
          </cell>
          <cell r="AD338"/>
          <cell r="AE338"/>
          <cell r="AF338">
            <v>100</v>
          </cell>
          <cell r="AG338"/>
          <cell r="AH338"/>
          <cell r="AI338">
            <v>100</v>
          </cell>
          <cell r="AJ338"/>
          <cell r="AK338"/>
          <cell r="AL338">
            <v>100</v>
          </cell>
          <cell r="AM338"/>
          <cell r="AN338"/>
          <cell r="AO338">
            <v>100</v>
          </cell>
        </row>
        <row r="339">
          <cell r="A339" t="str">
            <v>PiècesPapeterie</v>
          </cell>
          <cell r="C339"/>
          <cell r="D339"/>
          <cell r="E339">
            <v>2400</v>
          </cell>
          <cell r="F339"/>
          <cell r="G339"/>
          <cell r="H339">
            <v>200</v>
          </cell>
          <cell r="I339"/>
          <cell r="J339"/>
          <cell r="K339">
            <v>200</v>
          </cell>
          <cell r="L339"/>
          <cell r="M339"/>
          <cell r="N339">
            <v>200</v>
          </cell>
          <cell r="O339"/>
          <cell r="P339"/>
          <cell r="Q339">
            <v>200</v>
          </cell>
          <cell r="R339"/>
          <cell r="S339"/>
          <cell r="T339">
            <v>200</v>
          </cell>
          <cell r="U339"/>
          <cell r="V339"/>
          <cell r="W339">
            <v>200</v>
          </cell>
          <cell r="X339"/>
          <cell r="Y339"/>
          <cell r="Z339">
            <v>200</v>
          </cell>
          <cell r="AA339"/>
          <cell r="AB339"/>
          <cell r="AC339">
            <v>200</v>
          </cell>
          <cell r="AD339"/>
          <cell r="AE339"/>
          <cell r="AF339">
            <v>200</v>
          </cell>
          <cell r="AG339"/>
          <cell r="AH339"/>
          <cell r="AI339">
            <v>200</v>
          </cell>
          <cell r="AJ339"/>
          <cell r="AK339"/>
          <cell r="AL339">
            <v>200</v>
          </cell>
          <cell r="AM339"/>
          <cell r="AN339"/>
          <cell r="AO339">
            <v>200</v>
          </cell>
        </row>
        <row r="340">
          <cell r="A340" t="str">
            <v>PiècesTéléphone</v>
          </cell>
          <cell r="C340"/>
          <cell r="D340"/>
          <cell r="E340">
            <v>3892.8000000000006</v>
          </cell>
          <cell r="F340"/>
          <cell r="G340"/>
          <cell r="H340">
            <v>324.39999999999998</v>
          </cell>
          <cell r="I340"/>
          <cell r="J340"/>
          <cell r="K340">
            <v>324.39999999999998</v>
          </cell>
          <cell r="L340"/>
          <cell r="M340"/>
          <cell r="N340">
            <v>324.39999999999998</v>
          </cell>
          <cell r="O340"/>
          <cell r="P340"/>
          <cell r="Q340">
            <v>324.39999999999998</v>
          </cell>
          <cell r="R340"/>
          <cell r="S340"/>
          <cell r="T340">
            <v>324.39999999999998</v>
          </cell>
          <cell r="U340"/>
          <cell r="V340"/>
          <cell r="W340">
            <v>324.39999999999998</v>
          </cell>
          <cell r="X340"/>
          <cell r="Y340"/>
          <cell r="Z340">
            <v>324.39999999999998</v>
          </cell>
          <cell r="AA340"/>
          <cell r="AB340"/>
          <cell r="AC340">
            <v>324.39999999999998</v>
          </cell>
          <cell r="AD340"/>
          <cell r="AE340"/>
          <cell r="AF340">
            <v>324.39999999999998</v>
          </cell>
          <cell r="AG340"/>
          <cell r="AH340"/>
          <cell r="AI340">
            <v>324.39999999999998</v>
          </cell>
          <cell r="AJ340"/>
          <cell r="AK340"/>
          <cell r="AL340">
            <v>324.39999999999998</v>
          </cell>
          <cell r="AM340"/>
          <cell r="AN340"/>
          <cell r="AO340">
            <v>324.39999999999998</v>
          </cell>
        </row>
        <row r="341">
          <cell r="A341" t="str">
            <v>PiècesFrais postaux</v>
          </cell>
          <cell r="C341"/>
          <cell r="D341"/>
          <cell r="E341">
            <v>5200</v>
          </cell>
          <cell r="F341"/>
          <cell r="G341"/>
          <cell r="H341">
            <v>433.33333333333331</v>
          </cell>
          <cell r="I341"/>
          <cell r="J341"/>
          <cell r="K341">
            <v>433.33333333333331</v>
          </cell>
          <cell r="L341"/>
          <cell r="M341"/>
          <cell r="N341">
            <v>433.33333333333331</v>
          </cell>
          <cell r="O341"/>
          <cell r="P341"/>
          <cell r="Q341">
            <v>433.33333333333331</v>
          </cell>
          <cell r="R341"/>
          <cell r="S341"/>
          <cell r="T341">
            <v>433.33333333333331</v>
          </cell>
          <cell r="U341"/>
          <cell r="V341"/>
          <cell r="W341">
            <v>433.33333333333331</v>
          </cell>
          <cell r="X341"/>
          <cell r="Y341"/>
          <cell r="Z341">
            <v>433.33333333333331</v>
          </cell>
          <cell r="AA341"/>
          <cell r="AB341"/>
          <cell r="AC341">
            <v>433.33333333333331</v>
          </cell>
          <cell r="AD341"/>
          <cell r="AE341"/>
          <cell r="AF341">
            <v>433.33333333333331</v>
          </cell>
          <cell r="AG341"/>
          <cell r="AH341"/>
          <cell r="AI341">
            <v>433.33333333333331</v>
          </cell>
          <cell r="AJ341"/>
          <cell r="AK341"/>
          <cell r="AL341">
            <v>433.33333333333331</v>
          </cell>
          <cell r="AM341"/>
          <cell r="AN341"/>
          <cell r="AO341">
            <v>433.33333333333331</v>
          </cell>
        </row>
        <row r="342">
          <cell r="A342" t="str">
            <v>PiècesDivers</v>
          </cell>
          <cell r="C342"/>
          <cell r="D342"/>
          <cell r="E342">
            <v>8668.2000000000025</v>
          </cell>
          <cell r="F342"/>
          <cell r="G342"/>
          <cell r="H342">
            <v>722.35</v>
          </cell>
          <cell r="I342"/>
          <cell r="J342"/>
          <cell r="K342">
            <v>722.35</v>
          </cell>
          <cell r="L342"/>
          <cell r="M342"/>
          <cell r="N342">
            <v>722.35</v>
          </cell>
          <cell r="O342"/>
          <cell r="P342"/>
          <cell r="Q342">
            <v>722.35</v>
          </cell>
          <cell r="R342"/>
          <cell r="S342"/>
          <cell r="T342">
            <v>722.35</v>
          </cell>
          <cell r="U342"/>
          <cell r="V342"/>
          <cell r="W342">
            <v>722.35</v>
          </cell>
          <cell r="X342"/>
          <cell r="Y342"/>
          <cell r="Z342">
            <v>722.35</v>
          </cell>
          <cell r="AA342"/>
          <cell r="AB342"/>
          <cell r="AC342">
            <v>722.35</v>
          </cell>
          <cell r="AD342"/>
          <cell r="AE342"/>
          <cell r="AF342">
            <v>722.35</v>
          </cell>
          <cell r="AG342"/>
          <cell r="AH342"/>
          <cell r="AI342">
            <v>722.35</v>
          </cell>
          <cell r="AJ342"/>
          <cell r="AK342"/>
          <cell r="AL342">
            <v>722.35</v>
          </cell>
          <cell r="AM342"/>
          <cell r="AN342"/>
          <cell r="AO342">
            <v>722.35</v>
          </cell>
        </row>
        <row r="343">
          <cell r="A343" t="str">
            <v>PiècesFormation</v>
          </cell>
          <cell r="C343"/>
          <cell r="D343"/>
          <cell r="E343">
            <v>5000</v>
          </cell>
          <cell r="F343"/>
          <cell r="G343"/>
          <cell r="H343">
            <v>416.66666666666669</v>
          </cell>
          <cell r="I343"/>
          <cell r="J343"/>
          <cell r="K343">
            <v>416.66666666666669</v>
          </cell>
          <cell r="L343"/>
          <cell r="M343"/>
          <cell r="N343">
            <v>416.66666666666669</v>
          </cell>
          <cell r="O343"/>
          <cell r="P343"/>
          <cell r="Q343">
            <v>416.66666666666669</v>
          </cell>
          <cell r="R343"/>
          <cell r="S343"/>
          <cell r="T343">
            <v>416.66666666666669</v>
          </cell>
          <cell r="U343"/>
          <cell r="V343"/>
          <cell r="W343">
            <v>416.66666666666669</v>
          </cell>
          <cell r="X343"/>
          <cell r="Y343"/>
          <cell r="Z343">
            <v>416.66666666666669</v>
          </cell>
          <cell r="AA343"/>
          <cell r="AB343"/>
          <cell r="AC343">
            <v>416.66666666666669</v>
          </cell>
          <cell r="AD343"/>
          <cell r="AE343"/>
          <cell r="AF343">
            <v>416.66666666666669</v>
          </cell>
          <cell r="AG343"/>
          <cell r="AH343"/>
          <cell r="AI343">
            <v>416.66666666666669</v>
          </cell>
          <cell r="AJ343"/>
          <cell r="AK343"/>
          <cell r="AL343">
            <v>416.66666666666669</v>
          </cell>
          <cell r="AM343"/>
          <cell r="AN343"/>
          <cell r="AO343">
            <v>416.66666666666669</v>
          </cell>
        </row>
        <row r="344">
          <cell r="A344" t="str">
            <v>PiècesFrais bancaires</v>
          </cell>
          <cell r="C344"/>
          <cell r="D344"/>
          <cell r="E344">
            <v>23845.21254229877</v>
          </cell>
          <cell r="F344"/>
          <cell r="G344"/>
          <cell r="H344">
            <v>1261.027127314705</v>
          </cell>
          <cell r="I344"/>
          <cell r="J344"/>
          <cell r="K344">
            <v>1462.4674279658684</v>
          </cell>
          <cell r="L344"/>
          <cell r="M344"/>
          <cell r="N344">
            <v>2288.4084255380108</v>
          </cell>
          <cell r="O344"/>
          <cell r="P344"/>
          <cell r="Q344">
            <v>2194.3482646525763</v>
          </cell>
          <cell r="R344"/>
          <cell r="S344"/>
          <cell r="T344">
            <v>2304.3090233334606</v>
          </cell>
          <cell r="U344"/>
          <cell r="V344"/>
          <cell r="W344">
            <v>2284.4542770429593</v>
          </cell>
          <cell r="X344"/>
          <cell r="Y344"/>
          <cell r="Z344">
            <v>1901.8586210970254</v>
          </cell>
          <cell r="AA344"/>
          <cell r="AB344"/>
          <cell r="AC344">
            <v>2010.8569424538236</v>
          </cell>
          <cell r="AD344"/>
          <cell r="AE344"/>
          <cell r="AF344">
            <v>2068.3643629112535</v>
          </cell>
          <cell r="AG344"/>
          <cell r="AH344"/>
          <cell r="AI344">
            <v>2267.6366223941545</v>
          </cell>
          <cell r="AJ344"/>
          <cell r="AK344"/>
          <cell r="AL344">
            <v>2077.008422020474</v>
          </cell>
          <cell r="AM344"/>
          <cell r="AN344"/>
          <cell r="AO344">
            <v>1724.473025574458</v>
          </cell>
        </row>
        <row r="345">
          <cell r="A345" t="str">
            <v>Pièces[...]</v>
          </cell>
          <cell r="C345"/>
          <cell r="D345"/>
          <cell r="E345">
            <v>0</v>
          </cell>
          <cell r="F345"/>
          <cell r="G345"/>
          <cell r="H345"/>
          <cell r="I345"/>
          <cell r="J345"/>
          <cell r="K345"/>
          <cell r="L345"/>
          <cell r="M345"/>
          <cell r="N345"/>
          <cell r="O345"/>
          <cell r="P345"/>
          <cell r="Q345"/>
          <cell r="R345"/>
          <cell r="S345"/>
          <cell r="T345"/>
          <cell r="U345"/>
          <cell r="V345"/>
          <cell r="W345"/>
          <cell r="X345"/>
          <cell r="Y345"/>
          <cell r="Z345"/>
          <cell r="AA345"/>
          <cell r="AB345"/>
          <cell r="AC345"/>
          <cell r="AD345"/>
          <cell r="AE345"/>
          <cell r="AF345"/>
          <cell r="AG345"/>
          <cell r="AH345"/>
          <cell r="AI345"/>
          <cell r="AJ345"/>
          <cell r="AK345"/>
          <cell r="AL345"/>
          <cell r="AM345"/>
          <cell r="AN345"/>
          <cell r="AO345"/>
        </row>
        <row r="346">
          <cell r="A346" t="str">
            <v>Pièces[...]</v>
          </cell>
          <cell r="C346"/>
          <cell r="D346"/>
          <cell r="E346">
            <v>0</v>
          </cell>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row>
        <row r="347">
          <cell r="A347" t="str">
            <v>Pièces[...]</v>
          </cell>
          <cell r="C347"/>
          <cell r="D347"/>
          <cell r="E347">
            <v>0</v>
          </cell>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row>
        <row r="348">
          <cell r="A348" t="str">
            <v>PiècesTOTAL SEMI-FIXES</v>
          </cell>
          <cell r="C348" t="str">
            <v>% brut</v>
          </cell>
          <cell r="D348">
            <v>0.18014850914890465</v>
          </cell>
          <cell r="E348">
            <v>253972.26854229876</v>
          </cell>
          <cell r="F348" t="str">
            <v>% brut</v>
          </cell>
          <cell r="G348">
            <v>0.16031894810295258</v>
          </cell>
          <cell r="H348">
            <v>17098.56360371158</v>
          </cell>
          <cell r="I348" t="str">
            <v>% brut</v>
          </cell>
          <cell r="J348">
            <v>0.16166729665258656</v>
          </cell>
          <cell r="K348">
            <v>16104.513954130112</v>
          </cell>
          <cell r="L348" t="str">
            <v>% brut</v>
          </cell>
          <cell r="M348">
            <v>0.18299421235628402</v>
          </cell>
          <cell r="N348">
            <v>21635.880342887394</v>
          </cell>
          <cell r="O348" t="str">
            <v>% brut</v>
          </cell>
          <cell r="P348">
            <v>0.18072366314530217</v>
          </cell>
          <cell r="Q348">
            <v>22282.061166675903</v>
          </cell>
          <cell r="R348" t="str">
            <v>% brut</v>
          </cell>
          <cell r="S348">
            <v>0.18187348406251402</v>
          </cell>
          <cell r="T348">
            <v>23266.961504878076</v>
          </cell>
          <cell r="U348" t="str">
            <v>% brut</v>
          </cell>
          <cell r="V348">
            <v>0.21053652848499135</v>
          </cell>
          <cell r="W348">
            <v>23305.558461460088</v>
          </cell>
          <cell r="X348" t="str">
            <v>% brut</v>
          </cell>
          <cell r="Y348">
            <v>0.19491391129047506</v>
          </cell>
          <cell r="Z348">
            <v>20530.956223220863</v>
          </cell>
          <cell r="AA348" t="str">
            <v>% brut</v>
          </cell>
          <cell r="AB348">
            <v>0.21341429507896487</v>
          </cell>
          <cell r="AC348">
            <v>21578.764940095287</v>
          </cell>
          <cell r="AD348" t="str">
            <v>% brut</v>
          </cell>
          <cell r="AE348">
            <v>0.24739003903662576</v>
          </cell>
          <cell r="AF348">
            <v>22210.231238308479</v>
          </cell>
          <cell r="AG348" t="str">
            <v>% brut</v>
          </cell>
          <cell r="AH348">
            <v>0.15242689898067616</v>
          </cell>
          <cell r="AI348">
            <v>23267.010980771141</v>
          </cell>
          <cell r="AJ348" t="str">
            <v>% brut</v>
          </cell>
          <cell r="AK348">
            <v>0.12565501208868374</v>
          </cell>
          <cell r="AL348">
            <v>21863.898526292069</v>
          </cell>
          <cell r="AM348" t="str">
            <v>% brut</v>
          </cell>
          <cell r="AN348">
            <v>0.20722827893554474</v>
          </cell>
          <cell r="AO348">
            <v>20827.867599867779</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PiècesTOTAL DES DÉPENSES</v>
          </cell>
          <cell r="C350" t="str">
            <v>% brut</v>
          </cell>
          <cell r="D350">
            <v>0.38517893553693278</v>
          </cell>
          <cell r="E350">
            <v>543022.91212504031</v>
          </cell>
          <cell r="F350" t="str">
            <v>% brut</v>
          </cell>
          <cell r="G350">
            <v>0.37919325944728555</v>
          </cell>
          <cell r="H350">
            <v>40442.256773007794</v>
          </cell>
          <cell r="I350" t="str">
            <v>% brut</v>
          </cell>
          <cell r="J350">
            <v>0.38604959709082465</v>
          </cell>
          <cell r="K350">
            <v>38456.393173294418</v>
          </cell>
          <cell r="L350" t="str">
            <v>% brut</v>
          </cell>
          <cell r="M350">
            <v>0.39721027829706668</v>
          </cell>
          <cell r="N350">
            <v>46963.201412447394</v>
          </cell>
          <cell r="O350" t="str">
            <v>% brut</v>
          </cell>
          <cell r="P350">
            <v>0.370057931161969</v>
          </cell>
          <cell r="Q350">
            <v>45625.754335972117</v>
          </cell>
          <cell r="R350" t="str">
            <v>% brut</v>
          </cell>
          <cell r="S350">
            <v>0.37209958923359815</v>
          </cell>
          <cell r="T350">
            <v>47602.468624306173</v>
          </cell>
          <cell r="U350" t="str">
            <v>% brut</v>
          </cell>
          <cell r="V350">
            <v>0.4303773529955402</v>
          </cell>
          <cell r="W350">
            <v>47641.065580888186</v>
          </cell>
          <cell r="X350" t="str">
            <v>% brut</v>
          </cell>
          <cell r="Y350">
            <v>0.42594693402519529</v>
          </cell>
          <cell r="Z350">
            <v>44866.46334264896</v>
          </cell>
          <cell r="AA350" t="str">
            <v>% brut</v>
          </cell>
          <cell r="AB350">
            <v>0.45409280989200707</v>
          </cell>
          <cell r="AC350">
            <v>45914.272059523384</v>
          </cell>
          <cell r="AD350" t="str">
            <v>% brut</v>
          </cell>
          <cell r="AE350">
            <v>0.51845259537180732</v>
          </cell>
          <cell r="AF350">
            <v>46545.738357736584</v>
          </cell>
          <cell r="AG350" t="str">
            <v>% brut</v>
          </cell>
          <cell r="AH350">
            <v>0.30535615850150022</v>
          </cell>
          <cell r="AI350">
            <v>46610.704150067351</v>
          </cell>
          <cell r="AJ350" t="str">
            <v>% brut</v>
          </cell>
          <cell r="AK350">
            <v>0.26551471906632024</v>
          </cell>
          <cell r="AL350">
            <v>46199.405645720166</v>
          </cell>
          <cell r="AM350" t="str">
            <v>% brut</v>
          </cell>
          <cell r="AN350">
            <v>0.45922417482486744</v>
          </cell>
          <cell r="AO350">
            <v>46155.188669427778</v>
          </cell>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PiècesPROFIT DÉPARTEMENTAL</v>
          </cell>
          <cell r="C352"/>
          <cell r="D352"/>
          <cell r="E352">
            <v>866770.98371216515</v>
          </cell>
          <cell r="F352"/>
          <cell r="G352"/>
          <cell r="H352">
            <v>66211.160094044841</v>
          </cell>
          <cell r="I352"/>
          <cell r="J352"/>
          <cell r="K352">
            <v>61158.7688760702</v>
          </cell>
          <cell r="L352"/>
          <cell r="M352"/>
          <cell r="N352">
            <v>71269.392199655544</v>
          </cell>
          <cell r="O352"/>
          <cell r="P352"/>
          <cell r="Q352">
            <v>77667.791063011333</v>
          </cell>
          <cell r="R352"/>
          <cell r="S352"/>
          <cell r="T352">
            <v>80326.908353377366</v>
          </cell>
          <cell r="U352"/>
          <cell r="V352"/>
          <cell r="W352">
            <v>63054.967212877033</v>
          </cell>
          <cell r="X352"/>
          <cell r="Y352"/>
          <cell r="Z352">
            <v>60466.994322279439</v>
          </cell>
          <cell r="AA352"/>
          <cell r="AB352"/>
          <cell r="AC352">
            <v>55197.815732491596</v>
          </cell>
          <cell r="AD352"/>
          <cell r="AE352"/>
          <cell r="AF352">
            <v>43232.456935810726</v>
          </cell>
          <cell r="AG352"/>
          <cell r="AH352"/>
          <cell r="AI352">
            <v>106033.0295764897</v>
          </cell>
          <cell r="AJ352"/>
          <cell r="AK352"/>
          <cell r="AL352">
            <v>127800.00880550084</v>
          </cell>
          <cell r="AM352"/>
          <cell r="AN352"/>
          <cell r="AO352">
            <v>54351.690540556767</v>
          </cell>
        </row>
        <row r="353">
          <cell r="A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row>
        <row r="355">
          <cell r="A355"/>
          <cell r="C355" t="str">
            <v>Boutique</v>
          </cell>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row>
        <row r="357">
          <cell r="A357"/>
          <cell r="C357" t="str">
            <v>TOTAL</v>
          </cell>
          <cell r="D357"/>
          <cell r="E357"/>
          <cell r="F357" t="str">
            <v>Janvier</v>
          </cell>
          <cell r="G357"/>
          <cell r="H357"/>
          <cell r="I357" t="str">
            <v>Février</v>
          </cell>
          <cell r="J357"/>
          <cell r="K357"/>
          <cell r="L357" t="str">
            <v>Mars</v>
          </cell>
          <cell r="M357"/>
          <cell r="N357"/>
          <cell r="O357" t="str">
            <v>Avril</v>
          </cell>
          <cell r="P357"/>
          <cell r="Q357"/>
          <cell r="R357" t="str">
            <v>Mai</v>
          </cell>
          <cell r="S357"/>
          <cell r="T357"/>
          <cell r="U357" t="str">
            <v>Juin</v>
          </cell>
          <cell r="V357"/>
          <cell r="W357"/>
          <cell r="X357" t="str">
            <v>Juillet</v>
          </cell>
          <cell r="Y357"/>
          <cell r="Z357"/>
          <cell r="AA357" t="str">
            <v>Août</v>
          </cell>
          <cell r="AB357"/>
          <cell r="AC357"/>
          <cell r="AD357" t="str">
            <v>Septembre</v>
          </cell>
          <cell r="AE357"/>
          <cell r="AF357"/>
          <cell r="AG357" t="str">
            <v>Octobre</v>
          </cell>
          <cell r="AH357"/>
          <cell r="AI357"/>
          <cell r="AJ357" t="str">
            <v>Novembre</v>
          </cell>
          <cell r="AK357"/>
          <cell r="AL357"/>
          <cell r="AM357" t="str">
            <v>Décembre</v>
          </cell>
          <cell r="AN357"/>
          <cell r="AO357"/>
        </row>
        <row r="358">
          <cell r="A358"/>
          <cell r="C358" t="str">
            <v>$VENTES</v>
          </cell>
          <cell r="D358" t="str">
            <v>% P. BRUT</v>
          </cell>
          <cell r="E358" t="str">
            <v>$PROFITS</v>
          </cell>
          <cell r="F358" t="str">
            <v>$VENTES</v>
          </cell>
          <cell r="G358" t="str">
            <v>% P. BRUT</v>
          </cell>
          <cell r="H358" t="str">
            <v>$PROFITS</v>
          </cell>
          <cell r="I358" t="str">
            <v>$VENTES</v>
          </cell>
          <cell r="J358" t="str">
            <v>% P. BRUT</v>
          </cell>
          <cell r="K358" t="str">
            <v>$PROFITS</v>
          </cell>
          <cell r="L358" t="str">
            <v>$VENTES</v>
          </cell>
          <cell r="M358" t="str">
            <v>% P. BRUT</v>
          </cell>
          <cell r="N358" t="str">
            <v>$PROFITS</v>
          </cell>
          <cell r="O358" t="str">
            <v>$VENTES</v>
          </cell>
          <cell r="P358" t="str">
            <v>% P. BRUT</v>
          </cell>
          <cell r="Q358" t="str">
            <v>$PROFITS</v>
          </cell>
          <cell r="R358" t="str">
            <v>$VENTES</v>
          </cell>
          <cell r="S358" t="str">
            <v>% P. BRUT</v>
          </cell>
          <cell r="T358" t="str">
            <v>$PROFITS</v>
          </cell>
          <cell r="U358" t="str">
            <v>$VENTES</v>
          </cell>
          <cell r="V358" t="str">
            <v>% P. BRUT</v>
          </cell>
          <cell r="W358" t="str">
            <v>$PROFITS</v>
          </cell>
          <cell r="X358" t="str">
            <v>$VENTES</v>
          </cell>
          <cell r="Y358" t="str">
            <v>% P. BRUT</v>
          </cell>
          <cell r="Z358" t="str">
            <v>$PROFITS</v>
          </cell>
          <cell r="AA358" t="str">
            <v>$VENTES</v>
          </cell>
          <cell r="AB358" t="str">
            <v>% P. BRUT</v>
          </cell>
          <cell r="AC358" t="str">
            <v>$PROFITS</v>
          </cell>
          <cell r="AD358" t="str">
            <v>$VENTES</v>
          </cell>
          <cell r="AE358" t="str">
            <v>% P. BRUT</v>
          </cell>
          <cell r="AF358" t="str">
            <v>$PROFITS</v>
          </cell>
          <cell r="AG358" t="str">
            <v>$VENTES</v>
          </cell>
          <cell r="AH358" t="str">
            <v>% P. BRUT</v>
          </cell>
          <cell r="AI358" t="str">
            <v>$PROFITS</v>
          </cell>
          <cell r="AJ358" t="str">
            <v>$VENTES</v>
          </cell>
          <cell r="AK358" t="str">
            <v>% P. BRUT</v>
          </cell>
          <cell r="AL358" t="str">
            <v>$PROFITS</v>
          </cell>
          <cell r="AM358" t="str">
            <v>$VENTES</v>
          </cell>
          <cell r="AN358" t="str">
            <v>% P. BRUT</v>
          </cell>
          <cell r="AO358" t="str">
            <v>$PROFITS</v>
          </cell>
        </row>
        <row r="359">
          <cell r="A359" t="str">
            <v>BoutiqueBoutique</v>
          </cell>
          <cell r="C359">
            <v>0</v>
          </cell>
          <cell r="D359">
            <v>0</v>
          </cell>
          <cell r="E359">
            <v>0</v>
          </cell>
          <cell r="F359"/>
          <cell r="G359">
            <v>0</v>
          </cell>
          <cell r="H359"/>
          <cell r="I359"/>
          <cell r="J359">
            <v>0</v>
          </cell>
          <cell r="K359"/>
          <cell r="L359"/>
          <cell r="M359">
            <v>0</v>
          </cell>
          <cell r="N359"/>
          <cell r="O359"/>
          <cell r="P359">
            <v>0</v>
          </cell>
          <cell r="Q359"/>
          <cell r="R359"/>
          <cell r="S359">
            <v>0</v>
          </cell>
          <cell r="T359"/>
          <cell r="U359"/>
          <cell r="V359">
            <v>0</v>
          </cell>
          <cell r="W359"/>
          <cell r="X359"/>
          <cell r="Y359">
            <v>0</v>
          </cell>
          <cell r="Z359"/>
          <cell r="AA359"/>
          <cell r="AB359">
            <v>0</v>
          </cell>
          <cell r="AC359"/>
          <cell r="AD359"/>
          <cell r="AE359">
            <v>0</v>
          </cell>
          <cell r="AF359"/>
          <cell r="AG359"/>
          <cell r="AH359">
            <v>0</v>
          </cell>
          <cell r="AI359"/>
          <cell r="AJ359"/>
          <cell r="AK359">
            <v>0</v>
          </cell>
          <cell r="AL359"/>
          <cell r="AM359"/>
          <cell r="AN359">
            <v>0</v>
          </cell>
          <cell r="AO359"/>
        </row>
        <row r="360">
          <cell r="A360" t="str">
            <v>Boutique</v>
          </cell>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t="str">
            <v>BoutiqueTotal Dépt. Boutique</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row>
        <row r="362">
          <cell r="A362" t="str">
            <v>Boutique</v>
          </cell>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row>
        <row r="363">
          <cell r="A363" t="str">
            <v>BoutiqueDEPENSES</v>
          </cell>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row>
        <row r="364">
          <cell r="A364" t="str">
            <v>BoutiqueSalaires cadres</v>
          </cell>
          <cell r="C364"/>
          <cell r="D364"/>
          <cell r="E364">
            <v>0</v>
          </cell>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BoutiqueSalaires commis</v>
          </cell>
          <cell r="C365"/>
          <cell r="D365"/>
          <cell r="E365">
            <v>0</v>
          </cell>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row>
        <row r="366">
          <cell r="A366" t="str">
            <v>BoutiqueSalaires autres</v>
          </cell>
          <cell r="C366"/>
          <cell r="D366"/>
          <cell r="E366">
            <v>0</v>
          </cell>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BoutiqueSalaires spécialistes</v>
          </cell>
          <cell r="C367"/>
          <cell r="D367"/>
          <cell r="E367">
            <v>0</v>
          </cell>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en absences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BoutiqueDéduction à la source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BoutiqueBénéfices marginaux</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BoutiqueCsst</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BoutiqueTOTAL PERSONNEL</v>
          </cell>
          <cell r="C376" t="str">
            <v>% brut</v>
          </cell>
          <cell r="D376">
            <v>0</v>
          </cell>
          <cell r="E376">
            <v>0</v>
          </cell>
          <cell r="F376" t="str">
            <v>% brut</v>
          </cell>
          <cell r="G376">
            <v>0</v>
          </cell>
          <cell r="H376">
            <v>0</v>
          </cell>
          <cell r="I376" t="str">
            <v>% brut</v>
          </cell>
          <cell r="J376">
            <v>0</v>
          </cell>
          <cell r="K376">
            <v>0</v>
          </cell>
          <cell r="L376" t="str">
            <v>% brut</v>
          </cell>
          <cell r="M376">
            <v>0</v>
          </cell>
          <cell r="N376">
            <v>0</v>
          </cell>
          <cell r="O376" t="str">
            <v>% brut</v>
          </cell>
          <cell r="P376">
            <v>0</v>
          </cell>
          <cell r="Q376">
            <v>0</v>
          </cell>
          <cell r="R376" t="str">
            <v>% brut</v>
          </cell>
          <cell r="S376">
            <v>0</v>
          </cell>
          <cell r="T376">
            <v>0</v>
          </cell>
          <cell r="U376" t="str">
            <v>% brut</v>
          </cell>
          <cell r="V376">
            <v>0</v>
          </cell>
          <cell r="W376">
            <v>0</v>
          </cell>
          <cell r="X376" t="str">
            <v>% brut</v>
          </cell>
          <cell r="Y376">
            <v>0</v>
          </cell>
          <cell r="Z376">
            <v>0</v>
          </cell>
          <cell r="AA376" t="str">
            <v>% brut</v>
          </cell>
          <cell r="AB376">
            <v>0</v>
          </cell>
          <cell r="AC376">
            <v>0</v>
          </cell>
          <cell r="AD376" t="str">
            <v>% brut</v>
          </cell>
          <cell r="AE376">
            <v>0</v>
          </cell>
          <cell r="AF376">
            <v>0</v>
          </cell>
          <cell r="AG376" t="str">
            <v>% brut</v>
          </cell>
          <cell r="AH376">
            <v>0</v>
          </cell>
          <cell r="AI376">
            <v>0</v>
          </cell>
          <cell r="AJ376" t="str">
            <v>% brut</v>
          </cell>
          <cell r="AK376">
            <v>0</v>
          </cell>
          <cell r="AL376">
            <v>0</v>
          </cell>
          <cell r="AM376" t="str">
            <v>% brut</v>
          </cell>
          <cell r="AN376">
            <v>0</v>
          </cell>
          <cell r="AO376">
            <v>0</v>
          </cell>
        </row>
        <row r="377">
          <cell r="A377" t="str">
            <v>BoutiquePublicité 2</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BoutiqueService gratuit 2</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BoutiqueFrais véhicules de cie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BoutiqueInformatique</v>
          </cell>
          <cell r="C380"/>
          <cell r="D380"/>
          <cell r="E380">
            <v>0</v>
          </cell>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row>
        <row r="381">
          <cell r="A381" t="str">
            <v>BoutiqueFrais de déplacement</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BoutiqueServices extérieurs</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BoutiqueFournitures autres</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BoutiqueUniformes</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BoutiquePapeterie</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BoutiqueTéléphone</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BoutiqueFrais postaux</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BoutiqueDivers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BoutiqueFormation</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BoutiqueFrais bancaires</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BoutiqueTOTAL SEMI-FIXES</v>
          </cell>
          <cell r="C394" t="str">
            <v>% brut</v>
          </cell>
          <cell r="D394">
            <v>0</v>
          </cell>
          <cell r="E394">
            <v>0</v>
          </cell>
          <cell r="F394" t="str">
            <v>% brut</v>
          </cell>
          <cell r="G394">
            <v>0</v>
          </cell>
          <cell r="H394">
            <v>0</v>
          </cell>
          <cell r="I394" t="str">
            <v>% brut</v>
          </cell>
          <cell r="J394">
            <v>0</v>
          </cell>
          <cell r="K394">
            <v>0</v>
          </cell>
          <cell r="L394" t="str">
            <v>% brut</v>
          </cell>
          <cell r="M394">
            <v>0</v>
          </cell>
          <cell r="N394">
            <v>0</v>
          </cell>
          <cell r="O394" t="str">
            <v>% brut</v>
          </cell>
          <cell r="P394">
            <v>0</v>
          </cell>
          <cell r="Q394">
            <v>0</v>
          </cell>
          <cell r="R394" t="str">
            <v>% brut</v>
          </cell>
          <cell r="S394">
            <v>0</v>
          </cell>
          <cell r="T394">
            <v>0</v>
          </cell>
          <cell r="U394" t="str">
            <v>% brut</v>
          </cell>
          <cell r="V394">
            <v>0</v>
          </cell>
          <cell r="W394">
            <v>0</v>
          </cell>
          <cell r="X394" t="str">
            <v>% brut</v>
          </cell>
          <cell r="Y394">
            <v>0</v>
          </cell>
          <cell r="Z394">
            <v>0</v>
          </cell>
          <cell r="AA394" t="str">
            <v>% brut</v>
          </cell>
          <cell r="AB394">
            <v>0</v>
          </cell>
          <cell r="AC394">
            <v>0</v>
          </cell>
          <cell r="AD394" t="str">
            <v>% brut</v>
          </cell>
          <cell r="AE394">
            <v>0</v>
          </cell>
          <cell r="AF394">
            <v>0</v>
          </cell>
          <cell r="AG394" t="str">
            <v>% brut</v>
          </cell>
          <cell r="AH394">
            <v>0</v>
          </cell>
          <cell r="AI394">
            <v>0</v>
          </cell>
          <cell r="AJ394" t="str">
            <v>% brut</v>
          </cell>
          <cell r="AK394">
            <v>0</v>
          </cell>
          <cell r="AL394">
            <v>0</v>
          </cell>
          <cell r="AM394" t="str">
            <v>% brut</v>
          </cell>
          <cell r="AN394">
            <v>0</v>
          </cell>
          <cell r="AO394">
            <v>0</v>
          </cell>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BoutiqueTOTAL DES DÉPENSES</v>
          </cell>
          <cell r="C396" t="str">
            <v>% brut</v>
          </cell>
          <cell r="D396">
            <v>0</v>
          </cell>
          <cell r="E396">
            <v>0</v>
          </cell>
          <cell r="F396" t="str">
            <v>% brut</v>
          </cell>
          <cell r="G396">
            <v>0</v>
          </cell>
          <cell r="H396">
            <v>0</v>
          </cell>
          <cell r="I396" t="str">
            <v>% brut</v>
          </cell>
          <cell r="J396">
            <v>0</v>
          </cell>
          <cell r="K396">
            <v>0</v>
          </cell>
          <cell r="L396" t="str">
            <v>% brut</v>
          </cell>
          <cell r="M396">
            <v>0</v>
          </cell>
          <cell r="N396">
            <v>0</v>
          </cell>
          <cell r="O396" t="str">
            <v>% brut</v>
          </cell>
          <cell r="P396">
            <v>0</v>
          </cell>
          <cell r="Q396">
            <v>0</v>
          </cell>
          <cell r="R396" t="str">
            <v>% brut</v>
          </cell>
          <cell r="S396">
            <v>0</v>
          </cell>
          <cell r="T396">
            <v>0</v>
          </cell>
          <cell r="U396" t="str">
            <v>% brut</v>
          </cell>
          <cell r="V396">
            <v>0</v>
          </cell>
          <cell r="W396">
            <v>0</v>
          </cell>
          <cell r="X396" t="str">
            <v>% brut</v>
          </cell>
          <cell r="Y396">
            <v>0</v>
          </cell>
          <cell r="Z396">
            <v>0</v>
          </cell>
          <cell r="AA396" t="str">
            <v>% brut</v>
          </cell>
          <cell r="AB396">
            <v>0</v>
          </cell>
          <cell r="AC396">
            <v>0</v>
          </cell>
          <cell r="AD396" t="str">
            <v>% brut</v>
          </cell>
          <cell r="AE396">
            <v>0</v>
          </cell>
          <cell r="AF396">
            <v>0</v>
          </cell>
          <cell r="AG396" t="str">
            <v>% brut</v>
          </cell>
          <cell r="AH396">
            <v>0</v>
          </cell>
          <cell r="AI396">
            <v>0</v>
          </cell>
          <cell r="AJ396" t="str">
            <v>% brut</v>
          </cell>
          <cell r="AK396">
            <v>0</v>
          </cell>
          <cell r="AL396">
            <v>0</v>
          </cell>
          <cell r="AM396" t="str">
            <v>% brut</v>
          </cell>
          <cell r="AN396">
            <v>0</v>
          </cell>
          <cell r="AO396">
            <v>0</v>
          </cell>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BoutiquePROFIT DÉPARTEMENTAL</v>
          </cell>
          <cell r="C398"/>
          <cell r="D398"/>
          <cell r="E398">
            <v>0</v>
          </cell>
          <cell r="F398"/>
          <cell r="G398"/>
          <cell r="H398">
            <v>0</v>
          </cell>
          <cell r="I398"/>
          <cell r="J398"/>
          <cell r="K398">
            <v>0</v>
          </cell>
          <cell r="L398"/>
          <cell r="M398"/>
          <cell r="N398">
            <v>0</v>
          </cell>
          <cell r="O398"/>
          <cell r="P398"/>
          <cell r="Q398">
            <v>0</v>
          </cell>
          <cell r="R398"/>
          <cell r="S398"/>
          <cell r="T398">
            <v>0</v>
          </cell>
          <cell r="U398"/>
          <cell r="V398"/>
          <cell r="W398">
            <v>0</v>
          </cell>
          <cell r="X398"/>
          <cell r="Y398"/>
          <cell r="Z398">
            <v>0</v>
          </cell>
          <cell r="AA398"/>
          <cell r="AB398"/>
          <cell r="AC398">
            <v>0</v>
          </cell>
          <cell r="AD398"/>
          <cell r="AE398"/>
          <cell r="AF398">
            <v>0</v>
          </cell>
          <cell r="AG398"/>
          <cell r="AH398"/>
          <cell r="AI398">
            <v>0</v>
          </cell>
          <cell r="AJ398"/>
          <cell r="AK398"/>
          <cell r="AL398">
            <v>0</v>
          </cell>
          <cell r="AM398"/>
          <cell r="AN398"/>
          <cell r="AO398">
            <v>0</v>
          </cell>
        </row>
        <row r="399">
          <cell r="A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row>
        <row r="401">
          <cell r="A401"/>
          <cell r="C401" t="str">
            <v>TOTAL  DES  REVENUS  ET  DÉPENSES</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row>
        <row r="403">
          <cell r="A403"/>
          <cell r="C403" t="str">
            <v>TOTAL</v>
          </cell>
          <cell r="D403"/>
          <cell r="E403"/>
          <cell r="F403" t="str">
            <v>Janvier</v>
          </cell>
          <cell r="G403"/>
          <cell r="H403"/>
          <cell r="I403" t="str">
            <v>Février</v>
          </cell>
          <cell r="J403"/>
          <cell r="K403"/>
          <cell r="L403" t="str">
            <v>Mars</v>
          </cell>
          <cell r="M403"/>
          <cell r="N403"/>
          <cell r="O403" t="str">
            <v>Avril</v>
          </cell>
          <cell r="P403"/>
          <cell r="Q403"/>
          <cell r="R403" t="str">
            <v>Mai</v>
          </cell>
          <cell r="S403"/>
          <cell r="T403"/>
          <cell r="U403" t="str">
            <v>Juin</v>
          </cell>
          <cell r="V403"/>
          <cell r="W403"/>
          <cell r="X403" t="str">
            <v>Juillet</v>
          </cell>
          <cell r="Y403"/>
          <cell r="Z403"/>
          <cell r="AA403" t="str">
            <v>Août</v>
          </cell>
          <cell r="AB403"/>
          <cell r="AC403"/>
          <cell r="AD403" t="str">
            <v>Septembre</v>
          </cell>
          <cell r="AE403"/>
          <cell r="AF403"/>
          <cell r="AG403" t="str">
            <v>Octobre</v>
          </cell>
          <cell r="AH403"/>
          <cell r="AI403"/>
          <cell r="AJ403" t="str">
            <v>Novembre</v>
          </cell>
          <cell r="AK403"/>
          <cell r="AL403"/>
          <cell r="AM403" t="str">
            <v>Décembre</v>
          </cell>
          <cell r="AN403"/>
          <cell r="AO403"/>
        </row>
        <row r="404">
          <cell r="A404"/>
          <cell r="C404" t="str">
            <v>%P.Brut</v>
          </cell>
          <cell r="D404" t="str">
            <v>$/Unite</v>
          </cell>
          <cell r="E404" t="str">
            <v>$TOTAL</v>
          </cell>
          <cell r="F404" t="str">
            <v>%P.Brut</v>
          </cell>
          <cell r="G404" t="str">
            <v>$/Unite</v>
          </cell>
          <cell r="H404" t="str">
            <v>$TOTAL</v>
          </cell>
          <cell r="I404" t="str">
            <v>%P.Brut</v>
          </cell>
          <cell r="J404" t="str">
            <v>$/Unite</v>
          </cell>
          <cell r="K404" t="str">
            <v>$TOTAL</v>
          </cell>
          <cell r="L404" t="str">
            <v>%P.Brut</v>
          </cell>
          <cell r="M404" t="str">
            <v>$/Unite</v>
          </cell>
          <cell r="N404" t="str">
            <v>$TOTAL</v>
          </cell>
          <cell r="O404" t="str">
            <v>%P.Brut</v>
          </cell>
          <cell r="P404" t="str">
            <v>$/Unite</v>
          </cell>
          <cell r="Q404" t="str">
            <v>$TOTAL</v>
          </cell>
          <cell r="R404" t="str">
            <v>%P.Brut</v>
          </cell>
          <cell r="S404" t="str">
            <v>$/Unite</v>
          </cell>
          <cell r="T404" t="str">
            <v>$TOTAL</v>
          </cell>
          <cell r="U404" t="str">
            <v>%P.Brut</v>
          </cell>
          <cell r="V404" t="str">
            <v>$/Unite</v>
          </cell>
          <cell r="W404" t="str">
            <v>$TOTAL</v>
          </cell>
          <cell r="X404" t="str">
            <v>%P.Brut</v>
          </cell>
          <cell r="Y404" t="str">
            <v>$/Unite</v>
          </cell>
          <cell r="Z404" t="str">
            <v>$TOTAL</v>
          </cell>
          <cell r="AA404" t="str">
            <v>%P.Brut</v>
          </cell>
          <cell r="AB404" t="str">
            <v>$/Unite</v>
          </cell>
          <cell r="AC404" t="str">
            <v>$TOTAL</v>
          </cell>
          <cell r="AD404" t="str">
            <v>%P.Brut</v>
          </cell>
          <cell r="AE404" t="str">
            <v>$/Unite</v>
          </cell>
          <cell r="AF404" t="str">
            <v>$TOTAL</v>
          </cell>
          <cell r="AG404" t="str">
            <v>%P.Brut</v>
          </cell>
          <cell r="AH404" t="str">
            <v>$/Unite</v>
          </cell>
          <cell r="AI404" t="str">
            <v>$TOTAL</v>
          </cell>
          <cell r="AJ404" t="str">
            <v>%P.Brut</v>
          </cell>
          <cell r="AK404" t="str">
            <v>$/Unite</v>
          </cell>
          <cell r="AL404" t="str">
            <v>$TOTAL</v>
          </cell>
          <cell r="AM404" t="str">
            <v>%P.Brut</v>
          </cell>
          <cell r="AN404" t="str">
            <v>$/Unite</v>
          </cell>
          <cell r="AO404" t="str">
            <v>$TOTAL</v>
          </cell>
        </row>
        <row r="405">
          <cell r="A405" t="str">
            <v>Ventes nettes</v>
          </cell>
          <cell r="C405"/>
          <cell r="D405"/>
          <cell r="E405">
            <v>77874535.485824451</v>
          </cell>
          <cell r="F405"/>
          <cell r="G405"/>
          <cell r="H405">
            <v>4118030.4623053707</v>
          </cell>
          <cell r="I405"/>
          <cell r="J405"/>
          <cell r="K405">
            <v>4758676.2204655204</v>
          </cell>
          <cell r="L405"/>
          <cell r="M405"/>
          <cell r="N405">
            <v>7463688.5832286272</v>
          </cell>
          <cell r="O405"/>
          <cell r="P405"/>
          <cell r="Q405">
            <v>7165938.0732079912</v>
          </cell>
          <cell r="R405"/>
          <cell r="S405"/>
          <cell r="T405">
            <v>7528203.2188505242</v>
          </cell>
          <cell r="U405"/>
          <cell r="V405"/>
          <cell r="W405">
            <v>7464632.8842583997</v>
          </cell>
          <cell r="X405"/>
          <cell r="Y405"/>
          <cell r="Z405">
            <v>6209532.0266412608</v>
          </cell>
          <cell r="AA405"/>
          <cell r="AB405"/>
          <cell r="AC405">
            <v>6569373.2991474103</v>
          </cell>
          <cell r="AD405"/>
          <cell r="AE405"/>
          <cell r="AF405">
            <v>6759886.8668076545</v>
          </cell>
          <cell r="AG405"/>
          <cell r="AH405"/>
          <cell r="AI405">
            <v>7410224.9084528573</v>
          </cell>
          <cell r="AJ405"/>
          <cell r="AK405"/>
          <cell r="AL405">
            <v>6784712.0672920616</v>
          </cell>
          <cell r="AM405"/>
          <cell r="AN405"/>
          <cell r="AO405">
            <v>5641636.8751667682</v>
          </cell>
        </row>
        <row r="406">
          <cell r="A406" t="str">
            <v>Profit brut</v>
          </cell>
          <cell r="C406"/>
          <cell r="D406"/>
          <cell r="E406">
            <v>5875144.3224358996</v>
          </cell>
          <cell r="F406"/>
          <cell r="G406"/>
          <cell r="H406">
            <v>358623.28567251179</v>
          </cell>
          <cell r="I406"/>
          <cell r="J406"/>
          <cell r="K406">
            <v>335642.68085635907</v>
          </cell>
          <cell r="L406"/>
          <cell r="M406"/>
          <cell r="N406">
            <v>501916.83127270127</v>
          </cell>
          <cell r="O406"/>
          <cell r="P406"/>
          <cell r="Q406">
            <v>560005.08109625231</v>
          </cell>
          <cell r="R406"/>
          <cell r="S406"/>
          <cell r="T406">
            <v>581555.80711561907</v>
          </cell>
          <cell r="U406"/>
          <cell r="V406"/>
          <cell r="W406">
            <v>538581.0629763935</v>
          </cell>
          <cell r="X406"/>
          <cell r="Y406"/>
          <cell r="Z406">
            <v>450646.52828829666</v>
          </cell>
          <cell r="AA406"/>
          <cell r="AB406"/>
          <cell r="AC406">
            <v>461242.43269012892</v>
          </cell>
          <cell r="AD406"/>
          <cell r="AE406"/>
          <cell r="AF406">
            <v>462037.21812720335</v>
          </cell>
          <cell r="AG406"/>
          <cell r="AH406"/>
          <cell r="AI406">
            <v>606753.02004309976</v>
          </cell>
          <cell r="AJ406"/>
          <cell r="AK406"/>
          <cell r="AL406">
            <v>605524.68901188811</v>
          </cell>
          <cell r="AM406"/>
          <cell r="AN406"/>
          <cell r="AO406">
            <v>412615.68528544664</v>
          </cell>
        </row>
        <row r="407">
          <cell r="A407" t="str">
            <v>DÉPENSES</v>
          </cell>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row>
        <row r="408">
          <cell r="A408" t="str">
            <v>Comm. vendeurs</v>
          </cell>
          <cell r="C408">
            <v>0.32863809373485176</v>
          </cell>
          <cell r="D408">
            <v>1112.7005816806575</v>
          </cell>
          <cell r="E408">
            <v>508515.41977211169</v>
          </cell>
          <cell r="F408"/>
          <cell r="G408">
            <v>1258.8311268446942</v>
          </cell>
          <cell r="H408">
            <v>30175.900229668106</v>
          </cell>
          <cell r="I408"/>
          <cell r="J408">
            <v>1364.1855983566625</v>
          </cell>
          <cell r="K408">
            <v>25157.507965640645</v>
          </cell>
          <cell r="L408"/>
          <cell r="M408">
            <v>1138.7141170851908</v>
          </cell>
          <cell r="N408">
            <v>42882.653630286921</v>
          </cell>
          <cell r="O408"/>
          <cell r="P408">
            <v>1059.3481532360072</v>
          </cell>
          <cell r="Q408">
            <v>45586.954228396055</v>
          </cell>
          <cell r="R408"/>
          <cell r="S408">
            <v>1065.6510089146345</v>
          </cell>
          <cell r="T408">
            <v>49228.118449327994</v>
          </cell>
          <cell r="U408"/>
          <cell r="V408">
            <v>1062.8058875823203</v>
          </cell>
          <cell r="W408">
            <v>49250.210131303276</v>
          </cell>
          <cell r="X408"/>
          <cell r="Y408">
            <v>1097.6646425792649</v>
          </cell>
          <cell r="Z408">
            <v>41080.668321237623</v>
          </cell>
          <cell r="AA408"/>
          <cell r="AB408">
            <v>1089.716390396221</v>
          </cell>
          <cell r="AC408">
            <v>44158.268640031107</v>
          </cell>
          <cell r="AD408"/>
          <cell r="AE408">
            <v>1084.7194879727761</v>
          </cell>
          <cell r="AF408">
            <v>45998.143161435743</v>
          </cell>
          <cell r="AG408"/>
          <cell r="AH408">
            <v>1073.2328835786682</v>
          </cell>
          <cell r="AI408">
            <v>48421.464275526661</v>
          </cell>
          <cell r="AJ408"/>
          <cell r="AK408">
            <v>1110.9810472959823</v>
          </cell>
          <cell r="AL408">
            <v>44526.806120766407</v>
          </cell>
          <cell r="AM408"/>
          <cell r="AN408">
            <v>1173.8790084988598</v>
          </cell>
          <cell r="AO408">
            <v>42048.724618491193</v>
          </cell>
        </row>
        <row r="409">
          <cell r="A409" t="str">
            <v>Comm. F&amp;I</v>
          </cell>
          <cell r="C409">
            <v>0.25</v>
          </cell>
          <cell r="D409">
            <v>351.36107480907901</v>
          </cell>
          <cell r="E409">
            <v>160575.56488219555</v>
          </cell>
          <cell r="F409"/>
          <cell r="G409">
            <v>348.44005448070283</v>
          </cell>
          <cell r="H409">
            <v>8352.5836752899213</v>
          </cell>
          <cell r="I409"/>
          <cell r="J409">
            <v>403.02313843944654</v>
          </cell>
          <cell r="K409">
            <v>7432.3155352480417</v>
          </cell>
          <cell r="L409"/>
          <cell r="M409">
            <v>367.19272263597099</v>
          </cell>
          <cell r="N409">
            <v>13828.052277657269</v>
          </cell>
          <cell r="O409"/>
          <cell r="P409">
            <v>349.78237731499081</v>
          </cell>
          <cell r="Q409">
            <v>15052.193347247585</v>
          </cell>
          <cell r="R409"/>
          <cell r="S409">
            <v>346.94628161718384</v>
          </cell>
          <cell r="T409">
            <v>16027.303971119134</v>
          </cell>
          <cell r="U409"/>
          <cell r="V409">
            <v>347.13589684885221</v>
          </cell>
          <cell r="W409">
            <v>16086.207334450966</v>
          </cell>
          <cell r="X409"/>
          <cell r="Y409">
            <v>348.2178831411133</v>
          </cell>
          <cell r="Z409">
            <v>13032.234806461445</v>
          </cell>
          <cell r="AA409"/>
          <cell r="AB409">
            <v>347.41258382153444</v>
          </cell>
          <cell r="AC409">
            <v>14078.101734104048</v>
          </cell>
          <cell r="AD409"/>
          <cell r="AE409">
            <v>346.98123158839587</v>
          </cell>
          <cell r="AF409">
            <v>14713.935300233949</v>
          </cell>
          <cell r="AG409"/>
          <cell r="AH409">
            <v>347.18067030069318</v>
          </cell>
          <cell r="AI409">
            <v>15663.884960422165</v>
          </cell>
          <cell r="AJ409"/>
          <cell r="AK409">
            <v>347.37654142115576</v>
          </cell>
          <cell r="AL409">
            <v>13922.440844880937</v>
          </cell>
          <cell r="AM409"/>
          <cell r="AN409">
            <v>345.79004997590238</v>
          </cell>
          <cell r="AO409">
            <v>12386.311095080075</v>
          </cell>
        </row>
        <row r="410">
          <cell r="A410" t="str">
            <v>Frais de livraison</v>
          </cell>
          <cell r="C410"/>
          <cell r="D410">
            <v>188.18030196859317</v>
          </cell>
          <cell r="E410">
            <v>86000.301270504278</v>
          </cell>
          <cell r="F410"/>
          <cell r="G410">
            <v>186.58559164033801</v>
          </cell>
          <cell r="H410">
            <v>4472.7112934879578</v>
          </cell>
          <cell r="I410"/>
          <cell r="J410">
            <v>216.11695077343666</v>
          </cell>
          <cell r="K410">
            <v>3985.5016187989554</v>
          </cell>
          <cell r="L410"/>
          <cell r="M410">
            <v>196.69647448376236</v>
          </cell>
          <cell r="N410">
            <v>7407.3612147505428</v>
          </cell>
          <cell r="O410"/>
          <cell r="P410">
            <v>187.38716805870155</v>
          </cell>
          <cell r="Q410">
            <v>8063.8364518653789</v>
          </cell>
          <cell r="R410"/>
          <cell r="S410">
            <v>185.81731612335474</v>
          </cell>
          <cell r="T410">
            <v>8583.8954512635391</v>
          </cell>
          <cell r="U410"/>
          <cell r="V410">
            <v>185.91601501058756</v>
          </cell>
          <cell r="W410">
            <v>8615.3105783738483</v>
          </cell>
          <cell r="X410"/>
          <cell r="Y410">
            <v>186.5819238122499</v>
          </cell>
          <cell r="Z410">
            <v>6982.9252301127708</v>
          </cell>
          <cell r="AA410"/>
          <cell r="AB410">
            <v>186.08626289685509</v>
          </cell>
          <cell r="AC410">
            <v>7540.7209248554918</v>
          </cell>
          <cell r="AD410"/>
          <cell r="AE410">
            <v>185.82070750212358</v>
          </cell>
          <cell r="AF410">
            <v>7879.8321601247717</v>
          </cell>
          <cell r="AG410"/>
          <cell r="AH410">
            <v>185.88115084134085</v>
          </cell>
          <cell r="AI410">
            <v>8386.471978891821</v>
          </cell>
          <cell r="AJ410"/>
          <cell r="AK410">
            <v>185.98607284132962</v>
          </cell>
          <cell r="AL410">
            <v>7454.1017839364995</v>
          </cell>
          <cell r="AM410"/>
          <cell r="AN410">
            <v>185.024369634019</v>
          </cell>
          <cell r="AO410">
            <v>6627.6325840427062</v>
          </cell>
        </row>
        <row r="411">
          <cell r="A411" t="str">
            <v>Service gratuit 1</v>
          </cell>
          <cell r="C411"/>
          <cell r="D411">
            <v>84.024681145473153</v>
          </cell>
          <cell r="E411">
            <v>38400.129115930409</v>
          </cell>
          <cell r="F411"/>
          <cell r="G411">
            <v>83.183378919987035</v>
          </cell>
          <cell r="H411">
            <v>1994.0191257805534</v>
          </cell>
          <cell r="I411"/>
          <cell r="J411">
            <v>97.641308641752275</v>
          </cell>
          <cell r="K411">
            <v>1800.643550913838</v>
          </cell>
          <cell r="L411"/>
          <cell r="M411">
            <v>87.985727969803293</v>
          </cell>
          <cell r="N411">
            <v>3313.4405206073757</v>
          </cell>
          <cell r="O411"/>
          <cell r="P411">
            <v>83.894072699614028</v>
          </cell>
          <cell r="Q411">
            <v>3610.2156222280196</v>
          </cell>
          <cell r="R411"/>
          <cell r="S411">
            <v>82.975846599394984</v>
          </cell>
          <cell r="T411">
            <v>3833.0980505415164</v>
          </cell>
          <cell r="U411"/>
          <cell r="V411">
            <v>83.007735109679174</v>
          </cell>
          <cell r="W411">
            <v>3846.5616764459351</v>
          </cell>
          <cell r="X411"/>
          <cell r="Y411">
            <v>83.673907935204781</v>
          </cell>
          <cell r="Z411">
            <v>3131.5393843340448</v>
          </cell>
          <cell r="AA411"/>
          <cell r="AB411">
            <v>83.177904921666695</v>
          </cell>
          <cell r="AC411">
            <v>3370.5946820809249</v>
          </cell>
          <cell r="AD411"/>
          <cell r="AE411">
            <v>82.911948879392014</v>
          </cell>
          <cell r="AF411">
            <v>3515.9280686249022</v>
          </cell>
          <cell r="AG411"/>
          <cell r="AH411">
            <v>82.741036136165462</v>
          </cell>
          <cell r="AI411">
            <v>3733.0594195250665</v>
          </cell>
          <cell r="AJ411"/>
          <cell r="AK411">
            <v>82.78796300362643</v>
          </cell>
          <cell r="AL411">
            <v>3318.0436216870712</v>
          </cell>
          <cell r="AM411"/>
          <cell r="AN411">
            <v>81.880485472598451</v>
          </cell>
          <cell r="AO411">
            <v>2932.9853931611597</v>
          </cell>
        </row>
        <row r="412">
          <cell r="A412" t="str">
            <v>Entretien stock</v>
          </cell>
          <cell r="C412"/>
          <cell r="D412">
            <v>260.23150631038322</v>
          </cell>
          <cell r="E412">
            <v>118928.43038643469</v>
          </cell>
          <cell r="F412"/>
          <cell r="G412">
            <v>263.36132539939484</v>
          </cell>
          <cell r="H412">
            <v>6313.1304192685111</v>
          </cell>
          <cell r="I412"/>
          <cell r="J412">
            <v>300.50981581554043</v>
          </cell>
          <cell r="K412">
            <v>5541.8251697127944</v>
          </cell>
          <cell r="L412"/>
          <cell r="M412">
            <v>270.96749458444293</v>
          </cell>
          <cell r="N412">
            <v>10204.321735357917</v>
          </cell>
          <cell r="O412"/>
          <cell r="P412">
            <v>257.17114699284457</v>
          </cell>
          <cell r="Q412">
            <v>11066.8520740934</v>
          </cell>
          <cell r="R412"/>
          <cell r="S412">
            <v>255.64898185630025</v>
          </cell>
          <cell r="T412">
            <v>11809.793501805056</v>
          </cell>
          <cell r="U412"/>
          <cell r="V412">
            <v>255.82054237314259</v>
          </cell>
          <cell r="W412">
            <v>11854.672254819783</v>
          </cell>
          <cell r="X412"/>
          <cell r="Y412">
            <v>256.45562211682761</v>
          </cell>
          <cell r="Z412">
            <v>9597.9846144468156</v>
          </cell>
          <cell r="AA412"/>
          <cell r="AB412">
            <v>256.51872424373391</v>
          </cell>
          <cell r="AC412">
            <v>10394.835606936416</v>
          </cell>
          <cell r="AD412"/>
          <cell r="AE412">
            <v>256.55312297770041</v>
          </cell>
          <cell r="AF412">
            <v>10879.280228749674</v>
          </cell>
          <cell r="AG412"/>
          <cell r="AH412">
            <v>257.17471573713601</v>
          </cell>
          <cell r="AI412">
            <v>11603.051398416887</v>
          </cell>
          <cell r="AJ412"/>
          <cell r="AK412">
            <v>258.15096781232359</v>
          </cell>
          <cell r="AL412">
            <v>10346.38540562357</v>
          </cell>
          <cell r="AM412"/>
          <cell r="AN412">
            <v>260.08414598978686</v>
          </cell>
          <cell r="AO412">
            <v>9316.2979772038652</v>
          </cell>
        </row>
        <row r="413">
          <cell r="A413" t="str">
            <v>Publicité 1</v>
          </cell>
          <cell r="C413"/>
          <cell r="D413">
            <v>425.18049124018199</v>
          </cell>
          <cell r="E413">
            <v>194311.78480678267</v>
          </cell>
          <cell r="F413"/>
          <cell r="G413">
            <v>428.2450449693979</v>
          </cell>
          <cell r="H413">
            <v>10265.618219369462</v>
          </cell>
          <cell r="I413"/>
          <cell r="J413">
            <v>429.35596749936775</v>
          </cell>
          <cell r="K413">
            <v>7917.9300715918134</v>
          </cell>
          <cell r="L413"/>
          <cell r="M413">
            <v>436.24646434017433</v>
          </cell>
          <cell r="N413">
            <v>16428.53614182202</v>
          </cell>
          <cell r="O413"/>
          <cell r="P413">
            <v>411.85644226462932</v>
          </cell>
          <cell r="Q413">
            <v>17723.428057937854</v>
          </cell>
          <cell r="R413"/>
          <cell r="S413">
            <v>419.51823007223345</v>
          </cell>
          <cell r="T413">
            <v>19379.790333687666</v>
          </cell>
          <cell r="U413"/>
          <cell r="V413">
            <v>420.36967812843051</v>
          </cell>
          <cell r="W413">
            <v>19479.845964863398</v>
          </cell>
          <cell r="X413"/>
          <cell r="Y413">
            <v>402.84621517083878</v>
          </cell>
          <cell r="Z413">
            <v>15076.728454159072</v>
          </cell>
          <cell r="AA413"/>
          <cell r="AB413">
            <v>415.89709650618312</v>
          </cell>
          <cell r="AC413">
            <v>16853.280244276542</v>
          </cell>
          <cell r="AD413"/>
          <cell r="AE413">
            <v>422.90045310335512</v>
          </cell>
          <cell r="AF413">
            <v>17933.332811452528</v>
          </cell>
          <cell r="AG413"/>
          <cell r="AH413">
            <v>433.24661697747246</v>
          </cell>
          <cell r="AI413">
            <v>19546.955658417206</v>
          </cell>
          <cell r="AJ413"/>
          <cell r="AK413">
            <v>433.47965805545232</v>
          </cell>
          <cell r="AL413">
            <v>17373.351902365117</v>
          </cell>
          <cell r="AM413"/>
          <cell r="AN413">
            <v>455.96984681314109</v>
          </cell>
          <cell r="AO413">
            <v>16332.986946840021</v>
          </cell>
        </row>
        <row r="414">
          <cell r="A414" t="str">
            <v>Intérêt de gros</v>
          </cell>
          <cell r="C414"/>
          <cell r="D414">
            <v>800.4222054962695</v>
          </cell>
          <cell r="E414">
            <v>365801.04344698793</v>
          </cell>
          <cell r="F414"/>
          <cell r="G414">
            <v>970.56112426508309</v>
          </cell>
          <cell r="H414">
            <v>23265.674821711771</v>
          </cell>
          <cell r="I414"/>
          <cell r="J414">
            <v>1374.8043683681362</v>
          </cell>
          <cell r="K414">
            <v>25353.333072921327</v>
          </cell>
          <cell r="L414"/>
          <cell r="M414">
            <v>857.10467998378169</v>
          </cell>
          <cell r="N414">
            <v>32277.568676082963</v>
          </cell>
          <cell r="O414"/>
          <cell r="P414">
            <v>825.78964124908737</v>
          </cell>
          <cell r="Q414">
            <v>35536.22523710478</v>
          </cell>
          <cell r="R414"/>
          <cell r="S414">
            <v>775.30849199921636</v>
          </cell>
          <cell r="T414">
            <v>35815.645046665282</v>
          </cell>
          <cell r="U414"/>
          <cell r="V414">
            <v>730.83395941214508</v>
          </cell>
          <cell r="W414">
            <v>33866.698042122574</v>
          </cell>
          <cell r="X414"/>
          <cell r="Y414">
            <v>796.09469748368542</v>
          </cell>
          <cell r="Z414">
            <v>29794.256780263964</v>
          </cell>
          <cell r="AA414"/>
          <cell r="AB414">
            <v>746.64325911852677</v>
          </cell>
          <cell r="AC414">
            <v>30256.013312267602</v>
          </cell>
          <cell r="AD414"/>
          <cell r="AE414">
            <v>723.80346411027347</v>
          </cell>
          <cell r="AF414">
            <v>30693.295116426514</v>
          </cell>
          <cell r="AG414"/>
          <cell r="AH414">
            <v>730.13587467605521</v>
          </cell>
          <cell r="AI414">
            <v>32941.823450302007</v>
          </cell>
          <cell r="AJ414"/>
          <cell r="AK414">
            <v>744.95989386089036</v>
          </cell>
          <cell r="AL414">
            <v>29857.111282343423</v>
          </cell>
          <cell r="AM414"/>
          <cell r="AN414">
            <v>729.84822051331071</v>
          </cell>
          <cell r="AO414">
            <v>26143.398608775653</v>
          </cell>
        </row>
        <row r="415">
          <cell r="A415" t="str">
            <v>[...]</v>
          </cell>
          <cell r="C415"/>
          <cell r="D415"/>
          <cell r="E415">
            <v>0</v>
          </cell>
          <cell r="F415"/>
          <cell r="G415"/>
          <cell r="H415">
            <v>0</v>
          </cell>
          <cell r="I415"/>
          <cell r="J415"/>
          <cell r="K415">
            <v>0</v>
          </cell>
          <cell r="L415"/>
          <cell r="M415"/>
          <cell r="N415">
            <v>0</v>
          </cell>
          <cell r="O415"/>
          <cell r="P415"/>
          <cell r="Q415">
            <v>0</v>
          </cell>
          <cell r="R415"/>
          <cell r="S415"/>
          <cell r="T415">
            <v>0</v>
          </cell>
          <cell r="U415"/>
          <cell r="V415"/>
          <cell r="W415">
            <v>0</v>
          </cell>
          <cell r="X415"/>
          <cell r="Y415"/>
          <cell r="Z415">
            <v>0</v>
          </cell>
          <cell r="AA415"/>
          <cell r="AB415"/>
          <cell r="AC415">
            <v>0</v>
          </cell>
          <cell r="AD415"/>
          <cell r="AE415"/>
          <cell r="AF415">
            <v>0</v>
          </cell>
          <cell r="AG415"/>
          <cell r="AH415"/>
          <cell r="AI415">
            <v>0</v>
          </cell>
          <cell r="AJ415"/>
          <cell r="AK415"/>
          <cell r="AL415">
            <v>0</v>
          </cell>
          <cell r="AM415"/>
          <cell r="AN415"/>
          <cell r="AO415">
            <v>0</v>
          </cell>
        </row>
        <row r="416">
          <cell r="A416" t="str">
            <v>[...]</v>
          </cell>
          <cell r="C416"/>
          <cell r="D416"/>
          <cell r="E416">
            <v>0</v>
          </cell>
          <cell r="F416"/>
          <cell r="G416"/>
          <cell r="H416">
            <v>0</v>
          </cell>
          <cell r="I416"/>
          <cell r="J416"/>
          <cell r="K416">
            <v>0</v>
          </cell>
          <cell r="L416"/>
          <cell r="M416"/>
          <cell r="N416">
            <v>0</v>
          </cell>
          <cell r="O416"/>
          <cell r="P416"/>
          <cell r="Q416">
            <v>0</v>
          </cell>
          <cell r="R416"/>
          <cell r="S416"/>
          <cell r="T416">
            <v>0</v>
          </cell>
          <cell r="U416"/>
          <cell r="V416"/>
          <cell r="W416">
            <v>0</v>
          </cell>
          <cell r="X416"/>
          <cell r="Y416"/>
          <cell r="Z416">
            <v>0</v>
          </cell>
          <cell r="AA416"/>
          <cell r="AB416"/>
          <cell r="AC416">
            <v>0</v>
          </cell>
          <cell r="AD416"/>
          <cell r="AE416"/>
          <cell r="AF416">
            <v>0</v>
          </cell>
          <cell r="AG416"/>
          <cell r="AH416"/>
          <cell r="AI416">
            <v>0</v>
          </cell>
          <cell r="AJ416"/>
          <cell r="AK416"/>
          <cell r="AL416">
            <v>0</v>
          </cell>
          <cell r="AM416"/>
          <cell r="AN416"/>
          <cell r="AO416">
            <v>0</v>
          </cell>
        </row>
        <row r="417">
          <cell r="A417" t="str">
            <v>[...]</v>
          </cell>
          <cell r="C417"/>
          <cell r="D417"/>
          <cell r="E417">
            <v>0</v>
          </cell>
          <cell r="F417"/>
          <cell r="G417"/>
          <cell r="H417">
            <v>0</v>
          </cell>
          <cell r="I417"/>
          <cell r="J417"/>
          <cell r="K417">
            <v>0</v>
          </cell>
          <cell r="L417"/>
          <cell r="M417"/>
          <cell r="N417">
            <v>0</v>
          </cell>
          <cell r="O417"/>
          <cell r="P417"/>
          <cell r="Q417">
            <v>0</v>
          </cell>
          <cell r="R417"/>
          <cell r="S417"/>
          <cell r="T417">
            <v>0</v>
          </cell>
          <cell r="U417"/>
          <cell r="V417"/>
          <cell r="W417">
            <v>0</v>
          </cell>
          <cell r="X417"/>
          <cell r="Y417"/>
          <cell r="Z417">
            <v>0</v>
          </cell>
          <cell r="AA417"/>
          <cell r="AB417"/>
          <cell r="AC417">
            <v>0</v>
          </cell>
          <cell r="AD417"/>
          <cell r="AE417"/>
          <cell r="AF417">
            <v>0</v>
          </cell>
          <cell r="AG417"/>
          <cell r="AH417"/>
          <cell r="AI417">
            <v>0</v>
          </cell>
          <cell r="AJ417"/>
          <cell r="AK417"/>
          <cell r="AL417">
            <v>0</v>
          </cell>
          <cell r="AM417"/>
          <cell r="AN417"/>
          <cell r="AO417">
            <v>0</v>
          </cell>
        </row>
        <row r="418">
          <cell r="A418" t="str">
            <v>TOTAL VARIABLES</v>
          </cell>
          <cell r="C418">
            <v>0.25063770230420807</v>
          </cell>
          <cell r="D418"/>
          <cell r="E418">
            <v>1472532.6736809472</v>
          </cell>
          <cell r="F418">
            <v>0.23657035439146101</v>
          </cell>
          <cell r="G418"/>
          <cell r="H418">
            <v>84839.637784576276</v>
          </cell>
          <cell r="I418">
            <v>0.22997390197184453</v>
          </cell>
          <cell r="J418"/>
          <cell r="K418">
            <v>77189.056984827417</v>
          </cell>
          <cell r="L418">
            <v>0.25171886321525039</v>
          </cell>
          <cell r="M418"/>
          <cell r="N418">
            <v>126341.93419656501</v>
          </cell>
          <cell r="O418">
            <v>0.24399725936663028</v>
          </cell>
          <cell r="P418"/>
          <cell r="Q418">
            <v>136639.70501887309</v>
          </cell>
          <cell r="R418">
            <v>0.24877688956796343</v>
          </cell>
          <cell r="S418"/>
          <cell r="T418">
            <v>144677.6448044102</v>
          </cell>
          <cell r="U418">
            <v>0.26551157441762407</v>
          </cell>
          <cell r="V418"/>
          <cell r="W418">
            <v>142999.50598237978</v>
          </cell>
          <cell r="X418">
            <v>0.26339121715164071</v>
          </cell>
          <cell r="Y418"/>
          <cell r="Z418">
            <v>118696.33759101575</v>
          </cell>
          <cell r="AA418">
            <v>0.27458838599448443</v>
          </cell>
          <cell r="AB418"/>
          <cell r="AC418">
            <v>126651.81514455212</v>
          </cell>
          <cell r="AD418">
            <v>0.28485529235182422</v>
          </cell>
          <cell r="AE418"/>
          <cell r="AF418">
            <v>131613.74684704808</v>
          </cell>
          <cell r="AG418">
            <v>0.23122540227576621</v>
          </cell>
          <cell r="AH418"/>
          <cell r="AI418">
            <v>140296.71114150179</v>
          </cell>
          <cell r="AJ418">
            <v>0.20940226428837425</v>
          </cell>
          <cell r="AK418"/>
          <cell r="AL418">
            <v>126798.24096160302</v>
          </cell>
          <cell r="AM418">
            <v>0.28062029959789958</v>
          </cell>
          <cell r="AN418"/>
          <cell r="AO418">
            <v>115788.33722359467</v>
          </cell>
        </row>
        <row r="419">
          <cell r="A419" t="str">
            <v>Salaires propriétaire</v>
          </cell>
          <cell r="C419"/>
          <cell r="D419"/>
          <cell r="E419">
            <v>142000</v>
          </cell>
          <cell r="F419"/>
          <cell r="G419"/>
          <cell r="H419">
            <v>11540.22988505747</v>
          </cell>
          <cell r="I419"/>
          <cell r="J419"/>
          <cell r="K419">
            <v>11149.42528735632</v>
          </cell>
          <cell r="L419"/>
          <cell r="M419"/>
          <cell r="N419">
            <v>12321.839080459771</v>
          </cell>
          <cell r="O419"/>
          <cell r="P419"/>
          <cell r="Q419">
            <v>11540.22988505747</v>
          </cell>
          <cell r="R419"/>
          <cell r="S419"/>
          <cell r="T419">
            <v>11931.034482758623</v>
          </cell>
          <cell r="U419"/>
          <cell r="V419"/>
          <cell r="W419">
            <v>11931.034482758623</v>
          </cell>
          <cell r="X419"/>
          <cell r="Y419"/>
          <cell r="Z419">
            <v>11931.034482758623</v>
          </cell>
          <cell r="AA419"/>
          <cell r="AB419"/>
          <cell r="AC419">
            <v>11931.034482758623</v>
          </cell>
          <cell r="AD419"/>
          <cell r="AE419"/>
          <cell r="AF419">
            <v>11931.034482758623</v>
          </cell>
          <cell r="AG419"/>
          <cell r="AH419"/>
          <cell r="AI419">
            <v>11540.22988505747</v>
          </cell>
          <cell r="AJ419"/>
          <cell r="AK419"/>
          <cell r="AL419">
            <v>11931.034482758623</v>
          </cell>
          <cell r="AM419"/>
          <cell r="AN419"/>
          <cell r="AO419">
            <v>12321.839080459771</v>
          </cell>
        </row>
        <row r="420">
          <cell r="A420" t="str">
            <v>Salaires cadres</v>
          </cell>
          <cell r="C420"/>
          <cell r="D420"/>
          <cell r="E420">
            <v>574916.00000000012</v>
          </cell>
          <cell r="F420"/>
          <cell r="G420"/>
          <cell r="H420">
            <v>46744.678160919539</v>
          </cell>
          <cell r="I420"/>
          <cell r="J420"/>
          <cell r="K420">
            <v>45191.360153256705</v>
          </cell>
          <cell r="L420"/>
          <cell r="M420"/>
          <cell r="N420">
            <v>49851.314176245214</v>
          </cell>
          <cell r="O420"/>
          <cell r="P420"/>
          <cell r="Q420">
            <v>46744.678160919539</v>
          </cell>
          <cell r="R420"/>
          <cell r="S420"/>
          <cell r="T420">
            <v>48297.996168582387</v>
          </cell>
          <cell r="U420"/>
          <cell r="V420"/>
          <cell r="W420">
            <v>48297.996168582387</v>
          </cell>
          <cell r="X420"/>
          <cell r="Y420"/>
          <cell r="Z420">
            <v>48297.996168582387</v>
          </cell>
          <cell r="AA420"/>
          <cell r="AB420"/>
          <cell r="AC420">
            <v>48297.996168582387</v>
          </cell>
          <cell r="AD420"/>
          <cell r="AE420"/>
          <cell r="AF420">
            <v>48297.996168582387</v>
          </cell>
          <cell r="AG420"/>
          <cell r="AH420"/>
          <cell r="AI420">
            <v>46744.678160919539</v>
          </cell>
          <cell r="AJ420"/>
          <cell r="AK420"/>
          <cell r="AL420">
            <v>48297.996168582387</v>
          </cell>
          <cell r="AM420"/>
          <cell r="AN420"/>
          <cell r="AO420">
            <v>49851.314176245214</v>
          </cell>
        </row>
        <row r="421">
          <cell r="A421" t="str">
            <v>Salaires commis</v>
          </cell>
          <cell r="C421"/>
          <cell r="D421"/>
          <cell r="E421">
            <v>321100.11872000009</v>
          </cell>
          <cell r="F421"/>
          <cell r="G421"/>
          <cell r="H421">
            <v>25852.883115402299</v>
          </cell>
          <cell r="I421"/>
          <cell r="J421"/>
          <cell r="K421">
            <v>24645.602967049806</v>
          </cell>
          <cell r="L421"/>
          <cell r="M421"/>
          <cell r="N421">
            <v>28267.443412107281</v>
          </cell>
          <cell r="O421"/>
          <cell r="P421"/>
          <cell r="Q421">
            <v>25852.883115402299</v>
          </cell>
          <cell r="R421"/>
          <cell r="S421"/>
          <cell r="T421">
            <v>27060.163263754788</v>
          </cell>
          <cell r="U421"/>
          <cell r="V421"/>
          <cell r="W421">
            <v>27060.163263754788</v>
          </cell>
          <cell r="X421"/>
          <cell r="Y421"/>
          <cell r="Z421">
            <v>27060.163263754788</v>
          </cell>
          <cell r="AA421"/>
          <cell r="AB421"/>
          <cell r="AC421">
            <v>27060.163263754788</v>
          </cell>
          <cell r="AD421"/>
          <cell r="AE421"/>
          <cell r="AF421">
            <v>27060.163263754788</v>
          </cell>
          <cell r="AG421"/>
          <cell r="AH421"/>
          <cell r="AI421">
            <v>25852.883115402299</v>
          </cell>
          <cell r="AJ421"/>
          <cell r="AK421"/>
          <cell r="AL421">
            <v>27060.163263754788</v>
          </cell>
          <cell r="AM421"/>
          <cell r="AN421"/>
          <cell r="AO421">
            <v>28267.443412107281</v>
          </cell>
        </row>
        <row r="422">
          <cell r="A422" t="str">
            <v>Salaires autres</v>
          </cell>
          <cell r="C422"/>
          <cell r="D422"/>
          <cell r="E422">
            <v>203721.44960000002</v>
          </cell>
          <cell r="F422"/>
          <cell r="G422"/>
          <cell r="H422">
            <v>16391.381002298851</v>
          </cell>
          <cell r="I422"/>
          <cell r="J422"/>
          <cell r="K422">
            <v>15610.83904980843</v>
          </cell>
          <cell r="L422"/>
          <cell r="M422"/>
          <cell r="N422">
            <v>17952.464907279693</v>
          </cell>
          <cell r="O422"/>
          <cell r="P422"/>
          <cell r="Q422">
            <v>16391.381002298851</v>
          </cell>
          <cell r="R422"/>
          <cell r="S422"/>
          <cell r="T422">
            <v>17171.922954789272</v>
          </cell>
          <cell r="U422"/>
          <cell r="V422"/>
          <cell r="W422">
            <v>17171.922954789272</v>
          </cell>
          <cell r="X422"/>
          <cell r="Y422"/>
          <cell r="Z422">
            <v>17171.922954789272</v>
          </cell>
          <cell r="AA422"/>
          <cell r="AB422"/>
          <cell r="AC422">
            <v>17171.922954789272</v>
          </cell>
          <cell r="AD422"/>
          <cell r="AE422"/>
          <cell r="AF422">
            <v>17171.922954789272</v>
          </cell>
          <cell r="AG422"/>
          <cell r="AH422"/>
          <cell r="AI422">
            <v>16391.381002298851</v>
          </cell>
          <cell r="AJ422"/>
          <cell r="AK422"/>
          <cell r="AL422">
            <v>17171.922954789272</v>
          </cell>
          <cell r="AM422"/>
          <cell r="AN422"/>
          <cell r="AO422">
            <v>17952.464907279693</v>
          </cell>
        </row>
        <row r="423">
          <cell r="A423" t="str">
            <v>Salaires spécialistes</v>
          </cell>
          <cell r="C423"/>
          <cell r="D423"/>
          <cell r="E423">
            <v>186953.80799999999</v>
          </cell>
          <cell r="F423"/>
          <cell r="G423"/>
          <cell r="H423">
            <v>15254.812137931034</v>
          </cell>
          <cell r="I423"/>
          <cell r="J423"/>
          <cell r="K423">
            <v>14821.916321839079</v>
          </cell>
          <cell r="L423"/>
          <cell r="M423"/>
          <cell r="N423">
            <v>16120.603770114942</v>
          </cell>
          <cell r="O423"/>
          <cell r="P423"/>
          <cell r="Q423">
            <v>15254.812137931034</v>
          </cell>
          <cell r="R423"/>
          <cell r="S423"/>
          <cell r="T423">
            <v>15687.707954022988</v>
          </cell>
          <cell r="U423"/>
          <cell r="V423"/>
          <cell r="W423">
            <v>15687.707954022988</v>
          </cell>
          <cell r="X423"/>
          <cell r="Y423"/>
          <cell r="Z423">
            <v>15687.707954022988</v>
          </cell>
          <cell r="AA423"/>
          <cell r="AB423"/>
          <cell r="AC423">
            <v>15687.707954022988</v>
          </cell>
          <cell r="AD423"/>
          <cell r="AE423"/>
          <cell r="AF423">
            <v>15687.707954022988</v>
          </cell>
          <cell r="AG423"/>
          <cell r="AH423"/>
          <cell r="AI423">
            <v>15254.812137931034</v>
          </cell>
          <cell r="AJ423"/>
          <cell r="AK423"/>
          <cell r="AL423">
            <v>15687.707954022988</v>
          </cell>
          <cell r="AM423"/>
          <cell r="AN423"/>
          <cell r="AO423">
            <v>16120.603770114942</v>
          </cell>
        </row>
        <row r="424">
          <cell r="A424" t="str">
            <v>[...]</v>
          </cell>
          <cell r="C424"/>
          <cell r="D424"/>
          <cell r="E424">
            <v>0</v>
          </cell>
          <cell r="F424"/>
          <cell r="G424"/>
          <cell r="H424">
            <v>0</v>
          </cell>
          <cell r="I424"/>
          <cell r="J424"/>
          <cell r="K424">
            <v>0</v>
          </cell>
          <cell r="L424"/>
          <cell r="M424"/>
          <cell r="N424">
            <v>0</v>
          </cell>
          <cell r="O424"/>
          <cell r="P424"/>
          <cell r="Q424">
            <v>0</v>
          </cell>
          <cell r="R424"/>
          <cell r="S424"/>
          <cell r="T424">
            <v>0</v>
          </cell>
          <cell r="U424"/>
          <cell r="V424"/>
          <cell r="W424">
            <v>0</v>
          </cell>
          <cell r="X424"/>
          <cell r="Y424"/>
          <cell r="Z424">
            <v>0</v>
          </cell>
          <cell r="AA424"/>
          <cell r="AB424"/>
          <cell r="AC424">
            <v>0</v>
          </cell>
          <cell r="AD424"/>
          <cell r="AE424"/>
          <cell r="AF424">
            <v>0</v>
          </cell>
          <cell r="AG424"/>
          <cell r="AH424"/>
          <cell r="AI424">
            <v>0</v>
          </cell>
          <cell r="AJ424"/>
          <cell r="AK424"/>
          <cell r="AL424">
            <v>0</v>
          </cell>
          <cell r="AM424"/>
          <cell r="AN424"/>
          <cell r="AO424">
            <v>0</v>
          </cell>
        </row>
        <row r="425">
          <cell r="A425" t="str">
            <v>[...]</v>
          </cell>
          <cell r="C425"/>
          <cell r="D425"/>
          <cell r="E425">
            <v>0</v>
          </cell>
          <cell r="F425"/>
          <cell r="G425"/>
          <cell r="H425">
            <v>0</v>
          </cell>
          <cell r="I425"/>
          <cell r="J425"/>
          <cell r="K425">
            <v>0</v>
          </cell>
          <cell r="L425"/>
          <cell r="M425"/>
          <cell r="N425">
            <v>0</v>
          </cell>
          <cell r="O425"/>
          <cell r="P425"/>
          <cell r="Q425">
            <v>0</v>
          </cell>
          <cell r="R425"/>
          <cell r="S425"/>
          <cell r="T425">
            <v>0</v>
          </cell>
          <cell r="U425"/>
          <cell r="V425"/>
          <cell r="W425">
            <v>0</v>
          </cell>
          <cell r="X425"/>
          <cell r="Y425"/>
          <cell r="Z425">
            <v>0</v>
          </cell>
          <cell r="AA425"/>
          <cell r="AB425"/>
          <cell r="AC425">
            <v>0</v>
          </cell>
          <cell r="AD425"/>
          <cell r="AE425"/>
          <cell r="AF425">
            <v>0</v>
          </cell>
          <cell r="AG425"/>
          <cell r="AH425"/>
          <cell r="AI425">
            <v>0</v>
          </cell>
          <cell r="AJ425"/>
          <cell r="AK425"/>
          <cell r="AL425">
            <v>0</v>
          </cell>
          <cell r="AM425"/>
          <cell r="AN425"/>
          <cell r="AO425">
            <v>0</v>
          </cell>
        </row>
        <row r="426">
          <cell r="A426" t="str">
            <v>[...]</v>
          </cell>
          <cell r="C426"/>
          <cell r="D426"/>
          <cell r="E426">
            <v>0</v>
          </cell>
          <cell r="F426"/>
          <cell r="G426"/>
          <cell r="H426">
            <v>0</v>
          </cell>
          <cell r="I426"/>
          <cell r="J426"/>
          <cell r="K426">
            <v>0</v>
          </cell>
          <cell r="L426"/>
          <cell r="M426"/>
          <cell r="N426">
            <v>0</v>
          </cell>
          <cell r="O426"/>
          <cell r="P426"/>
          <cell r="Q426">
            <v>0</v>
          </cell>
          <cell r="R426"/>
          <cell r="S426"/>
          <cell r="T426">
            <v>0</v>
          </cell>
          <cell r="U426"/>
          <cell r="V426"/>
          <cell r="W426">
            <v>0</v>
          </cell>
          <cell r="X426"/>
          <cell r="Y426"/>
          <cell r="Z426">
            <v>0</v>
          </cell>
          <cell r="AA426"/>
          <cell r="AB426"/>
          <cell r="AC426">
            <v>0</v>
          </cell>
          <cell r="AD426"/>
          <cell r="AE426"/>
          <cell r="AF426">
            <v>0</v>
          </cell>
          <cell r="AG426"/>
          <cell r="AH426"/>
          <cell r="AI426">
            <v>0</v>
          </cell>
          <cell r="AJ426"/>
          <cell r="AK426"/>
          <cell r="AL426">
            <v>0</v>
          </cell>
          <cell r="AM426"/>
          <cell r="AN426"/>
          <cell r="AO426">
            <v>0</v>
          </cell>
        </row>
        <row r="427">
          <cell r="A427" t="str">
            <v>Salaires en absences</v>
          </cell>
          <cell r="C427"/>
          <cell r="D427"/>
          <cell r="E427">
            <v>272438.80565450777</v>
          </cell>
          <cell r="F427"/>
          <cell r="G427"/>
          <cell r="H427">
            <v>20783.69997603702</v>
          </cell>
          <cell r="I427"/>
          <cell r="J427"/>
          <cell r="K427">
            <v>19507.337026179306</v>
          </cell>
          <cell r="L427"/>
          <cell r="M427"/>
          <cell r="N427">
            <v>23671.077931652657</v>
          </cell>
          <cell r="O427"/>
          <cell r="P427"/>
          <cell r="Q427">
            <v>22928.434352093525</v>
          </cell>
          <cell r="R427"/>
          <cell r="S427"/>
          <cell r="T427">
            <v>23522.67918270245</v>
          </cell>
          <cell r="U427"/>
          <cell r="V427"/>
          <cell r="W427">
            <v>23807.459062097241</v>
          </cell>
          <cell r="X427"/>
          <cell r="Y427"/>
          <cell r="Z427">
            <v>22995.701531305891</v>
          </cell>
          <cell r="AA427"/>
          <cell r="AB427"/>
          <cell r="AC427">
            <v>23118.754494210189</v>
          </cell>
          <cell r="AD427"/>
          <cell r="AE427"/>
          <cell r="AF427">
            <v>23358.898178701038</v>
          </cell>
          <cell r="AG427"/>
          <cell r="AH427"/>
          <cell r="AI427">
            <v>23262.715913143129</v>
          </cell>
          <cell r="AJ427"/>
          <cell r="AK427"/>
          <cell r="AL427">
            <v>23139.403523586869</v>
          </cell>
          <cell r="AM427"/>
          <cell r="AN427"/>
          <cell r="AO427">
            <v>22342.644482798485</v>
          </cell>
        </row>
        <row r="428">
          <cell r="A428" t="str">
            <v>Déduction à la source</v>
          </cell>
          <cell r="C428"/>
          <cell r="D428"/>
          <cell r="E428">
            <v>205031.26611112439</v>
          </cell>
          <cell r="F428"/>
          <cell r="G428"/>
          <cell r="H428">
            <v>15641.341219079408</v>
          </cell>
          <cell r="I428"/>
          <cell r="J428"/>
          <cell r="K428">
            <v>14680.77941145453</v>
          </cell>
          <cell r="L428"/>
          <cell r="M428"/>
          <cell r="N428">
            <v>17814.316381553028</v>
          </cell>
          <cell r="O428"/>
          <cell r="P428"/>
          <cell r="Q428">
            <v>17255.419667039456</v>
          </cell>
          <cell r="R428"/>
          <cell r="S428"/>
          <cell r="T428">
            <v>17702.634848837926</v>
          </cell>
          <cell r="U428"/>
          <cell r="V428"/>
          <cell r="W428">
            <v>17916.953727145348</v>
          </cell>
          <cell r="X428"/>
          <cell r="Y428"/>
          <cell r="Z428">
            <v>17306.043420467318</v>
          </cell>
          <cell r="AA428"/>
          <cell r="AB428"/>
          <cell r="AC428">
            <v>17398.650289457153</v>
          </cell>
          <cell r="AD428"/>
          <cell r="AE428"/>
          <cell r="AF428">
            <v>17579.376979847173</v>
          </cell>
          <cell r="AG428"/>
          <cell r="AH428"/>
          <cell r="AI428">
            <v>17506.992388241735</v>
          </cell>
          <cell r="AJ428"/>
          <cell r="AK428"/>
          <cell r="AL428">
            <v>17414.190280637544</v>
          </cell>
          <cell r="AM428"/>
          <cell r="AN428"/>
          <cell r="AO428">
            <v>16814.567497363805</v>
          </cell>
        </row>
        <row r="429">
          <cell r="A429" t="str">
            <v>Bénéfices marginaux</v>
          </cell>
          <cell r="C429"/>
          <cell r="D429"/>
          <cell r="E429">
            <v>311759.87038814812</v>
          </cell>
          <cell r="F429"/>
          <cell r="G429"/>
          <cell r="H429">
            <v>23783.409250928962</v>
          </cell>
          <cell r="I429"/>
          <cell r="J429"/>
          <cell r="K429">
            <v>22322.828968102094</v>
          </cell>
          <cell r="L429"/>
          <cell r="M429"/>
          <cell r="N429">
            <v>27087.522169210773</v>
          </cell>
          <cell r="O429"/>
          <cell r="P429"/>
          <cell r="Q429">
            <v>26237.692918375069</v>
          </cell>
          <cell r="R429"/>
          <cell r="S429"/>
          <cell r="T429">
            <v>26917.705044123424</v>
          </cell>
          <cell r="U429"/>
          <cell r="V429"/>
          <cell r="W429">
            <v>27243.587174152515</v>
          </cell>
          <cell r="X429"/>
          <cell r="Y429"/>
          <cell r="Z429">
            <v>26314.668762628393</v>
          </cell>
          <cell r="AA429"/>
          <cell r="AB429"/>
          <cell r="AC429">
            <v>26455.481946982796</v>
          </cell>
          <cell r="AD429"/>
          <cell r="AE429"/>
          <cell r="AF429">
            <v>26730.285544699127</v>
          </cell>
          <cell r="AG429"/>
          <cell r="AH429"/>
          <cell r="AI429">
            <v>26620.221302668942</v>
          </cell>
          <cell r="AJ429"/>
          <cell r="AK429"/>
          <cell r="AL429">
            <v>26479.111248640649</v>
          </cell>
          <cell r="AM429"/>
          <cell r="AN429"/>
          <cell r="AO429">
            <v>25567.356057635378</v>
          </cell>
        </row>
        <row r="430">
          <cell r="A430" t="str">
            <v>Csst</v>
          </cell>
          <cell r="C430"/>
          <cell r="D430"/>
          <cell r="E430">
            <v>56172.949619486142</v>
          </cell>
          <cell r="F430"/>
          <cell r="G430"/>
          <cell r="H430">
            <v>4285.2989641313452</v>
          </cell>
          <cell r="I430"/>
          <cell r="J430"/>
          <cell r="K430">
            <v>4022.1313456039811</v>
          </cell>
          <cell r="L430"/>
          <cell r="M430"/>
          <cell r="N430">
            <v>4880.6346250830211</v>
          </cell>
          <cell r="O430"/>
          <cell r="P430"/>
          <cell r="Q430">
            <v>4727.5122375450565</v>
          </cell>
          <cell r="R430"/>
          <cell r="S430"/>
          <cell r="T430">
            <v>4850.0369448871033</v>
          </cell>
          <cell r="U430"/>
          <cell r="V430"/>
          <cell r="W430">
            <v>4908.7544457932463</v>
          </cell>
          <cell r="X430"/>
          <cell r="Y430"/>
          <cell r="Z430">
            <v>4741.3817590321423</v>
          </cell>
          <cell r="AA430"/>
          <cell r="AB430"/>
          <cell r="AC430">
            <v>4766.7535039608638</v>
          </cell>
          <cell r="AD430"/>
          <cell r="AE430"/>
          <cell r="AF430">
            <v>4816.2676657115544</v>
          </cell>
          <cell r="AG430"/>
          <cell r="AH430"/>
          <cell r="AI430">
            <v>4796.43627075116</v>
          </cell>
          <cell r="AJ430"/>
          <cell r="AK430"/>
          <cell r="AL430">
            <v>4771.011035791108</v>
          </cell>
          <cell r="AM430"/>
          <cell r="AN430"/>
          <cell r="AO430">
            <v>4606.7308211955633</v>
          </cell>
        </row>
        <row r="431">
          <cell r="A431" t="str">
            <v>[...]</v>
          </cell>
          <cell r="C431"/>
          <cell r="D431"/>
          <cell r="E431">
            <v>0</v>
          </cell>
          <cell r="F431"/>
          <cell r="G431"/>
          <cell r="H431">
            <v>0</v>
          </cell>
          <cell r="I431"/>
          <cell r="J431"/>
          <cell r="K431">
            <v>0</v>
          </cell>
          <cell r="L431"/>
          <cell r="M431"/>
          <cell r="N431">
            <v>0</v>
          </cell>
          <cell r="O431"/>
          <cell r="P431"/>
          <cell r="Q431">
            <v>0</v>
          </cell>
          <cell r="R431"/>
          <cell r="S431"/>
          <cell r="T431">
            <v>0</v>
          </cell>
          <cell r="U431"/>
          <cell r="V431"/>
          <cell r="W431">
            <v>0</v>
          </cell>
          <cell r="X431"/>
          <cell r="Y431"/>
          <cell r="Z431">
            <v>0</v>
          </cell>
          <cell r="AA431"/>
          <cell r="AB431"/>
          <cell r="AC431">
            <v>0</v>
          </cell>
          <cell r="AD431"/>
          <cell r="AE431"/>
          <cell r="AF431">
            <v>0</v>
          </cell>
          <cell r="AG431"/>
          <cell r="AH431"/>
          <cell r="AI431">
            <v>0</v>
          </cell>
          <cell r="AJ431"/>
          <cell r="AK431"/>
          <cell r="AL431">
            <v>0</v>
          </cell>
          <cell r="AM431"/>
          <cell r="AN431"/>
          <cell r="AO431">
            <v>0</v>
          </cell>
        </row>
        <row r="432">
          <cell r="A432" t="str">
            <v>TOTAL PERSONNEL</v>
          </cell>
          <cell r="C432">
            <v>0.38707036683490387</v>
          </cell>
          <cell r="D432"/>
          <cell r="E432">
            <v>2274094.2680932665</v>
          </cell>
          <cell r="F432">
            <v>0.50269388774830492</v>
          </cell>
          <cell r="G432"/>
          <cell r="H432">
            <v>180277.73371178593</v>
          </cell>
          <cell r="I432">
            <v>0.51230737429438711</v>
          </cell>
          <cell r="J432"/>
          <cell r="K432">
            <v>171952.22053065026</v>
          </cell>
          <cell r="L432">
            <v>0.39442235071440929</v>
          </cell>
          <cell r="M432"/>
          <cell r="N432">
            <v>197967.21645370638</v>
          </cell>
          <cell r="O432">
            <v>0.33380597745778789</v>
          </cell>
          <cell r="P432"/>
          <cell r="Q432">
            <v>186933.04347666228</v>
          </cell>
          <cell r="R432">
            <v>0.3321123759427278</v>
          </cell>
          <cell r="S432"/>
          <cell r="T432">
            <v>193141.88084445897</v>
          </cell>
          <cell r="U432">
            <v>0.36025325168479</v>
          </cell>
          <cell r="V432"/>
          <cell r="W432">
            <v>194025.57923309642</v>
          </cell>
          <cell r="X432">
            <v>0.42495971515579356</v>
          </cell>
          <cell r="Y432"/>
          <cell r="Z432">
            <v>191506.62029734181</v>
          </cell>
          <cell r="AA432">
            <v>0.41602517777767695</v>
          </cell>
          <cell r="AB432"/>
          <cell r="AC432">
            <v>191888.46505851907</v>
          </cell>
          <cell r="AD432">
            <v>0.41692237256054343</v>
          </cell>
          <cell r="AE432"/>
          <cell r="AF432">
            <v>192633.65319286694</v>
          </cell>
          <cell r="AG432">
            <v>0.3097971398033782</v>
          </cell>
          <cell r="AH432"/>
          <cell r="AI432">
            <v>187970.35017641413</v>
          </cell>
          <cell r="AJ432">
            <v>0.31700200569162207</v>
          </cell>
          <cell r="AK432"/>
          <cell r="AL432">
            <v>191952.54091256423</v>
          </cell>
          <cell r="AM432">
            <v>0.46979543220975367</v>
          </cell>
          <cell r="AN432"/>
          <cell r="AO432">
            <v>193844.96420520011</v>
          </cell>
        </row>
        <row r="433">
          <cell r="A433" t="str">
            <v>Publicité 2</v>
          </cell>
          <cell r="C433"/>
          <cell r="D433"/>
          <cell r="E433">
            <v>81123.999999999956</v>
          </cell>
          <cell r="F433"/>
          <cell r="G433"/>
          <cell r="H433">
            <v>6760.3333333333321</v>
          </cell>
          <cell r="I433"/>
          <cell r="J433"/>
          <cell r="K433">
            <v>6760.3333333333321</v>
          </cell>
          <cell r="L433"/>
          <cell r="M433"/>
          <cell r="N433">
            <v>6760.3333333333321</v>
          </cell>
          <cell r="O433"/>
          <cell r="P433"/>
          <cell r="Q433">
            <v>6760.3333333333321</v>
          </cell>
          <cell r="R433"/>
          <cell r="S433"/>
          <cell r="T433">
            <v>6760.3333333333321</v>
          </cell>
          <cell r="U433"/>
          <cell r="V433"/>
          <cell r="W433">
            <v>6760.3333333333321</v>
          </cell>
          <cell r="X433"/>
          <cell r="Y433"/>
          <cell r="Z433">
            <v>6760.3333333333321</v>
          </cell>
          <cell r="AA433"/>
          <cell r="AB433"/>
          <cell r="AC433">
            <v>6760.3333333333321</v>
          </cell>
          <cell r="AD433"/>
          <cell r="AE433"/>
          <cell r="AF433">
            <v>6760.3333333333321</v>
          </cell>
          <cell r="AG433"/>
          <cell r="AH433"/>
          <cell r="AI433">
            <v>6760.3333333333321</v>
          </cell>
          <cell r="AJ433"/>
          <cell r="AK433"/>
          <cell r="AL433">
            <v>6760.3333333333321</v>
          </cell>
          <cell r="AM433"/>
          <cell r="AN433"/>
          <cell r="AO433">
            <v>6760.3333333333321</v>
          </cell>
        </row>
        <row r="434">
          <cell r="A434" t="str">
            <v>Service gratuit 2</v>
          </cell>
          <cell r="C434"/>
          <cell r="D434"/>
          <cell r="E434">
            <v>52999.999999999993</v>
          </cell>
          <cell r="F434"/>
          <cell r="G434"/>
          <cell r="H434">
            <v>4416.666666666667</v>
          </cell>
          <cell r="I434"/>
          <cell r="J434"/>
          <cell r="K434">
            <v>4416.666666666667</v>
          </cell>
          <cell r="L434"/>
          <cell r="M434"/>
          <cell r="N434">
            <v>4416.666666666667</v>
          </cell>
          <cell r="O434"/>
          <cell r="P434"/>
          <cell r="Q434">
            <v>4416.666666666667</v>
          </cell>
          <cell r="R434"/>
          <cell r="S434"/>
          <cell r="T434">
            <v>4416.666666666667</v>
          </cell>
          <cell r="U434"/>
          <cell r="V434"/>
          <cell r="W434">
            <v>4416.666666666667</v>
          </cell>
          <cell r="X434"/>
          <cell r="Y434"/>
          <cell r="Z434">
            <v>4416.666666666667</v>
          </cell>
          <cell r="AA434"/>
          <cell r="AB434"/>
          <cell r="AC434">
            <v>4416.666666666667</v>
          </cell>
          <cell r="AD434"/>
          <cell r="AE434"/>
          <cell r="AF434">
            <v>4416.666666666667</v>
          </cell>
          <cell r="AG434"/>
          <cell r="AH434"/>
          <cell r="AI434">
            <v>4416.666666666667</v>
          </cell>
          <cell r="AJ434"/>
          <cell r="AK434"/>
          <cell r="AL434">
            <v>4416.666666666667</v>
          </cell>
          <cell r="AM434"/>
          <cell r="AN434"/>
          <cell r="AO434">
            <v>4416.666666666667</v>
          </cell>
        </row>
        <row r="435">
          <cell r="A435" t="str">
            <v>Frais véhicules de cie</v>
          </cell>
          <cell r="C435"/>
          <cell r="D435"/>
          <cell r="E435">
            <v>590832.6399999999</v>
          </cell>
          <cell r="F435"/>
          <cell r="G435"/>
          <cell r="H435">
            <v>34347.720000000008</v>
          </cell>
          <cell r="I435"/>
          <cell r="J435"/>
          <cell r="K435">
            <v>34347.720000000008</v>
          </cell>
          <cell r="L435"/>
          <cell r="M435"/>
          <cell r="N435">
            <v>49107.72</v>
          </cell>
          <cell r="O435"/>
          <cell r="P435"/>
          <cell r="Q435">
            <v>60177.72</v>
          </cell>
          <cell r="R435"/>
          <cell r="S435"/>
          <cell r="T435">
            <v>61177.72</v>
          </cell>
          <cell r="U435"/>
          <cell r="V435"/>
          <cell r="W435">
            <v>54027.72</v>
          </cell>
          <cell r="X435"/>
          <cell r="Y435"/>
          <cell r="Z435">
            <v>46647.72</v>
          </cell>
          <cell r="AA435"/>
          <cell r="AB435"/>
          <cell r="AC435">
            <v>46647.72</v>
          </cell>
          <cell r="AD435"/>
          <cell r="AE435"/>
          <cell r="AF435">
            <v>46647.72</v>
          </cell>
          <cell r="AG435"/>
          <cell r="AH435"/>
          <cell r="AI435">
            <v>60177.72</v>
          </cell>
          <cell r="AJ435"/>
          <cell r="AK435"/>
          <cell r="AL435">
            <v>63177.72</v>
          </cell>
          <cell r="AM435"/>
          <cell r="AN435"/>
          <cell r="AO435">
            <v>34347.720000000008</v>
          </cell>
        </row>
        <row r="436">
          <cell r="A436" t="str">
            <v>Informatique</v>
          </cell>
          <cell r="C436"/>
          <cell r="D436"/>
          <cell r="E436">
            <v>175353</v>
          </cell>
          <cell r="F436"/>
          <cell r="G436"/>
          <cell r="H436">
            <v>14612.75</v>
          </cell>
          <cell r="I436"/>
          <cell r="J436"/>
          <cell r="K436">
            <v>14612.75</v>
          </cell>
          <cell r="L436"/>
          <cell r="M436"/>
          <cell r="N436">
            <v>14612.75</v>
          </cell>
          <cell r="O436"/>
          <cell r="P436"/>
          <cell r="Q436">
            <v>14612.75</v>
          </cell>
          <cell r="R436"/>
          <cell r="S436"/>
          <cell r="T436">
            <v>14612.75</v>
          </cell>
          <cell r="U436"/>
          <cell r="V436"/>
          <cell r="W436">
            <v>14612.75</v>
          </cell>
          <cell r="X436"/>
          <cell r="Y436"/>
          <cell r="Z436">
            <v>14612.75</v>
          </cell>
          <cell r="AA436"/>
          <cell r="AB436"/>
          <cell r="AC436">
            <v>14612.75</v>
          </cell>
          <cell r="AD436"/>
          <cell r="AE436"/>
          <cell r="AF436">
            <v>14612.75</v>
          </cell>
          <cell r="AG436"/>
          <cell r="AH436"/>
          <cell r="AI436">
            <v>14612.75</v>
          </cell>
          <cell r="AJ436"/>
          <cell r="AK436"/>
          <cell r="AL436">
            <v>14612.75</v>
          </cell>
          <cell r="AM436"/>
          <cell r="AN436"/>
          <cell r="AO436">
            <v>14612.75</v>
          </cell>
        </row>
        <row r="437">
          <cell r="A437" t="str">
            <v>Frais de déplacement</v>
          </cell>
          <cell r="C437"/>
          <cell r="D437"/>
          <cell r="E437">
            <v>81000</v>
          </cell>
          <cell r="F437"/>
          <cell r="G437"/>
          <cell r="H437">
            <v>6750</v>
          </cell>
          <cell r="I437"/>
          <cell r="J437"/>
          <cell r="K437">
            <v>6750</v>
          </cell>
          <cell r="L437"/>
          <cell r="M437"/>
          <cell r="N437">
            <v>6750</v>
          </cell>
          <cell r="O437"/>
          <cell r="P437"/>
          <cell r="Q437">
            <v>6750</v>
          </cell>
          <cell r="R437"/>
          <cell r="S437"/>
          <cell r="T437">
            <v>6750</v>
          </cell>
          <cell r="U437"/>
          <cell r="V437"/>
          <cell r="W437">
            <v>6750</v>
          </cell>
          <cell r="X437"/>
          <cell r="Y437"/>
          <cell r="Z437">
            <v>6750</v>
          </cell>
          <cell r="AA437"/>
          <cell r="AB437"/>
          <cell r="AC437">
            <v>6750</v>
          </cell>
          <cell r="AD437"/>
          <cell r="AE437"/>
          <cell r="AF437">
            <v>6750</v>
          </cell>
          <cell r="AG437"/>
          <cell r="AH437"/>
          <cell r="AI437">
            <v>6750</v>
          </cell>
          <cell r="AJ437"/>
          <cell r="AK437"/>
          <cell r="AL437">
            <v>6750</v>
          </cell>
          <cell r="AM437"/>
          <cell r="AN437"/>
          <cell r="AO437">
            <v>6750</v>
          </cell>
        </row>
        <row r="438">
          <cell r="A438" t="str">
            <v>Services extérieurs</v>
          </cell>
          <cell r="C438"/>
          <cell r="D438"/>
          <cell r="E438">
            <v>301970</v>
          </cell>
          <cell r="F438"/>
          <cell r="G438"/>
          <cell r="H438">
            <v>20878.461713344663</v>
          </cell>
          <cell r="I438"/>
          <cell r="J438"/>
          <cell r="K438">
            <v>18979.752148654203</v>
          </cell>
          <cell r="L438"/>
          <cell r="M438"/>
          <cell r="N438">
            <v>25091.616768755004</v>
          </cell>
          <cell r="O438"/>
          <cell r="P438"/>
          <cell r="Q438">
            <v>27962.63813897112</v>
          </cell>
          <cell r="R438"/>
          <cell r="S438"/>
          <cell r="T438">
            <v>28842.858104034578</v>
          </cell>
          <cell r="U438"/>
          <cell r="V438"/>
          <cell r="W438">
            <v>26770.529421364925</v>
          </cell>
          <cell r="X438"/>
          <cell r="Y438"/>
          <cell r="Z438">
            <v>22956.242453529463</v>
          </cell>
          <cell r="AA438"/>
          <cell r="AB438"/>
          <cell r="AC438">
            <v>23900.333234589256</v>
          </cell>
          <cell r="AD438"/>
          <cell r="AE438"/>
          <cell r="AF438">
            <v>24474.292112345021</v>
          </cell>
          <cell r="AG438"/>
          <cell r="AH438"/>
          <cell r="AI438">
            <v>29582.799595324781</v>
          </cell>
          <cell r="AJ438"/>
          <cell r="AK438"/>
          <cell r="AL438">
            <v>29078.815341219382</v>
          </cell>
          <cell r="AM438"/>
          <cell r="AN438"/>
          <cell r="AO438">
            <v>23451.660967867618</v>
          </cell>
        </row>
        <row r="439">
          <cell r="A439" t="str">
            <v>Fournitures autres</v>
          </cell>
          <cell r="C439"/>
          <cell r="D439"/>
          <cell r="E439">
            <v>32870.399999999994</v>
          </cell>
          <cell r="F439"/>
          <cell r="G439"/>
          <cell r="H439">
            <v>2549.9917460970173</v>
          </cell>
          <cell r="I439"/>
          <cell r="J439"/>
          <cell r="K439">
            <v>2482.6197341618267</v>
          </cell>
          <cell r="L439"/>
          <cell r="M439"/>
          <cell r="N439">
            <v>2908.2450310810732</v>
          </cell>
          <cell r="O439"/>
          <cell r="P439"/>
          <cell r="Q439">
            <v>2864.2228357046915</v>
          </cell>
          <cell r="R439"/>
          <cell r="S439"/>
          <cell r="T439">
            <v>2769.2328064538392</v>
          </cell>
          <cell r="U439"/>
          <cell r="V439"/>
          <cell r="W439">
            <v>2875.4818980198465</v>
          </cell>
          <cell r="X439"/>
          <cell r="Y439"/>
          <cell r="Z439">
            <v>2899.5796178365999</v>
          </cell>
          <cell r="AA439"/>
          <cell r="AB439"/>
          <cell r="AC439">
            <v>2805.360032354602</v>
          </cell>
          <cell r="AD439"/>
          <cell r="AE439"/>
          <cell r="AF439">
            <v>2812.2834297474033</v>
          </cell>
          <cell r="AG439"/>
          <cell r="AH439"/>
          <cell r="AI439">
            <v>2822.6271412954907</v>
          </cell>
          <cell r="AJ439"/>
          <cell r="AK439"/>
          <cell r="AL439">
            <v>2755.4088710473634</v>
          </cell>
          <cell r="AM439"/>
          <cell r="AN439"/>
          <cell r="AO439">
            <v>2325.346856200244</v>
          </cell>
        </row>
        <row r="440">
          <cell r="A440" t="str">
            <v>Uniformes</v>
          </cell>
          <cell r="C440"/>
          <cell r="D440"/>
          <cell r="E440">
            <v>9600</v>
          </cell>
          <cell r="F440"/>
          <cell r="G440"/>
          <cell r="H440">
            <v>800</v>
          </cell>
          <cell r="I440"/>
          <cell r="J440"/>
          <cell r="K440">
            <v>800</v>
          </cell>
          <cell r="L440"/>
          <cell r="M440"/>
          <cell r="N440">
            <v>800</v>
          </cell>
          <cell r="O440"/>
          <cell r="P440"/>
          <cell r="Q440">
            <v>800</v>
          </cell>
          <cell r="R440"/>
          <cell r="S440"/>
          <cell r="T440">
            <v>800</v>
          </cell>
          <cell r="U440"/>
          <cell r="V440"/>
          <cell r="W440">
            <v>800</v>
          </cell>
          <cell r="X440"/>
          <cell r="Y440"/>
          <cell r="Z440">
            <v>800</v>
          </cell>
          <cell r="AA440"/>
          <cell r="AB440"/>
          <cell r="AC440">
            <v>800</v>
          </cell>
          <cell r="AD440"/>
          <cell r="AE440"/>
          <cell r="AF440">
            <v>800</v>
          </cell>
          <cell r="AG440"/>
          <cell r="AH440"/>
          <cell r="AI440">
            <v>800</v>
          </cell>
          <cell r="AJ440"/>
          <cell r="AK440"/>
          <cell r="AL440">
            <v>800</v>
          </cell>
          <cell r="AM440"/>
          <cell r="AN440"/>
          <cell r="AO440">
            <v>800</v>
          </cell>
        </row>
        <row r="441">
          <cell r="A441" t="str">
            <v>Papeterie</v>
          </cell>
          <cell r="C441"/>
          <cell r="D441"/>
          <cell r="E441">
            <v>12000</v>
          </cell>
          <cell r="F441"/>
          <cell r="G441"/>
          <cell r="H441">
            <v>1000</v>
          </cell>
          <cell r="I441"/>
          <cell r="J441"/>
          <cell r="K441">
            <v>1000</v>
          </cell>
          <cell r="L441"/>
          <cell r="M441"/>
          <cell r="N441">
            <v>1000</v>
          </cell>
          <cell r="O441"/>
          <cell r="P441"/>
          <cell r="Q441">
            <v>1000</v>
          </cell>
          <cell r="R441"/>
          <cell r="S441"/>
          <cell r="T441">
            <v>1000</v>
          </cell>
          <cell r="U441"/>
          <cell r="V441"/>
          <cell r="W441">
            <v>1000</v>
          </cell>
          <cell r="X441"/>
          <cell r="Y441"/>
          <cell r="Z441">
            <v>1000</v>
          </cell>
          <cell r="AA441"/>
          <cell r="AB441"/>
          <cell r="AC441">
            <v>1000</v>
          </cell>
          <cell r="AD441"/>
          <cell r="AE441"/>
          <cell r="AF441">
            <v>1000</v>
          </cell>
          <cell r="AG441"/>
          <cell r="AH441"/>
          <cell r="AI441">
            <v>1000</v>
          </cell>
          <cell r="AJ441"/>
          <cell r="AK441"/>
          <cell r="AL441">
            <v>1000</v>
          </cell>
          <cell r="AM441"/>
          <cell r="AN441"/>
          <cell r="AO441">
            <v>1000</v>
          </cell>
        </row>
        <row r="442">
          <cell r="A442" t="str">
            <v>Téléphone</v>
          </cell>
          <cell r="C442"/>
          <cell r="D442"/>
          <cell r="E442">
            <v>18743.999999999996</v>
          </cell>
          <cell r="F442"/>
          <cell r="G442"/>
          <cell r="H442">
            <v>1561.9999999999995</v>
          </cell>
          <cell r="I442"/>
          <cell r="J442"/>
          <cell r="K442">
            <v>1561.9999999999995</v>
          </cell>
          <cell r="L442"/>
          <cell r="M442"/>
          <cell r="N442">
            <v>1561.9999999999995</v>
          </cell>
          <cell r="O442"/>
          <cell r="P442"/>
          <cell r="Q442">
            <v>1561.9999999999995</v>
          </cell>
          <cell r="R442"/>
          <cell r="S442"/>
          <cell r="T442">
            <v>1561.9999999999995</v>
          </cell>
          <cell r="U442"/>
          <cell r="V442"/>
          <cell r="W442">
            <v>1561.9999999999995</v>
          </cell>
          <cell r="X442"/>
          <cell r="Y442"/>
          <cell r="Z442">
            <v>1561.9999999999995</v>
          </cell>
          <cell r="AA442"/>
          <cell r="AB442"/>
          <cell r="AC442">
            <v>1561.9999999999995</v>
          </cell>
          <cell r="AD442"/>
          <cell r="AE442"/>
          <cell r="AF442">
            <v>1561.9999999999995</v>
          </cell>
          <cell r="AG442"/>
          <cell r="AH442"/>
          <cell r="AI442">
            <v>1561.9999999999995</v>
          </cell>
          <cell r="AJ442"/>
          <cell r="AK442"/>
          <cell r="AL442">
            <v>1561.9999999999995</v>
          </cell>
          <cell r="AM442"/>
          <cell r="AN442"/>
          <cell r="AO442">
            <v>1561.9999999999995</v>
          </cell>
        </row>
        <row r="443">
          <cell r="A443" t="str">
            <v>Frais postaux</v>
          </cell>
          <cell r="C443"/>
          <cell r="D443"/>
          <cell r="E443">
            <v>6800.0000000000009</v>
          </cell>
          <cell r="F443"/>
          <cell r="G443"/>
          <cell r="H443">
            <v>566.66666666666663</v>
          </cell>
          <cell r="I443"/>
          <cell r="J443"/>
          <cell r="K443">
            <v>566.66666666666663</v>
          </cell>
          <cell r="L443"/>
          <cell r="M443"/>
          <cell r="N443">
            <v>566.66666666666663</v>
          </cell>
          <cell r="O443"/>
          <cell r="P443"/>
          <cell r="Q443">
            <v>566.66666666666663</v>
          </cell>
          <cell r="R443"/>
          <cell r="S443"/>
          <cell r="T443">
            <v>566.66666666666663</v>
          </cell>
          <cell r="U443"/>
          <cell r="V443"/>
          <cell r="W443">
            <v>566.66666666666663</v>
          </cell>
          <cell r="X443"/>
          <cell r="Y443"/>
          <cell r="Z443">
            <v>566.66666666666663</v>
          </cell>
          <cell r="AA443"/>
          <cell r="AB443"/>
          <cell r="AC443">
            <v>566.66666666666663</v>
          </cell>
          <cell r="AD443"/>
          <cell r="AE443"/>
          <cell r="AF443">
            <v>566.66666666666663</v>
          </cell>
          <cell r="AG443"/>
          <cell r="AH443"/>
          <cell r="AI443">
            <v>566.66666666666663</v>
          </cell>
          <cell r="AJ443"/>
          <cell r="AK443"/>
          <cell r="AL443">
            <v>566.66666666666663</v>
          </cell>
          <cell r="AM443"/>
          <cell r="AN443"/>
          <cell r="AO443">
            <v>566.66666666666663</v>
          </cell>
        </row>
        <row r="444">
          <cell r="A444" t="str">
            <v>Divers</v>
          </cell>
          <cell r="C444"/>
          <cell r="D444"/>
          <cell r="E444">
            <v>43341</v>
          </cell>
          <cell r="F444"/>
          <cell r="G444"/>
          <cell r="H444">
            <v>3611.75</v>
          </cell>
          <cell r="I444"/>
          <cell r="J444"/>
          <cell r="K444">
            <v>3611.75</v>
          </cell>
          <cell r="L444"/>
          <cell r="M444"/>
          <cell r="N444">
            <v>3611.75</v>
          </cell>
          <cell r="O444"/>
          <cell r="P444"/>
          <cell r="Q444">
            <v>3611.75</v>
          </cell>
          <cell r="R444"/>
          <cell r="S444"/>
          <cell r="T444">
            <v>3611.75</v>
          </cell>
          <cell r="U444"/>
          <cell r="V444"/>
          <cell r="W444">
            <v>3611.75</v>
          </cell>
          <cell r="X444"/>
          <cell r="Y444"/>
          <cell r="Z444">
            <v>3611.75</v>
          </cell>
          <cell r="AA444"/>
          <cell r="AB444"/>
          <cell r="AC444">
            <v>3611.75</v>
          </cell>
          <cell r="AD444"/>
          <cell r="AE444"/>
          <cell r="AF444">
            <v>3611.75</v>
          </cell>
          <cell r="AG444"/>
          <cell r="AH444"/>
          <cell r="AI444">
            <v>3611.75</v>
          </cell>
          <cell r="AJ444"/>
          <cell r="AK444"/>
          <cell r="AL444">
            <v>3611.75</v>
          </cell>
          <cell r="AM444"/>
          <cell r="AN444"/>
          <cell r="AO444">
            <v>3611.75</v>
          </cell>
        </row>
        <row r="445">
          <cell r="A445" t="str">
            <v>Formation</v>
          </cell>
          <cell r="C445"/>
          <cell r="D445"/>
          <cell r="E445">
            <v>79000</v>
          </cell>
          <cell r="F445"/>
          <cell r="G445"/>
          <cell r="H445">
            <v>6583.3333333333339</v>
          </cell>
          <cell r="I445"/>
          <cell r="J445"/>
          <cell r="K445">
            <v>6583.3333333333339</v>
          </cell>
          <cell r="L445"/>
          <cell r="M445"/>
          <cell r="N445">
            <v>6583.3333333333339</v>
          </cell>
          <cell r="O445"/>
          <cell r="P445"/>
          <cell r="Q445">
            <v>6583.3333333333339</v>
          </cell>
          <cell r="R445"/>
          <cell r="S445"/>
          <cell r="T445">
            <v>6583.3333333333339</v>
          </cell>
          <cell r="U445"/>
          <cell r="V445"/>
          <cell r="W445">
            <v>6583.3333333333339</v>
          </cell>
          <cell r="X445"/>
          <cell r="Y445"/>
          <cell r="Z445">
            <v>6583.3333333333339</v>
          </cell>
          <cell r="AA445"/>
          <cell r="AB445"/>
          <cell r="AC445">
            <v>6583.3333333333339</v>
          </cell>
          <cell r="AD445"/>
          <cell r="AE445"/>
          <cell r="AF445">
            <v>6583.3333333333339</v>
          </cell>
          <cell r="AG445"/>
          <cell r="AH445"/>
          <cell r="AI445">
            <v>6583.3333333333339</v>
          </cell>
          <cell r="AJ445"/>
          <cell r="AK445"/>
          <cell r="AL445">
            <v>6583.3333333333339</v>
          </cell>
          <cell r="AM445"/>
          <cell r="AN445"/>
          <cell r="AO445">
            <v>6583.3333333333339</v>
          </cell>
        </row>
        <row r="446">
          <cell r="A446" t="str">
            <v>Frais bancaires</v>
          </cell>
          <cell r="C446"/>
          <cell r="D446"/>
          <cell r="E446">
            <v>119226.06271149387</v>
          </cell>
          <cell r="F446"/>
          <cell r="G446"/>
          <cell r="H446">
            <v>6305.1356365735246</v>
          </cell>
          <cell r="I446"/>
          <cell r="J446"/>
          <cell r="K446">
            <v>7312.337139829342</v>
          </cell>
          <cell r="L446"/>
          <cell r="M446"/>
          <cell r="N446">
            <v>11442.042127690056</v>
          </cell>
          <cell r="O446"/>
          <cell r="P446"/>
          <cell r="Q446">
            <v>10971.741323262882</v>
          </cell>
          <cell r="R446"/>
          <cell r="S446"/>
          <cell r="T446">
            <v>11521.545116667305</v>
          </cell>
          <cell r="U446"/>
          <cell r="V446"/>
          <cell r="W446">
            <v>11422.271385214797</v>
          </cell>
          <cell r="X446"/>
          <cell r="Y446"/>
          <cell r="Z446">
            <v>9509.2931054851288</v>
          </cell>
          <cell r="AA446"/>
          <cell r="AB446"/>
          <cell r="AC446">
            <v>10054.28471226912</v>
          </cell>
          <cell r="AD446"/>
          <cell r="AE446"/>
          <cell r="AF446">
            <v>10341.821814556268</v>
          </cell>
          <cell r="AG446"/>
          <cell r="AH446"/>
          <cell r="AI446">
            <v>11338.183111970773</v>
          </cell>
          <cell r="AJ446"/>
          <cell r="AK446"/>
          <cell r="AL446">
            <v>10385.042110102369</v>
          </cell>
          <cell r="AM446"/>
          <cell r="AN446"/>
          <cell r="AO446">
            <v>8622.36512787229</v>
          </cell>
        </row>
        <row r="447">
          <cell r="A447" t="str">
            <v>[...]</v>
          </cell>
          <cell r="C447"/>
          <cell r="D447"/>
          <cell r="E447">
            <v>0</v>
          </cell>
          <cell r="F447"/>
          <cell r="G447"/>
          <cell r="H447">
            <v>0</v>
          </cell>
          <cell r="I447"/>
          <cell r="J447"/>
          <cell r="K447">
            <v>0</v>
          </cell>
          <cell r="L447"/>
          <cell r="M447"/>
          <cell r="N447">
            <v>0</v>
          </cell>
          <cell r="O447"/>
          <cell r="P447"/>
          <cell r="Q447">
            <v>0</v>
          </cell>
          <cell r="R447"/>
          <cell r="S447"/>
          <cell r="T447">
            <v>0</v>
          </cell>
          <cell r="U447"/>
          <cell r="V447"/>
          <cell r="W447">
            <v>0</v>
          </cell>
          <cell r="X447"/>
          <cell r="Y447"/>
          <cell r="Z447">
            <v>0</v>
          </cell>
          <cell r="AA447"/>
          <cell r="AB447"/>
          <cell r="AC447">
            <v>0</v>
          </cell>
          <cell r="AD447"/>
          <cell r="AE447"/>
          <cell r="AF447">
            <v>0</v>
          </cell>
          <cell r="AG447"/>
          <cell r="AH447"/>
          <cell r="AI447">
            <v>0</v>
          </cell>
          <cell r="AJ447"/>
          <cell r="AK447"/>
          <cell r="AL447">
            <v>0</v>
          </cell>
          <cell r="AM447"/>
          <cell r="AN447"/>
          <cell r="AO447">
            <v>0</v>
          </cell>
        </row>
        <row r="448">
          <cell r="A448" t="str">
            <v>[...]</v>
          </cell>
          <cell r="C448"/>
          <cell r="D448"/>
          <cell r="E448">
            <v>0</v>
          </cell>
          <cell r="F448"/>
          <cell r="G448"/>
          <cell r="H448">
            <v>0</v>
          </cell>
          <cell r="I448"/>
          <cell r="J448"/>
          <cell r="K448">
            <v>0</v>
          </cell>
          <cell r="L448"/>
          <cell r="M448"/>
          <cell r="N448">
            <v>0</v>
          </cell>
          <cell r="O448"/>
          <cell r="P448"/>
          <cell r="Q448">
            <v>0</v>
          </cell>
          <cell r="R448"/>
          <cell r="S448"/>
          <cell r="T448">
            <v>0</v>
          </cell>
          <cell r="U448"/>
          <cell r="V448"/>
          <cell r="W448">
            <v>0</v>
          </cell>
          <cell r="X448"/>
          <cell r="Y448"/>
          <cell r="Z448">
            <v>0</v>
          </cell>
          <cell r="AA448"/>
          <cell r="AB448"/>
          <cell r="AC448">
            <v>0</v>
          </cell>
          <cell r="AD448"/>
          <cell r="AE448"/>
          <cell r="AF448">
            <v>0</v>
          </cell>
          <cell r="AG448"/>
          <cell r="AH448"/>
          <cell r="AI448">
            <v>0</v>
          </cell>
          <cell r="AJ448"/>
          <cell r="AK448"/>
          <cell r="AL448">
            <v>0</v>
          </cell>
          <cell r="AM448"/>
          <cell r="AN448"/>
          <cell r="AO448">
            <v>0</v>
          </cell>
        </row>
        <row r="449">
          <cell r="A449" t="str">
            <v>[...]</v>
          </cell>
          <cell r="C449"/>
          <cell r="D449"/>
          <cell r="E449">
            <v>0</v>
          </cell>
          <cell r="F449"/>
          <cell r="G449"/>
          <cell r="H449">
            <v>0</v>
          </cell>
          <cell r="I449"/>
          <cell r="J449"/>
          <cell r="K449">
            <v>0</v>
          </cell>
          <cell r="L449"/>
          <cell r="M449"/>
          <cell r="N449">
            <v>0</v>
          </cell>
          <cell r="O449"/>
          <cell r="P449"/>
          <cell r="Q449">
            <v>0</v>
          </cell>
          <cell r="R449"/>
          <cell r="S449"/>
          <cell r="T449">
            <v>0</v>
          </cell>
          <cell r="U449"/>
          <cell r="V449"/>
          <cell r="W449">
            <v>0</v>
          </cell>
          <cell r="X449"/>
          <cell r="Y449"/>
          <cell r="Z449">
            <v>0</v>
          </cell>
          <cell r="AA449"/>
          <cell r="AB449"/>
          <cell r="AC449">
            <v>0</v>
          </cell>
          <cell r="AD449"/>
          <cell r="AE449"/>
          <cell r="AF449">
            <v>0</v>
          </cell>
          <cell r="AG449"/>
          <cell r="AH449"/>
          <cell r="AI449">
            <v>0</v>
          </cell>
          <cell r="AJ449"/>
          <cell r="AK449"/>
          <cell r="AL449">
            <v>0</v>
          </cell>
          <cell r="AM449"/>
          <cell r="AN449"/>
          <cell r="AO449">
            <v>0</v>
          </cell>
        </row>
        <row r="450">
          <cell r="A450" t="str">
            <v>TOTAL SEMI-FIXES</v>
          </cell>
          <cell r="C450">
            <v>0.27316113692439481</v>
          </cell>
          <cell r="D450"/>
          <cell r="E450">
            <v>1604861.1027114936</v>
          </cell>
          <cell r="F450">
            <v>0.30880540533875239</v>
          </cell>
          <cell r="G450"/>
          <cell r="H450">
            <v>110744.8090960152</v>
          </cell>
          <cell r="I450">
            <v>0.32709168197124822</v>
          </cell>
          <cell r="J450"/>
          <cell r="K450">
            <v>109785.92902264536</v>
          </cell>
          <cell r="L450">
            <v>0.26939348414491038</v>
          </cell>
          <cell r="M450"/>
          <cell r="N450">
            <v>135213.12392752612</v>
          </cell>
          <cell r="O450">
            <v>0.26542584579226497</v>
          </cell>
          <cell r="P450"/>
          <cell r="Q450">
            <v>148639.82229793869</v>
          </cell>
          <cell r="R450">
            <v>0.25960510441114115</v>
          </cell>
          <cell r="S450"/>
          <cell r="T450">
            <v>150974.85602715577</v>
          </cell>
          <cell r="U450">
            <v>0.26320922225000881</v>
          </cell>
          <cell r="V450"/>
          <cell r="W450">
            <v>141759.50270459955</v>
          </cell>
          <cell r="X450">
            <v>0.28553717181757982</v>
          </cell>
          <cell r="Y450"/>
          <cell r="Z450">
            <v>128676.33517685119</v>
          </cell>
          <cell r="AA450">
            <v>0.28200180373820283</v>
          </cell>
          <cell r="AB450"/>
          <cell r="AC450">
            <v>130071.19797921297</v>
          </cell>
          <cell r="AD450">
            <v>0.28339625514886496</v>
          </cell>
          <cell r="AE450"/>
          <cell r="AF450">
            <v>130939.6173566487</v>
          </cell>
          <cell r="AG450">
            <v>0.24818142617220848</v>
          </cell>
          <cell r="AH450"/>
          <cell r="AI450">
            <v>150584.82984859109</v>
          </cell>
          <cell r="AJ450">
            <v>0.25112186023414768</v>
          </cell>
          <cell r="AK450"/>
          <cell r="AL450">
            <v>152060.48632236911</v>
          </cell>
          <cell r="AM450">
            <v>0.27970481265659919</v>
          </cell>
          <cell r="AN450"/>
          <cell r="AO450">
            <v>115410.59295194014</v>
          </cell>
        </row>
        <row r="451">
          <cell r="A451" t="str">
            <v>Loyer</v>
          </cell>
          <cell r="C451"/>
          <cell r="D451"/>
          <cell r="E451">
            <v>567434.15999999992</v>
          </cell>
          <cell r="F451"/>
          <cell r="G451"/>
          <cell r="H451">
            <v>46818</v>
          </cell>
          <cell r="I451"/>
          <cell r="J451"/>
          <cell r="K451">
            <v>46818</v>
          </cell>
          <cell r="L451"/>
          <cell r="M451"/>
          <cell r="N451">
            <v>46818</v>
          </cell>
          <cell r="O451"/>
          <cell r="P451"/>
          <cell r="Q451">
            <v>46818</v>
          </cell>
          <cell r="R451"/>
          <cell r="S451"/>
          <cell r="T451">
            <v>46818</v>
          </cell>
          <cell r="U451"/>
          <cell r="V451"/>
          <cell r="W451">
            <v>46818</v>
          </cell>
          <cell r="X451"/>
          <cell r="Y451"/>
          <cell r="Z451">
            <v>47754.36</v>
          </cell>
          <cell r="AA451"/>
          <cell r="AB451"/>
          <cell r="AC451">
            <v>47754.36</v>
          </cell>
          <cell r="AD451"/>
          <cell r="AE451"/>
          <cell r="AF451">
            <v>47754.36</v>
          </cell>
          <cell r="AG451"/>
          <cell r="AH451"/>
          <cell r="AI451">
            <v>47754.36</v>
          </cell>
          <cell r="AJ451"/>
          <cell r="AK451"/>
          <cell r="AL451">
            <v>47754.36</v>
          </cell>
          <cell r="AM451"/>
          <cell r="AN451"/>
          <cell r="AO451">
            <v>47754.36</v>
          </cell>
        </row>
        <row r="452">
          <cell r="A452" t="str">
            <v>Taxes foncières</v>
          </cell>
          <cell r="C452"/>
          <cell r="D452"/>
          <cell r="E452">
            <v>96822.840000000026</v>
          </cell>
          <cell r="F452"/>
          <cell r="G452"/>
          <cell r="H452">
            <v>8068.57</v>
          </cell>
          <cell r="I452"/>
          <cell r="J452"/>
          <cell r="K452">
            <v>8068.57</v>
          </cell>
          <cell r="L452"/>
          <cell r="M452"/>
          <cell r="N452">
            <v>8068.57</v>
          </cell>
          <cell r="O452"/>
          <cell r="P452"/>
          <cell r="Q452">
            <v>8068.57</v>
          </cell>
          <cell r="R452"/>
          <cell r="S452"/>
          <cell r="T452">
            <v>8068.57</v>
          </cell>
          <cell r="U452"/>
          <cell r="V452"/>
          <cell r="W452">
            <v>8068.57</v>
          </cell>
          <cell r="X452"/>
          <cell r="Y452"/>
          <cell r="Z452">
            <v>8068.57</v>
          </cell>
          <cell r="AA452"/>
          <cell r="AB452"/>
          <cell r="AC452">
            <v>8068.57</v>
          </cell>
          <cell r="AD452"/>
          <cell r="AE452"/>
          <cell r="AF452">
            <v>8068.57</v>
          </cell>
          <cell r="AG452"/>
          <cell r="AH452"/>
          <cell r="AI452">
            <v>8068.57</v>
          </cell>
          <cell r="AJ452"/>
          <cell r="AK452"/>
          <cell r="AL452">
            <v>8068.57</v>
          </cell>
          <cell r="AM452"/>
          <cell r="AN452"/>
          <cell r="AO452">
            <v>8068.57</v>
          </cell>
        </row>
        <row r="453">
          <cell r="A453" t="str">
            <v>Taxes d`affaires</v>
          </cell>
          <cell r="C453"/>
          <cell r="D453"/>
          <cell r="E453">
            <v>30533.279999999995</v>
          </cell>
          <cell r="F453"/>
          <cell r="G453"/>
          <cell r="H453">
            <v>2544.44</v>
          </cell>
          <cell r="I453"/>
          <cell r="J453"/>
          <cell r="K453">
            <v>2544.44</v>
          </cell>
          <cell r="L453"/>
          <cell r="M453"/>
          <cell r="N453">
            <v>2544.44</v>
          </cell>
          <cell r="O453"/>
          <cell r="P453"/>
          <cell r="Q453">
            <v>2544.44</v>
          </cell>
          <cell r="R453"/>
          <cell r="S453"/>
          <cell r="T453">
            <v>2544.44</v>
          </cell>
          <cell r="U453"/>
          <cell r="V453"/>
          <cell r="W453">
            <v>2544.44</v>
          </cell>
          <cell r="X453"/>
          <cell r="Y453"/>
          <cell r="Z453">
            <v>2544.44</v>
          </cell>
          <cell r="AA453"/>
          <cell r="AB453"/>
          <cell r="AC453">
            <v>2544.44</v>
          </cell>
          <cell r="AD453"/>
          <cell r="AE453"/>
          <cell r="AF453">
            <v>2544.44</v>
          </cell>
          <cell r="AG453"/>
          <cell r="AH453"/>
          <cell r="AI453">
            <v>2544.44</v>
          </cell>
          <cell r="AJ453"/>
          <cell r="AK453"/>
          <cell r="AL453">
            <v>2544.44</v>
          </cell>
          <cell r="AM453"/>
          <cell r="AN453"/>
          <cell r="AO453">
            <v>2544.44</v>
          </cell>
        </row>
        <row r="454">
          <cell r="A454" t="str">
            <v>Taxe sur le capital</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Assurances</v>
          </cell>
          <cell r="C455"/>
          <cell r="D455"/>
          <cell r="E455">
            <v>107273.00000000001</v>
          </cell>
          <cell r="F455"/>
          <cell r="G455"/>
          <cell r="H455">
            <v>8939.4166666666661</v>
          </cell>
          <cell r="I455"/>
          <cell r="J455"/>
          <cell r="K455">
            <v>8939.4166666666661</v>
          </cell>
          <cell r="L455"/>
          <cell r="M455"/>
          <cell r="N455">
            <v>8939.4166666666661</v>
          </cell>
          <cell r="O455"/>
          <cell r="P455"/>
          <cell r="Q455">
            <v>8939.4166666666661</v>
          </cell>
          <cell r="R455"/>
          <cell r="S455"/>
          <cell r="T455">
            <v>8939.4166666666661</v>
          </cell>
          <cell r="U455"/>
          <cell r="V455"/>
          <cell r="W455">
            <v>8939.4166666666661</v>
          </cell>
          <cell r="X455"/>
          <cell r="Y455"/>
          <cell r="Z455">
            <v>8939.4166666666661</v>
          </cell>
          <cell r="AA455"/>
          <cell r="AB455"/>
          <cell r="AC455">
            <v>8939.4166666666661</v>
          </cell>
          <cell r="AD455"/>
          <cell r="AE455"/>
          <cell r="AF455">
            <v>8939.4166666666661</v>
          </cell>
          <cell r="AG455"/>
          <cell r="AH455"/>
          <cell r="AI455">
            <v>8939.4166666666661</v>
          </cell>
          <cell r="AJ455"/>
          <cell r="AK455"/>
          <cell r="AL455">
            <v>8939.4166666666661</v>
          </cell>
          <cell r="AM455"/>
          <cell r="AN455"/>
          <cell r="AO455">
            <v>8939.4166666666661</v>
          </cell>
        </row>
        <row r="456">
          <cell r="A456" t="str">
            <v>Chauffage, éclairage</v>
          </cell>
          <cell r="C456"/>
          <cell r="D456"/>
          <cell r="E456">
            <v>51000</v>
          </cell>
          <cell r="F456"/>
          <cell r="G456"/>
          <cell r="H456">
            <v>4250</v>
          </cell>
          <cell r="I456"/>
          <cell r="J456"/>
          <cell r="K456">
            <v>4250</v>
          </cell>
          <cell r="L456"/>
          <cell r="M456"/>
          <cell r="N456">
            <v>4250</v>
          </cell>
          <cell r="O456"/>
          <cell r="P456"/>
          <cell r="Q456">
            <v>4250</v>
          </cell>
          <cell r="R456"/>
          <cell r="S456"/>
          <cell r="T456">
            <v>4250</v>
          </cell>
          <cell r="U456"/>
          <cell r="V456"/>
          <cell r="W456">
            <v>4250</v>
          </cell>
          <cell r="X456"/>
          <cell r="Y456"/>
          <cell r="Z456">
            <v>4250</v>
          </cell>
          <cell r="AA456"/>
          <cell r="AB456"/>
          <cell r="AC456">
            <v>4250</v>
          </cell>
          <cell r="AD456"/>
          <cell r="AE456"/>
          <cell r="AF456">
            <v>4250</v>
          </cell>
          <cell r="AG456"/>
          <cell r="AH456"/>
          <cell r="AI456">
            <v>4250</v>
          </cell>
          <cell r="AJ456"/>
          <cell r="AK456"/>
          <cell r="AL456">
            <v>4250</v>
          </cell>
          <cell r="AM456"/>
          <cell r="AN456"/>
          <cell r="AO456">
            <v>4250</v>
          </cell>
        </row>
        <row r="457">
          <cell r="A457" t="str">
            <v>Honoraires</v>
          </cell>
          <cell r="C457"/>
          <cell r="D457"/>
          <cell r="E457">
            <v>92606.000000000044</v>
          </cell>
          <cell r="F457"/>
          <cell r="G457"/>
          <cell r="H457">
            <v>7717.1666666666679</v>
          </cell>
          <cell r="I457"/>
          <cell r="J457"/>
          <cell r="K457">
            <v>7717.1666666666679</v>
          </cell>
          <cell r="L457"/>
          <cell r="M457"/>
          <cell r="N457">
            <v>7717.1666666666679</v>
          </cell>
          <cell r="O457"/>
          <cell r="P457"/>
          <cell r="Q457">
            <v>7717.1666666666679</v>
          </cell>
          <cell r="R457"/>
          <cell r="S457"/>
          <cell r="T457">
            <v>7717.1666666666679</v>
          </cell>
          <cell r="U457"/>
          <cell r="V457"/>
          <cell r="W457">
            <v>7717.1666666666679</v>
          </cell>
          <cell r="X457"/>
          <cell r="Y457"/>
          <cell r="Z457">
            <v>7717.1666666666679</v>
          </cell>
          <cell r="AA457"/>
          <cell r="AB457"/>
          <cell r="AC457">
            <v>7717.1666666666679</v>
          </cell>
          <cell r="AD457"/>
          <cell r="AE457"/>
          <cell r="AF457">
            <v>7717.1666666666679</v>
          </cell>
          <cell r="AG457"/>
          <cell r="AH457"/>
          <cell r="AI457">
            <v>7717.1666666666679</v>
          </cell>
          <cell r="AJ457"/>
          <cell r="AK457"/>
          <cell r="AL457">
            <v>7717.1666666666679</v>
          </cell>
          <cell r="AM457"/>
          <cell r="AN457"/>
          <cell r="AO457">
            <v>7717.1666666666679</v>
          </cell>
        </row>
        <row r="458">
          <cell r="A458" t="str">
            <v>Réparation équipement</v>
          </cell>
          <cell r="C458"/>
          <cell r="D458"/>
          <cell r="E458">
            <v>10000</v>
          </cell>
          <cell r="F458"/>
          <cell r="G458"/>
          <cell r="H458">
            <v>833.33333333333337</v>
          </cell>
          <cell r="I458"/>
          <cell r="J458"/>
          <cell r="K458">
            <v>833.33333333333337</v>
          </cell>
          <cell r="L458"/>
          <cell r="M458"/>
          <cell r="N458">
            <v>833.33333333333337</v>
          </cell>
          <cell r="O458"/>
          <cell r="P458"/>
          <cell r="Q458">
            <v>833.33333333333337</v>
          </cell>
          <cell r="R458"/>
          <cell r="S458"/>
          <cell r="T458">
            <v>833.33333333333337</v>
          </cell>
          <cell r="U458"/>
          <cell r="V458"/>
          <cell r="W458">
            <v>833.33333333333337</v>
          </cell>
          <cell r="X458"/>
          <cell r="Y458"/>
          <cell r="Z458">
            <v>833.33333333333337</v>
          </cell>
          <cell r="AA458"/>
          <cell r="AB458"/>
          <cell r="AC458">
            <v>833.33333333333337</v>
          </cell>
          <cell r="AD458"/>
          <cell r="AE458"/>
          <cell r="AF458">
            <v>833.33333333333337</v>
          </cell>
          <cell r="AG458"/>
          <cell r="AH458"/>
          <cell r="AI458">
            <v>833.33333333333337</v>
          </cell>
          <cell r="AJ458"/>
          <cell r="AK458"/>
          <cell r="AL458">
            <v>833.33333333333337</v>
          </cell>
          <cell r="AM458"/>
          <cell r="AN458"/>
          <cell r="AO458">
            <v>833.33333333333337</v>
          </cell>
        </row>
        <row r="459">
          <cell r="A459" t="str">
            <v>Location équipement</v>
          </cell>
          <cell r="C459"/>
          <cell r="D459"/>
          <cell r="E459">
            <v>13950</v>
          </cell>
          <cell r="F459"/>
          <cell r="G459"/>
          <cell r="H459">
            <v>1162.5</v>
          </cell>
          <cell r="I459"/>
          <cell r="J459"/>
          <cell r="K459">
            <v>1162.5</v>
          </cell>
          <cell r="L459"/>
          <cell r="M459"/>
          <cell r="N459">
            <v>1162.5</v>
          </cell>
          <cell r="O459"/>
          <cell r="P459"/>
          <cell r="Q459">
            <v>1162.5</v>
          </cell>
          <cell r="R459"/>
          <cell r="S459"/>
          <cell r="T459">
            <v>1162.5</v>
          </cell>
          <cell r="U459"/>
          <cell r="V459"/>
          <cell r="W459">
            <v>1162.5</v>
          </cell>
          <cell r="X459"/>
          <cell r="Y459"/>
          <cell r="Z459">
            <v>1162.5</v>
          </cell>
          <cell r="AA459"/>
          <cell r="AB459"/>
          <cell r="AC459">
            <v>1162.5</v>
          </cell>
          <cell r="AD459"/>
          <cell r="AE459"/>
          <cell r="AF459">
            <v>1162.5</v>
          </cell>
          <cell r="AG459"/>
          <cell r="AH459"/>
          <cell r="AI459">
            <v>1162.5</v>
          </cell>
          <cell r="AJ459"/>
          <cell r="AK459"/>
          <cell r="AL459">
            <v>1162.5</v>
          </cell>
          <cell r="AM459"/>
          <cell r="AN459"/>
          <cell r="AO459">
            <v>1162.5</v>
          </cell>
        </row>
        <row r="460">
          <cell r="A460" t="str">
            <v>Dons</v>
          </cell>
          <cell r="C460"/>
          <cell r="D460"/>
          <cell r="E460">
            <v>0</v>
          </cell>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row>
        <row r="461">
          <cell r="A461" t="str">
            <v>[...]</v>
          </cell>
          <cell r="C461"/>
          <cell r="D461"/>
          <cell r="E461">
            <v>0</v>
          </cell>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row>
        <row r="462">
          <cell r="A462" t="str">
            <v>[...]</v>
          </cell>
          <cell r="C462"/>
          <cell r="D462"/>
          <cell r="E462">
            <v>0</v>
          </cell>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row>
        <row r="463">
          <cell r="A463" t="str">
            <v>[...]</v>
          </cell>
          <cell r="C463"/>
          <cell r="D463"/>
          <cell r="E463">
            <v>0</v>
          </cell>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row>
        <row r="464">
          <cell r="A464" t="str">
            <v>TOTAL DÉPENSES FIXES</v>
          </cell>
          <cell r="C464">
            <v>0.16503752534167282</v>
          </cell>
          <cell r="D464"/>
          <cell r="E464">
            <v>969619.28</v>
          </cell>
          <cell r="F464">
            <v>0.22400504896390269</v>
          </cell>
          <cell r="G464"/>
          <cell r="H464">
            <v>80333.426666666666</v>
          </cell>
          <cell r="I464">
            <v>0.23934210768935549</v>
          </cell>
          <cell r="J464"/>
          <cell r="K464">
            <v>80333.426666666666</v>
          </cell>
          <cell r="L464">
            <v>0.16005326313319015</v>
          </cell>
          <cell r="M464"/>
          <cell r="N464">
            <v>80333.426666666666</v>
          </cell>
          <cell r="O464">
            <v>0.14345124603049655</v>
          </cell>
          <cell r="P464"/>
          <cell r="Q464">
            <v>80333.426666666666</v>
          </cell>
          <cell r="R464">
            <v>0.13813537012913979</v>
          </cell>
          <cell r="S464"/>
          <cell r="T464">
            <v>80333.426666666666</v>
          </cell>
          <cell r="U464">
            <v>0.14915754041316479</v>
          </cell>
          <cell r="V464"/>
          <cell r="W464">
            <v>80333.426666666666</v>
          </cell>
          <cell r="X464">
            <v>0.18034042551122267</v>
          </cell>
          <cell r="Y464"/>
          <cell r="Z464">
            <v>81269.786666666667</v>
          </cell>
          <cell r="AA464">
            <v>0.1761975501531213</v>
          </cell>
          <cell r="AB464"/>
          <cell r="AC464">
            <v>81269.786666666667</v>
          </cell>
          <cell r="AD464">
            <v>0.17589445931667846</v>
          </cell>
          <cell r="AE464"/>
          <cell r="AF464">
            <v>81269.786666666667</v>
          </cell>
          <cell r="AG464">
            <v>0.13394212139379841</v>
          </cell>
          <cell r="AH464"/>
          <cell r="AI464">
            <v>81269.786666666667</v>
          </cell>
          <cell r="AJ464">
            <v>0.13421382833998882</v>
          </cell>
          <cell r="AK464"/>
          <cell r="AL464">
            <v>81269.786666666667</v>
          </cell>
          <cell r="AM464">
            <v>0.19696242669602926</v>
          </cell>
          <cell r="AN464"/>
          <cell r="AO464">
            <v>81269.786666666667</v>
          </cell>
        </row>
        <row r="465">
          <cell r="A465">
            <v>0</v>
          </cell>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TOTAL DES DÉPENSES</v>
          </cell>
          <cell r="C466">
            <v>1.0759067314051796</v>
          </cell>
          <cell r="D466"/>
          <cell r="E466">
            <v>6321107.3244857071</v>
          </cell>
          <cell r="F466">
            <v>1.272074696442421</v>
          </cell>
          <cell r="G466"/>
          <cell r="H466">
            <v>456195.60725904407</v>
          </cell>
          <cell r="I466">
            <v>1.3087150659268354</v>
          </cell>
          <cell r="J466"/>
          <cell r="K466">
            <v>439260.63320478972</v>
          </cell>
          <cell r="L466">
            <v>1.0755879612077601</v>
          </cell>
          <cell r="M466"/>
          <cell r="N466">
            <v>539855.70124446414</v>
          </cell>
          <cell r="O466">
            <v>0.98668032864717969</v>
          </cell>
          <cell r="P466"/>
          <cell r="Q466">
            <v>552545.99746014073</v>
          </cell>
          <cell r="R466">
            <v>0.97862974005097225</v>
          </cell>
          <cell r="S466"/>
          <cell r="T466">
            <v>569127.80834269163</v>
          </cell>
          <cell r="U466">
            <v>1.0381315887655875</v>
          </cell>
          <cell r="V466"/>
          <cell r="W466">
            <v>559118.01458674239</v>
          </cell>
          <cell r="X466">
            <v>1.1542285296362369</v>
          </cell>
          <cell r="Y466"/>
          <cell r="Z466">
            <v>520149.07973187545</v>
          </cell>
          <cell r="AA466">
            <v>1.1488129176634854</v>
          </cell>
          <cell r="AB466"/>
          <cell r="AC466">
            <v>529881.26484895078</v>
          </cell>
          <cell r="AD466">
            <v>1.1610683793779109</v>
          </cell>
          <cell r="AE466"/>
          <cell r="AF466">
            <v>536456.80406323029</v>
          </cell>
          <cell r="AG466">
            <v>0.92314608964515132</v>
          </cell>
          <cell r="AH466"/>
          <cell r="AI466">
            <v>560121.67783317366</v>
          </cell>
          <cell r="AJ466">
            <v>0.9117399585541327</v>
          </cell>
          <cell r="AK466"/>
          <cell r="AL466">
            <v>552081.05486320297</v>
          </cell>
          <cell r="AM466">
            <v>1.2270829711602818</v>
          </cell>
          <cell r="AN466"/>
          <cell r="AO466">
            <v>506313.68104740162</v>
          </cell>
        </row>
        <row r="467">
          <cell r="A467" t="str">
            <v>Revenus autres</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Holdbacks</v>
          </cell>
          <cell r="C468"/>
          <cell r="D468"/>
          <cell r="E468">
            <v>0</v>
          </cell>
          <cell r="F468"/>
          <cell r="G468"/>
          <cell r="H468">
            <v>0</v>
          </cell>
          <cell r="I468"/>
          <cell r="J468"/>
          <cell r="K468">
            <v>0</v>
          </cell>
          <cell r="L468"/>
          <cell r="M468"/>
          <cell r="N468">
            <v>0</v>
          </cell>
          <cell r="O468"/>
          <cell r="P468"/>
          <cell r="Q468">
            <v>0</v>
          </cell>
          <cell r="R468"/>
          <cell r="S468"/>
          <cell r="T468">
            <v>0</v>
          </cell>
          <cell r="U468"/>
          <cell r="V468"/>
          <cell r="W468">
            <v>0</v>
          </cell>
          <cell r="X468"/>
          <cell r="Y468"/>
          <cell r="Z468">
            <v>0</v>
          </cell>
          <cell r="AA468"/>
          <cell r="AB468"/>
          <cell r="AC468">
            <v>0</v>
          </cell>
          <cell r="AD468"/>
          <cell r="AE468"/>
          <cell r="AF468">
            <v>0</v>
          </cell>
          <cell r="AG468"/>
          <cell r="AH468"/>
          <cell r="AI468">
            <v>0</v>
          </cell>
          <cell r="AJ468"/>
          <cell r="AK468"/>
          <cell r="AL468">
            <v>0</v>
          </cell>
          <cell r="AM468"/>
          <cell r="AN468"/>
          <cell r="AO468">
            <v>0</v>
          </cell>
        </row>
        <row r="469">
          <cell r="A469" t="str">
            <v>Business Builder Neuf</v>
          </cell>
          <cell r="C469"/>
          <cell r="D469"/>
          <cell r="E469">
            <v>630048.16001479386</v>
          </cell>
          <cell r="F469"/>
          <cell r="G469"/>
          <cell r="H469">
            <v>33127.675091063567</v>
          </cell>
          <cell r="I469"/>
          <cell r="J469"/>
          <cell r="K469">
            <v>27220.652137782014</v>
          </cell>
          <cell r="L469"/>
          <cell r="M469"/>
          <cell r="N469">
            <v>54029.844252697229</v>
          </cell>
          <cell r="O469"/>
          <cell r="P469"/>
          <cell r="Q469">
            <v>57676.408705354261</v>
          </cell>
          <cell r="R469"/>
          <cell r="S469"/>
          <cell r="T469">
            <v>62644.788481470932</v>
          </cell>
          <cell r="U469"/>
          <cell r="V469"/>
          <cell r="W469">
            <v>62961.098374049798</v>
          </cell>
          <cell r="X469"/>
          <cell r="Y469"/>
          <cell r="Z469">
            <v>49159.186232011431</v>
          </cell>
          <cell r="AA469"/>
          <cell r="AB469"/>
          <cell r="AC469">
            <v>54590.458533853249</v>
          </cell>
          <cell r="AD469"/>
          <cell r="AE469"/>
          <cell r="AF469">
            <v>57892.425217359341</v>
          </cell>
          <cell r="AG469"/>
          <cell r="AH469"/>
          <cell r="AI469">
            <v>62860.804993476013</v>
          </cell>
          <cell r="AJ469"/>
          <cell r="AK469"/>
          <cell r="AL469">
            <v>55878.842730454926</v>
          </cell>
          <cell r="AM469"/>
          <cell r="AN469"/>
          <cell r="AO469">
            <v>52005.975265221125</v>
          </cell>
        </row>
        <row r="470">
          <cell r="A470" t="str">
            <v>Facility  Bonus</v>
          </cell>
          <cell r="C470"/>
          <cell r="D470"/>
          <cell r="E470">
            <v>851416.43245242408</v>
          </cell>
          <cell r="F470"/>
          <cell r="G470"/>
          <cell r="H470">
            <v>44767.128501437262</v>
          </cell>
          <cell r="I470"/>
          <cell r="J470"/>
          <cell r="K470">
            <v>36784.665051056785</v>
          </cell>
          <cell r="L470"/>
          <cell r="M470"/>
          <cell r="N470">
            <v>73013.303044185421</v>
          </cell>
          <cell r="O470"/>
          <cell r="P470"/>
          <cell r="Q470">
            <v>77941.092845073319</v>
          </cell>
          <cell r="R470"/>
          <cell r="S470"/>
          <cell r="T470">
            <v>84655.119569555318</v>
          </cell>
          <cell r="U470"/>
          <cell r="V470"/>
          <cell r="W470">
            <v>85082.565370337557</v>
          </cell>
          <cell r="X470"/>
          <cell r="Y470"/>
          <cell r="Z470">
            <v>66431.332745961394</v>
          </cell>
          <cell r="AA470"/>
          <cell r="AB470"/>
          <cell r="AC470">
            <v>73770.889910612503</v>
          </cell>
          <cell r="AD470"/>
          <cell r="AE470"/>
          <cell r="AF470">
            <v>78233.007050485598</v>
          </cell>
          <cell r="AG470"/>
          <cell r="AH470"/>
          <cell r="AI470">
            <v>84947.033774967582</v>
          </cell>
          <cell r="AJ470"/>
          <cell r="AK470"/>
          <cell r="AL470">
            <v>75511.949635749916</v>
          </cell>
          <cell r="AM470"/>
          <cell r="AN470"/>
          <cell r="AO470">
            <v>70278.34495300152</v>
          </cell>
        </row>
        <row r="471">
          <cell r="A471" t="str">
            <v>Programme neuf 3</v>
          </cell>
          <cell r="C471"/>
          <cell r="D471"/>
          <cell r="E471">
            <v>0</v>
          </cell>
          <cell r="F471"/>
          <cell r="G471"/>
          <cell r="H471">
            <v>0</v>
          </cell>
          <cell r="I471"/>
          <cell r="J471"/>
          <cell r="K471">
            <v>0</v>
          </cell>
          <cell r="L471"/>
          <cell r="M471"/>
          <cell r="N471">
            <v>0</v>
          </cell>
          <cell r="O471"/>
          <cell r="P471"/>
          <cell r="Q471">
            <v>0</v>
          </cell>
          <cell r="R471"/>
          <cell r="S471"/>
          <cell r="T471">
            <v>0</v>
          </cell>
          <cell r="U471"/>
          <cell r="V471"/>
          <cell r="W471">
            <v>0</v>
          </cell>
          <cell r="X471"/>
          <cell r="Y471"/>
          <cell r="Z471">
            <v>0</v>
          </cell>
          <cell r="AA471"/>
          <cell r="AB471"/>
          <cell r="AC471">
            <v>0</v>
          </cell>
          <cell r="AD471"/>
          <cell r="AE471"/>
          <cell r="AF471">
            <v>0</v>
          </cell>
          <cell r="AG471"/>
          <cell r="AH471"/>
          <cell r="AI471">
            <v>0</v>
          </cell>
          <cell r="AJ471"/>
          <cell r="AK471"/>
          <cell r="AL471">
            <v>0</v>
          </cell>
          <cell r="AM471"/>
          <cell r="AN471"/>
          <cell r="AO471">
            <v>0</v>
          </cell>
        </row>
        <row r="472">
          <cell r="A472" t="str">
            <v>Business Builder usagé</v>
          </cell>
          <cell r="C472"/>
          <cell r="D472"/>
          <cell r="E472">
            <v>204339.94378858182</v>
          </cell>
          <cell r="F472"/>
          <cell r="G472"/>
          <cell r="H472">
            <v>10744.110840344943</v>
          </cell>
          <cell r="I472"/>
          <cell r="J472"/>
          <cell r="K472">
            <v>8828.3196122536265</v>
          </cell>
          <cell r="L472"/>
          <cell r="M472"/>
          <cell r="N472">
            <v>17523.192730604504</v>
          </cell>
          <cell r="O472"/>
          <cell r="P472"/>
          <cell r="Q472">
            <v>18705.862282817598</v>
          </cell>
          <cell r="R472"/>
          <cell r="S472"/>
          <cell r="T472">
            <v>20317.228696693277</v>
          </cell>
          <cell r="U472"/>
          <cell r="V472"/>
          <cell r="W472">
            <v>20419.815688881015</v>
          </cell>
          <cell r="X472"/>
          <cell r="Y472"/>
          <cell r="Z472">
            <v>15943.519859030734</v>
          </cell>
          <cell r="AA472"/>
          <cell r="AB472"/>
          <cell r="AC472">
            <v>17705.013578547001</v>
          </cell>
          <cell r="AD472"/>
          <cell r="AE472"/>
          <cell r="AF472">
            <v>18775.921692116546</v>
          </cell>
          <cell r="AG472"/>
          <cell r="AH472"/>
          <cell r="AI472">
            <v>20387.288105992222</v>
          </cell>
          <cell r="AJ472"/>
          <cell r="AK472"/>
          <cell r="AL472">
            <v>18122.867912579979</v>
          </cell>
          <cell r="AM472"/>
          <cell r="AN472"/>
          <cell r="AO472">
            <v>16866.802788720368</v>
          </cell>
        </row>
        <row r="473">
          <cell r="A473" t="str">
            <v>Programme used 2</v>
          </cell>
          <cell r="C473"/>
          <cell r="D473"/>
          <cell r="E473">
            <v>0</v>
          </cell>
          <cell r="F473"/>
          <cell r="G473"/>
          <cell r="H473">
            <v>0</v>
          </cell>
          <cell r="I473"/>
          <cell r="J473"/>
          <cell r="K473">
            <v>0</v>
          </cell>
          <cell r="L473"/>
          <cell r="M473"/>
          <cell r="N473">
            <v>0</v>
          </cell>
          <cell r="O473"/>
          <cell r="P473"/>
          <cell r="Q473">
            <v>0</v>
          </cell>
          <cell r="R473"/>
          <cell r="S473"/>
          <cell r="T473">
            <v>0</v>
          </cell>
          <cell r="U473"/>
          <cell r="V473"/>
          <cell r="W473">
            <v>0</v>
          </cell>
          <cell r="X473"/>
          <cell r="Y473"/>
          <cell r="Z473">
            <v>0</v>
          </cell>
          <cell r="AA473"/>
          <cell r="AB473"/>
          <cell r="AC473">
            <v>0</v>
          </cell>
          <cell r="AD473"/>
          <cell r="AE473"/>
          <cell r="AF473">
            <v>0</v>
          </cell>
          <cell r="AG473"/>
          <cell r="AH473"/>
          <cell r="AI473">
            <v>0</v>
          </cell>
          <cell r="AJ473"/>
          <cell r="AK473"/>
          <cell r="AL473">
            <v>0</v>
          </cell>
          <cell r="AM473"/>
          <cell r="AN473"/>
          <cell r="AO473">
            <v>0</v>
          </cell>
        </row>
        <row r="474">
          <cell r="A474" t="str">
            <v>Programme used 3</v>
          </cell>
          <cell r="C474"/>
          <cell r="D474"/>
          <cell r="E474">
            <v>0</v>
          </cell>
          <cell r="F474"/>
          <cell r="G474"/>
          <cell r="H474">
            <v>0</v>
          </cell>
          <cell r="I474"/>
          <cell r="J474"/>
          <cell r="K474">
            <v>0</v>
          </cell>
          <cell r="L474"/>
          <cell r="M474"/>
          <cell r="N474">
            <v>0</v>
          </cell>
          <cell r="O474"/>
          <cell r="P474"/>
          <cell r="Q474">
            <v>0</v>
          </cell>
          <cell r="R474"/>
          <cell r="S474"/>
          <cell r="T474">
            <v>0</v>
          </cell>
          <cell r="U474"/>
          <cell r="V474"/>
          <cell r="W474">
            <v>0</v>
          </cell>
          <cell r="X474"/>
          <cell r="Y474"/>
          <cell r="Z474">
            <v>0</v>
          </cell>
          <cell r="AA474"/>
          <cell r="AB474"/>
          <cell r="AC474">
            <v>0</v>
          </cell>
          <cell r="AD474"/>
          <cell r="AE474"/>
          <cell r="AF474">
            <v>0</v>
          </cell>
          <cell r="AG474"/>
          <cell r="AH474"/>
          <cell r="AI474">
            <v>0</v>
          </cell>
          <cell r="AJ474"/>
          <cell r="AK474"/>
          <cell r="AL474">
            <v>0</v>
          </cell>
          <cell r="AM474"/>
          <cell r="AN474"/>
          <cell r="AO474">
            <v>0</v>
          </cell>
        </row>
        <row r="475">
          <cell r="A475" t="str">
            <v>[...]</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Frais administration</v>
          </cell>
          <cell r="C478"/>
          <cell r="D478"/>
          <cell r="E478">
            <v>309833.78711338353</v>
          </cell>
          <cell r="F478"/>
          <cell r="G478"/>
          <cell r="H478">
            <v>16172.174178947371</v>
          </cell>
          <cell r="I478"/>
          <cell r="J478"/>
          <cell r="K478">
            <v>13962.012914360312</v>
          </cell>
          <cell r="L478"/>
          <cell r="M478"/>
          <cell r="N478">
            <v>26574.218386550976</v>
          </cell>
          <cell r="O478"/>
          <cell r="P478"/>
          <cell r="Q478">
            <v>28870.584133368116</v>
          </cell>
          <cell r="R478"/>
          <cell r="S478"/>
          <cell r="T478">
            <v>30919.802326353791</v>
          </cell>
          <cell r="U478"/>
          <cell r="V478"/>
          <cell r="W478">
            <v>31043.589146856666</v>
          </cell>
          <cell r="X478"/>
          <cell r="Y478"/>
          <cell r="Z478">
            <v>24901.78902279793</v>
          </cell>
          <cell r="AA478"/>
          <cell r="AB478"/>
          <cell r="AC478">
            <v>27099.703272832372</v>
          </cell>
          <cell r="AD478"/>
          <cell r="AE478"/>
          <cell r="AF478">
            <v>28435.922650948789</v>
          </cell>
          <cell r="AG478"/>
          <cell r="AH478"/>
          <cell r="AI478">
            <v>30432.264479683381</v>
          </cell>
          <cell r="AJ478"/>
          <cell r="AK478"/>
          <cell r="AL478">
            <v>27048.774065061218</v>
          </cell>
          <cell r="AM478"/>
          <cell r="AN478"/>
          <cell r="AO478">
            <v>24372.952535622564</v>
          </cell>
        </row>
        <row r="479">
          <cell r="A479" t="str">
            <v>TOTAL AUTRES REVENUS</v>
          </cell>
          <cell r="C479">
            <v>0.33967477458354067</v>
          </cell>
          <cell r="D479"/>
          <cell r="E479">
            <v>1995638.3233691831</v>
          </cell>
          <cell r="F479">
            <v>0.29225957376204709</v>
          </cell>
          <cell r="G479"/>
          <cell r="H479">
            <v>104811.08861179315</v>
          </cell>
          <cell r="I479">
            <v>0.25859538928125064</v>
          </cell>
          <cell r="J479"/>
          <cell r="K479">
            <v>86795.649715452746</v>
          </cell>
          <cell r="L479">
            <v>0.34097393781372137</v>
          </cell>
          <cell r="M479"/>
          <cell r="N479">
            <v>171140.55841403813</v>
          </cell>
          <cell r="O479">
            <v>0.3271290817718962</v>
          </cell>
          <cell r="P479"/>
          <cell r="Q479">
            <v>183193.94796661328</v>
          </cell>
          <cell r="R479">
            <v>0.34138931577137915</v>
          </cell>
          <cell r="S479"/>
          <cell r="T479">
            <v>198536.93907407334</v>
          </cell>
          <cell r="U479">
            <v>0.37043090129752593</v>
          </cell>
          <cell r="V479"/>
          <cell r="W479">
            <v>199507.06858012502</v>
          </cell>
          <cell r="X479">
            <v>0.34713643185934678</v>
          </cell>
          <cell r="Y479"/>
          <cell r="Z479">
            <v>156435.82785980147</v>
          </cell>
          <cell r="AA479">
            <v>0.37543394324299134</v>
          </cell>
          <cell r="AB479"/>
          <cell r="AC479">
            <v>173166.06529584512</v>
          </cell>
          <cell r="AD479">
            <v>0.39680196620099056</v>
          </cell>
          <cell r="AE479"/>
          <cell r="AF479">
            <v>183337.27661091025</v>
          </cell>
          <cell r="AG479">
            <v>0.32736119111530754</v>
          </cell>
          <cell r="AH479"/>
          <cell r="AI479">
            <v>198627.3913541192</v>
          </cell>
          <cell r="AJ479">
            <v>0.29158585528851921</v>
          </cell>
          <cell r="AK479"/>
          <cell r="AL479">
            <v>176562.43434384602</v>
          </cell>
          <cell r="AM479">
            <v>0.39631085626189905</v>
          </cell>
          <cell r="AN479"/>
          <cell r="AO479">
            <v>163524.07554256561</v>
          </cell>
        </row>
        <row r="480">
          <cell r="A480">
            <v>0</v>
          </cell>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BAIIA OPÉRATIONNEL</v>
          </cell>
          <cell r="C481" t="str">
            <v>%vte</v>
          </cell>
          <cell r="D481">
            <v>1.9899641283914485E-2</v>
          </cell>
          <cell r="E481">
            <v>1549675.3213193757</v>
          </cell>
          <cell r="F481" t="str">
            <v>%vte</v>
          </cell>
          <cell r="G481">
            <v>1.757822602703243E-3</v>
          </cell>
          <cell r="H481">
            <v>7238.7670252608659</v>
          </cell>
          <cell r="I481" t="str">
            <v>%vte</v>
          </cell>
          <cell r="J481">
            <v>-3.5350803151159215E-3</v>
          </cell>
          <cell r="K481">
            <v>-16822.302632977895</v>
          </cell>
          <cell r="L481" t="str">
            <v>%vte</v>
          </cell>
          <cell r="M481">
            <v>1.7846629981533222E-2</v>
          </cell>
          <cell r="N481">
            <v>133201.68844227525</v>
          </cell>
          <cell r="O481" t="str">
            <v>%vte</v>
          </cell>
          <cell r="P481">
            <v>2.6605453417960504E-2</v>
          </cell>
          <cell r="Q481">
            <v>190653.03160272486</v>
          </cell>
          <cell r="R481" t="str">
            <v>%vte</v>
          </cell>
          <cell r="S481">
            <v>2.802327882418839E-2</v>
          </cell>
          <cell r="T481">
            <v>210964.93784700078</v>
          </cell>
          <cell r="U481" t="str">
            <v>%vte</v>
          </cell>
          <cell r="V481">
            <v>2.3975742644650709E-2</v>
          </cell>
          <cell r="W481">
            <v>178970.11696977614</v>
          </cell>
          <cell r="X481" t="str">
            <v>%vte</v>
          </cell>
          <cell r="Y481">
            <v>1.3999972307614449E-2</v>
          </cell>
          <cell r="Z481">
            <v>86933.276416222681</v>
          </cell>
          <cell r="AA481" t="str">
            <v>%vte</v>
          </cell>
          <cell r="AB481">
            <v>1.5911294483842021E-2</v>
          </cell>
          <cell r="AC481">
            <v>104527.23313702326</v>
          </cell>
          <cell r="AD481" t="str">
            <v>%vte</v>
          </cell>
          <cell r="AE481">
            <v>1.611235407055259E-2</v>
          </cell>
          <cell r="AF481">
            <v>108917.69067488331</v>
          </cell>
          <cell r="AG481" t="str">
            <v>%vte</v>
          </cell>
          <cell r="AH481">
            <v>3.3097340039474135E-2</v>
          </cell>
          <cell r="AI481">
            <v>245258.73356404531</v>
          </cell>
          <cell r="AJ481" t="str">
            <v>%vte</v>
          </cell>
          <cell r="AK481">
            <v>3.3900638112758112E-2</v>
          </cell>
          <cell r="AL481">
            <v>230006.06849253117</v>
          </cell>
          <cell r="AM481" t="str">
            <v>%vte</v>
          </cell>
          <cell r="AN481">
            <v>1.2376918494696019E-2</v>
          </cell>
          <cell r="AO481">
            <v>69826.079780610627</v>
          </cell>
        </row>
        <row r="482">
          <cell r="A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cell r="C483" t="str">
            <v>CALCUL DU PROFIT NET</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row>
        <row r="484">
          <cell r="A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row>
        <row r="485">
          <cell r="A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row>
        <row r="487">
          <cell r="A487"/>
          <cell r="C487" t="str">
            <v>%vte</v>
          </cell>
          <cell r="D487">
            <v>1.9899641283914485E-2</v>
          </cell>
          <cell r="E487">
            <v>1549675.3213193757</v>
          </cell>
          <cell r="F487" t="str">
            <v>%vte</v>
          </cell>
          <cell r="G487">
            <v>1.757822602703243E-3</v>
          </cell>
          <cell r="H487">
            <v>7238.7670252608659</v>
          </cell>
          <cell r="I487" t="str">
            <v>%vte</v>
          </cell>
          <cell r="J487">
            <v>-3.5350803151159215E-3</v>
          </cell>
          <cell r="K487">
            <v>-16822.302632977895</v>
          </cell>
          <cell r="L487" t="str">
            <v>%vte</v>
          </cell>
          <cell r="M487">
            <v>1.7846629981533222E-2</v>
          </cell>
          <cell r="N487">
            <v>133201.68844227525</v>
          </cell>
          <cell r="O487" t="str">
            <v>%vte</v>
          </cell>
          <cell r="P487">
            <v>2.6605453417960504E-2</v>
          </cell>
          <cell r="Q487">
            <v>190653.03160272486</v>
          </cell>
          <cell r="R487" t="str">
            <v>%vte</v>
          </cell>
          <cell r="S487">
            <v>2.802327882418839E-2</v>
          </cell>
          <cell r="T487">
            <v>210964.93784700078</v>
          </cell>
          <cell r="U487" t="str">
            <v>%vte</v>
          </cell>
          <cell r="V487">
            <v>2.3975742644650709E-2</v>
          </cell>
          <cell r="W487">
            <v>178970.11696977614</v>
          </cell>
          <cell r="X487" t="str">
            <v>%vte</v>
          </cell>
          <cell r="Y487">
            <v>1.3999972307614449E-2</v>
          </cell>
          <cell r="Z487">
            <v>86933.276416222681</v>
          </cell>
          <cell r="AA487" t="str">
            <v>%vte</v>
          </cell>
          <cell r="AB487">
            <v>1.5911294483842021E-2</v>
          </cell>
          <cell r="AC487">
            <v>104527.23313702326</v>
          </cell>
          <cell r="AD487" t="str">
            <v>%vte</v>
          </cell>
          <cell r="AE487">
            <v>1.611235407055259E-2</v>
          </cell>
          <cell r="AF487">
            <v>108917.69067488331</v>
          </cell>
          <cell r="AG487" t="str">
            <v>%vte</v>
          </cell>
          <cell r="AH487">
            <v>3.3097340039474135E-2</v>
          </cell>
          <cell r="AI487">
            <v>245258.73356404531</v>
          </cell>
          <cell r="AJ487" t="str">
            <v>%vte</v>
          </cell>
          <cell r="AK487">
            <v>3.3900638112758112E-2</v>
          </cell>
          <cell r="AL487">
            <v>230006.06849253117</v>
          </cell>
          <cell r="AM487" t="str">
            <v>%vte</v>
          </cell>
          <cell r="AN487">
            <v>1.2376918494696019E-2</v>
          </cell>
          <cell r="AO487">
            <v>69826.079780610627</v>
          </cell>
        </row>
        <row r="488">
          <cell r="A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t="str">
            <v>Amortissement</v>
          </cell>
          <cell r="C489"/>
          <cell r="D489"/>
          <cell r="E489">
            <v>134000.00000000003</v>
          </cell>
          <cell r="F489"/>
          <cell r="G489"/>
          <cell r="H489">
            <v>11166.666666666668</v>
          </cell>
          <cell r="I489"/>
          <cell r="J489"/>
          <cell r="K489">
            <v>11166.666666666668</v>
          </cell>
          <cell r="L489"/>
          <cell r="M489"/>
          <cell r="N489">
            <v>11166.666666666668</v>
          </cell>
          <cell r="O489"/>
          <cell r="P489"/>
          <cell r="Q489">
            <v>11166.666666666668</v>
          </cell>
          <cell r="R489"/>
          <cell r="S489"/>
          <cell r="T489">
            <v>11166.666666666668</v>
          </cell>
          <cell r="U489"/>
          <cell r="V489"/>
          <cell r="W489">
            <v>11166.666666666668</v>
          </cell>
          <cell r="X489"/>
          <cell r="Y489"/>
          <cell r="Z489">
            <v>11166.666666666668</v>
          </cell>
          <cell r="AA489"/>
          <cell r="AB489"/>
          <cell r="AC489">
            <v>11166.666666666668</v>
          </cell>
          <cell r="AD489"/>
          <cell r="AE489"/>
          <cell r="AF489">
            <v>11166.666666666668</v>
          </cell>
          <cell r="AG489"/>
          <cell r="AH489"/>
          <cell r="AI489">
            <v>11166.666666666668</v>
          </cell>
          <cell r="AJ489"/>
          <cell r="AK489"/>
          <cell r="AL489">
            <v>11166.666666666668</v>
          </cell>
          <cell r="AM489"/>
          <cell r="AN489"/>
          <cell r="AO489">
            <v>11166.666666666668</v>
          </cell>
        </row>
        <row r="490">
          <cell r="A490" t="str">
            <v>Intérêts sur marge</v>
          </cell>
          <cell r="C490"/>
          <cell r="D490"/>
          <cell r="E490">
            <v>115300</v>
          </cell>
          <cell r="F490"/>
          <cell r="G490"/>
          <cell r="H490">
            <v>13000</v>
          </cell>
          <cell r="I490"/>
          <cell r="J490"/>
          <cell r="K490">
            <v>13000</v>
          </cell>
          <cell r="L490"/>
          <cell r="M490"/>
          <cell r="N490">
            <v>12000</v>
          </cell>
          <cell r="O490"/>
          <cell r="P490"/>
          <cell r="Q490">
            <v>11500</v>
          </cell>
          <cell r="R490"/>
          <cell r="S490"/>
          <cell r="T490">
            <v>8000</v>
          </cell>
          <cell r="U490"/>
          <cell r="V490"/>
          <cell r="W490">
            <v>8000</v>
          </cell>
          <cell r="X490"/>
          <cell r="Y490"/>
          <cell r="Z490">
            <v>8000</v>
          </cell>
          <cell r="AA490"/>
          <cell r="AB490"/>
          <cell r="AC490">
            <v>8000</v>
          </cell>
          <cell r="AD490"/>
          <cell r="AE490"/>
          <cell r="AF490">
            <v>800</v>
          </cell>
          <cell r="AG490"/>
          <cell r="AH490"/>
          <cell r="AI490">
            <v>10000</v>
          </cell>
          <cell r="AJ490"/>
          <cell r="AK490"/>
          <cell r="AL490">
            <v>11000</v>
          </cell>
          <cell r="AM490"/>
          <cell r="AN490"/>
          <cell r="AO490">
            <v>12000</v>
          </cell>
        </row>
        <row r="491">
          <cell r="A491" t="str">
            <v>Intérêts sur prêt</v>
          </cell>
          <cell r="C491"/>
          <cell r="D491"/>
          <cell r="E491">
            <v>445512</v>
          </cell>
          <cell r="F491"/>
          <cell r="G491"/>
          <cell r="H491">
            <v>37126</v>
          </cell>
          <cell r="I491"/>
          <cell r="J491"/>
          <cell r="K491">
            <v>37126</v>
          </cell>
          <cell r="L491"/>
          <cell r="M491"/>
          <cell r="N491">
            <v>37126</v>
          </cell>
          <cell r="O491"/>
          <cell r="P491"/>
          <cell r="Q491">
            <v>37126</v>
          </cell>
          <cell r="R491"/>
          <cell r="S491"/>
          <cell r="T491">
            <v>37126</v>
          </cell>
          <cell r="U491"/>
          <cell r="V491"/>
          <cell r="W491">
            <v>37126</v>
          </cell>
          <cell r="X491"/>
          <cell r="Y491"/>
          <cell r="Z491">
            <v>37126</v>
          </cell>
          <cell r="AA491"/>
          <cell r="AB491"/>
          <cell r="AC491">
            <v>37126</v>
          </cell>
          <cell r="AD491"/>
          <cell r="AE491"/>
          <cell r="AF491">
            <v>37126</v>
          </cell>
          <cell r="AG491"/>
          <cell r="AH491"/>
          <cell r="AI491">
            <v>37126</v>
          </cell>
          <cell r="AJ491"/>
          <cell r="AK491"/>
          <cell r="AL491">
            <v>37126</v>
          </cell>
          <cell r="AM491"/>
          <cell r="AN491"/>
          <cell r="AO491">
            <v>37126</v>
          </cell>
        </row>
        <row r="492">
          <cell r="A492" t="str">
            <v>Intérêts sur avance</v>
          </cell>
          <cell r="C492"/>
          <cell r="D492"/>
          <cell r="E492">
            <v>0</v>
          </cell>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row>
        <row r="493">
          <cell r="A493" t="str">
            <v>[...]</v>
          </cell>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v>
          </cell>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row>
        <row r="495">
          <cell r="A495" t="str">
            <v>[...]</v>
          </cell>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row>
        <row r="496">
          <cell r="C496" t="str">
            <v>%vte</v>
          </cell>
          <cell r="D496">
            <v>1.0977443601894576E-2</v>
          </cell>
          <cell r="E496">
            <v>854863.32131937565</v>
          </cell>
          <cell r="F496" t="str">
            <v>%vte</v>
          </cell>
          <cell r="G496">
            <v>-1.3126153421202512E-2</v>
          </cell>
          <cell r="H496">
            <v>-54053.899641405806</v>
          </cell>
          <cell r="I496" t="str">
            <v>%vte</v>
          </cell>
          <cell r="J496">
            <v>-1.6415273004643068E-2</v>
          </cell>
          <cell r="K496">
            <v>-78114.969299644566</v>
          </cell>
          <cell r="L496" t="str">
            <v>%vte</v>
          </cell>
          <cell r="M496">
            <v>9.7684973003080121E-3</v>
          </cell>
          <cell r="N496">
            <v>72909.021775608577</v>
          </cell>
          <cell r="O496" t="str">
            <v>%vte</v>
          </cell>
          <cell r="P496">
            <v>1.8261442340022298E-2</v>
          </cell>
          <cell r="Q496">
            <v>130860.36493605821</v>
          </cell>
          <cell r="R496" t="str">
            <v>%vte</v>
          </cell>
          <cell r="S496">
            <v>2.0545708807785203E-2</v>
          </cell>
          <cell r="T496">
            <v>154672.27118033412</v>
          </cell>
          <cell r="U496" t="str">
            <v>%vte</v>
          </cell>
          <cell r="V496">
            <v>1.6434492118402057E-2</v>
          </cell>
          <cell r="W496">
            <v>122677.45030310948</v>
          </cell>
          <cell r="X496" t="str">
            <v>%vte</v>
          </cell>
          <cell r="Y496">
            <v>4.9344474942871874E-3</v>
          </cell>
          <cell r="Z496">
            <v>30640.60974955601</v>
          </cell>
          <cell r="AA496" t="str">
            <v>%vte</v>
          </cell>
          <cell r="AB496">
            <v>7.3423391051040728E-3</v>
          </cell>
          <cell r="AC496">
            <v>48234.566470356585</v>
          </cell>
          <cell r="AD496" t="str">
            <v>%vte</v>
          </cell>
          <cell r="AE496">
            <v>8.8500037333419032E-3</v>
          </cell>
          <cell r="AF496">
            <v>59825.024008216642</v>
          </cell>
          <cell r="AG496" t="str">
            <v>%vte</v>
          </cell>
          <cell r="AH496">
            <v>2.5230822168987897E-2</v>
          </cell>
          <cell r="AI496">
            <v>186966.06689737865</v>
          </cell>
          <cell r="AJ496" t="str">
            <v>%vte</v>
          </cell>
          <cell r="AK496">
            <v>2.5161480713211792E-2</v>
          </cell>
          <cell r="AL496">
            <v>170713.40182586451</v>
          </cell>
          <cell r="AM496" t="str">
            <v>%vte</v>
          </cell>
          <cell r="AN496">
            <v>1.6898310410419929E-3</v>
          </cell>
          <cell r="AO496">
            <v>9533.413113943956</v>
          </cell>
        </row>
      </sheetData>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4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1936</v>
      </c>
      <c r="C3" s="161">
        <f>+VLOOKUP(B3,$K$3:$L$14,2,0)</f>
        <v>3</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X</v>
      </c>
      <c r="N5" s="161" t="str">
        <f t="shared" si="1"/>
        <v>X</v>
      </c>
    </row>
    <row r="6" spans="1:14">
      <c r="A6" s="966"/>
      <c r="B6" s="967"/>
      <c r="K6" t="s">
        <v>1937</v>
      </c>
      <c r="L6" s="161">
        <v>4</v>
      </c>
      <c r="M6" s="161" t="str">
        <f t="shared" si="0"/>
        <v/>
      </c>
      <c r="N6" s="161" t="str">
        <f t="shared" si="1"/>
        <v/>
      </c>
    </row>
    <row r="7" spans="1:14">
      <c r="A7" s="545"/>
      <c r="B7" s="968"/>
      <c r="K7" t="s">
        <v>1938</v>
      </c>
      <c r="L7" s="161">
        <v>5</v>
      </c>
      <c r="M7" s="161" t="str">
        <f t="shared" si="0"/>
        <v/>
      </c>
      <c r="N7" s="161" t="str">
        <f t="shared" si="1"/>
        <v/>
      </c>
    </row>
    <row r="8" spans="1:14">
      <c r="A8" s="545"/>
      <c r="B8" s="968"/>
      <c r="K8" t="s">
        <v>1916</v>
      </c>
      <c r="L8" s="161">
        <v>6</v>
      </c>
      <c r="M8" s="161" t="str">
        <f t="shared" si="0"/>
        <v/>
      </c>
      <c r="N8" s="161" t="str">
        <f t="shared" si="1"/>
        <v/>
      </c>
    </row>
    <row r="9" spans="1:14" ht="15" customHeight="1">
      <c r="A9" s="969"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E65" sqref="E65"/>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Mars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2208856.33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2208856.33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2230376.09</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216729.42</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262318.71999999997</v>
      </c>
      <c r="C10" s="539"/>
      <c r="D10" s="10" t="s">
        <v>16</v>
      </c>
      <c r="E10" s="560">
        <f>-SUMIFS(BV_Data_An_Cour!$P:$P,BV_Data_An_Cour!$U:$U,$A$1,BV_Data_An_Cour!$V:$V,$D10)</f>
        <v>86269.39</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11720.5</v>
      </c>
      <c r="C11" s="539"/>
      <c r="D11" s="10" t="s">
        <v>18</v>
      </c>
      <c r="E11" s="560">
        <f>-SUMIFS(BV_Data_An_Cour!$P:$P,BV_Data_An_Cour!$U:$U,$A$1,BV_Data_An_Cour!$V:$V,$D11)</f>
        <v>77661.979999999981</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41335.660000000003</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49488.46</v>
      </c>
      <c r="C13" s="539"/>
      <c r="D13" s="10" t="s">
        <v>22</v>
      </c>
      <c r="E13" s="560">
        <f>-SUMIFS(BV_Data_An_Cour!$P:$P,BV_Data_An_Cour!$U:$U,$A$1,BV_Data_An_Cour!$V:$V,$D13)</f>
        <v>5450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128036.83</v>
      </c>
      <c r="C15" s="539"/>
      <c r="D15" s="10" t="s">
        <v>26</v>
      </c>
      <c r="E15" s="560">
        <f>-SUMIFS(BV_Data_An_Cour!$P:$P,BV_Data_An_Cour!$U:$U,$A$1,BV_Data_An_Cour!$V:$V,$D15)</f>
        <v>759599.57000000007</v>
      </c>
      <c r="F15" s="2"/>
      <c r="G15" s="2"/>
      <c r="H15" s="2"/>
      <c r="I15" s="2"/>
      <c r="J15" s="2"/>
      <c r="K15" s="2"/>
      <c r="L15" s="2"/>
      <c r="M15" s="2"/>
      <c r="N15" s="2"/>
      <c r="O15" s="2"/>
      <c r="P15" s="2"/>
      <c r="Q15" s="2"/>
      <c r="R15" s="2"/>
      <c r="S15" s="2"/>
      <c r="T15" s="2"/>
      <c r="U15" s="2"/>
      <c r="V15" s="2"/>
      <c r="W15" s="2"/>
      <c r="X15" s="2"/>
      <c r="Y15" s="2"/>
    </row>
    <row r="16" spans="1:25">
      <c r="A16" s="9" t="s">
        <v>27</v>
      </c>
      <c r="B16" s="563">
        <f>+SUM(B8:B15)</f>
        <v>2940005.6799999997</v>
      </c>
      <c r="C16" s="540"/>
      <c r="D16" s="9" t="s">
        <v>28</v>
      </c>
      <c r="E16" s="566">
        <f>+SUM(E10:E15)</f>
        <v>928980.94000000006</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5406498.5800000001</v>
      </c>
      <c r="C18" s="539"/>
      <c r="D18" s="10" t="s">
        <v>30</v>
      </c>
      <c r="E18" s="560">
        <f>-SUMIFS(BV_Data_An_Cour!$P:$P,BV_Data_An_Cour!$U:$U,$A$1,BV_Data_An_Cour!$V:$V,$D18)</f>
        <v>7036543.5300000003</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1546411.74</v>
      </c>
      <c r="C19" s="539"/>
      <c r="D19" s="10" t="s">
        <v>32</v>
      </c>
      <c r="E19" s="560">
        <f>-SUMIFS(BV_Data_An_Cour!$P:$P,BV_Data_An_Cour!$U:$U,$A$1,BV_Data_An_Cour!$V:$V,$D19)</f>
        <v>286517.08</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392011.72</v>
      </c>
      <c r="C20" s="539"/>
      <c r="D20" s="9" t="s">
        <v>34</v>
      </c>
      <c r="E20" s="566">
        <f>+SUM(E18:E19)</f>
        <v>7323060.6100000003</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7344922.04</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421254.99</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23855.949999999997</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9187.7000000000007</v>
      </c>
      <c r="C24" s="539"/>
      <c r="D24" s="10" t="s">
        <v>40</v>
      </c>
      <c r="E24" s="560">
        <f>-SUMIFS(BV_Data_An_Cour!$P:$P,BV_Data_An_Cour!$U:$U,$A$1,BV_Data_An_Cour!$V:$V,$D24)</f>
        <v>40040.82</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-3164.81</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127328.70999999999</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485151.76</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133351.6</v>
      </c>
      <c r="C30" s="540"/>
      <c r="D30" s="12" t="s">
        <v>46</v>
      </c>
      <c r="E30" s="561">
        <f>+E5+E7+E16+E20+E28</f>
        <v>8753003.3100000005</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12627135.65</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-2490.6900000000023</v>
      </c>
      <c r="C37" s="543"/>
      <c r="D37" s="10" t="s">
        <v>54</v>
      </c>
      <c r="E37" s="560">
        <f>-SUMIFS(BV_Data_An_Cour!$P:$P,BV_Data_An_Cour!$U:$U,$A$1,BV_Data_An_Cour!$V:$V,$D37)</f>
        <v>24206.25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176871.80000000005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33213.950000000012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21605.620000000024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60</v>
      </c>
      <c r="C42" s="543"/>
      <c r="D42" s="12" t="s">
        <v>61</v>
      </c>
      <c r="E42" s="561">
        <f>+SUM(E33:E38)</f>
        <v>24206.25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-554.98999999999069</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228705.69000000009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8777209.5600000005</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1281067.2800000003</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1852305.6900000002</v>
      </c>
      <c r="C53" s="541"/>
      <c r="D53" s="12" t="s">
        <v>72</v>
      </c>
      <c r="E53" s="561">
        <f>SUM(E48:E51)</f>
        <v>5702231.7800000003</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14479441.34</v>
      </c>
      <c r="C56" s="541"/>
      <c r="D56" s="12" t="s">
        <v>74</v>
      </c>
      <c r="E56" s="561">
        <f>+E53+E45</f>
        <v>14479441.34</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N496" sqref="N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20" t="str">
        <f>"Budget 2021 Mensuel"&amp;" "&amp;Parametres!$B$1</f>
        <v>Budget 2021 Mensuel Volks</v>
      </c>
      <c r="C1" s="1120"/>
      <c r="D1" s="1120"/>
      <c r="E1" s="1120"/>
      <c r="F1" s="1120"/>
      <c r="G1" s="1120"/>
      <c r="H1" s="1120"/>
      <c r="I1" s="1120"/>
      <c r="J1" s="1120"/>
      <c r="K1" s="1120"/>
      <c r="L1" s="1120"/>
      <c r="M1" s="1120"/>
      <c r="N1" s="1120"/>
      <c r="O1" s="1120"/>
      <c r="P1" s="1120"/>
      <c r="Q1" s="1120"/>
      <c r="R1" s="1120"/>
      <c r="S1" s="1120"/>
      <c r="T1" s="1120"/>
      <c r="U1" s="1120"/>
      <c r="V1" s="1120"/>
      <c r="W1" s="1120"/>
      <c r="X1" s="1120"/>
      <c r="Y1" s="1120"/>
      <c r="Z1" s="1120"/>
      <c r="AA1" s="1120"/>
      <c r="AB1" s="1120"/>
      <c r="AC1" s="1120"/>
      <c r="AD1" s="1120"/>
      <c r="AE1" s="1120"/>
      <c r="AF1" s="1120"/>
      <c r="AG1" s="1120"/>
      <c r="AH1" s="1120"/>
      <c r="AI1" s="1120"/>
      <c r="AJ1" s="1120"/>
      <c r="AK1" s="1120"/>
      <c r="AL1" s="1120"/>
      <c r="AM1" s="1120"/>
      <c r="AN1" s="1120"/>
      <c r="AO1" s="1120"/>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X</v>
      </c>
      <c r="M2" s="617" t="str">
        <f>+IF(Parametres!$B$3=L$6,"O","")</f>
        <v>O</v>
      </c>
      <c r="N2" s="617" t="str">
        <f>+IF(Parametres!$B$3=L$6,"U","")</f>
        <v>U</v>
      </c>
      <c r="O2" s="617" t="str">
        <f>+IF(Parametres!$B$3=O$6,"X","")</f>
        <v/>
      </c>
      <c r="P2" s="617" t="str">
        <f>+IF(Parametres!$B$3=O$6,"O","")</f>
        <v/>
      </c>
      <c r="Q2" s="617" t="str">
        <f>+IF(Parametres!$B$3=O$6,"U","")</f>
        <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
      </c>
      <c r="P3" s="622" t="str">
        <f>+IF(VLOOKUP(O$6,Parametres!$K$3:$N$14,4,0)="X","O","")</f>
        <v/>
      </c>
      <c r="Q3" s="622" t="str">
        <f>+IF(VLOOKUP(O$6,Parametres!$K$3:$N$14,4,0)="X","U","")</f>
        <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5"/>
      <c r="B4" s="585" t="s">
        <v>1932</v>
      </c>
      <c r="C4" s="1121" t="s">
        <v>75</v>
      </c>
      <c r="D4" s="1121"/>
      <c r="E4" s="1121"/>
      <c r="F4" s="1121"/>
      <c r="G4" s="1121"/>
      <c r="H4" s="1121"/>
      <c r="I4" s="1121"/>
      <c r="J4" s="1121"/>
      <c r="K4" s="1121"/>
      <c r="L4" s="1121"/>
      <c r="M4" s="1121"/>
      <c r="N4" s="1121"/>
      <c r="O4" s="1121"/>
      <c r="P4" s="1121"/>
      <c r="Q4" s="1121"/>
      <c r="R4" s="1121"/>
      <c r="S4" s="1121"/>
      <c r="T4" s="1121"/>
      <c r="U4" s="1121"/>
      <c r="V4" s="1121"/>
      <c r="W4" s="1121"/>
      <c r="X4" s="1121"/>
      <c r="Y4" s="1121"/>
      <c r="Z4" s="1121"/>
      <c r="AA4" s="1121"/>
      <c r="AB4" s="1121"/>
      <c r="AC4" s="1121"/>
      <c r="AD4" s="1121"/>
      <c r="AE4" s="1121"/>
      <c r="AF4" s="1121"/>
      <c r="AG4" s="1121"/>
      <c r="AH4" s="1121"/>
      <c r="AI4" s="1121"/>
      <c r="AJ4" s="1121"/>
      <c r="AK4" s="1121"/>
      <c r="AL4" s="1121"/>
      <c r="AM4" s="1121"/>
      <c r="AN4" s="1121"/>
      <c r="AO4" s="1121"/>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22" t="s">
        <v>1639</v>
      </c>
      <c r="D6" s="1123"/>
      <c r="E6" s="1124"/>
      <c r="F6" s="1122" t="s">
        <v>1934</v>
      </c>
      <c r="G6" s="1123"/>
      <c r="H6" s="1124"/>
      <c r="I6" s="1122" t="s">
        <v>1935</v>
      </c>
      <c r="J6" s="1123"/>
      <c r="K6" s="1124"/>
      <c r="L6" s="1122" t="s">
        <v>1936</v>
      </c>
      <c r="M6" s="1123"/>
      <c r="N6" s="1124"/>
      <c r="O6" s="1122" t="s">
        <v>1937</v>
      </c>
      <c r="P6" s="1123"/>
      <c r="Q6" s="1124"/>
      <c r="R6" s="1122" t="s">
        <v>1938</v>
      </c>
      <c r="S6" s="1123"/>
      <c r="T6" s="1124"/>
      <c r="U6" s="1122" t="s">
        <v>1916</v>
      </c>
      <c r="V6" s="1123"/>
      <c r="W6" s="1124"/>
      <c r="X6" s="1122" t="s">
        <v>1939</v>
      </c>
      <c r="Y6" s="1123"/>
      <c r="Z6" s="1124"/>
      <c r="AA6" s="1122" t="s">
        <v>1940</v>
      </c>
      <c r="AB6" s="1123"/>
      <c r="AC6" s="1124"/>
      <c r="AD6" s="1122" t="s">
        <v>3</v>
      </c>
      <c r="AE6" s="1123"/>
      <c r="AF6" s="1124"/>
      <c r="AG6" s="1122" t="s">
        <v>1941</v>
      </c>
      <c r="AH6" s="1123"/>
      <c r="AI6" s="1124"/>
      <c r="AJ6" s="1122" t="s">
        <v>1942</v>
      </c>
      <c r="AK6" s="1123"/>
      <c r="AL6" s="1124"/>
      <c r="AM6" s="1122" t="s">
        <v>1943</v>
      </c>
      <c r="AN6" s="1123"/>
      <c r="AO6" s="1124"/>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v>1882577.9033123129</v>
      </c>
      <c r="I8" s="707"/>
      <c r="J8" s="708"/>
      <c r="K8" s="710">
        <v>446219.11410022038</v>
      </c>
      <c r="L8" s="707"/>
      <c r="M8" s="708"/>
      <c r="N8" s="710">
        <v>678330.08198413614</v>
      </c>
      <c r="O8" s="707"/>
      <c r="P8" s="708"/>
      <c r="Q8" s="710">
        <v>751340.65797524713</v>
      </c>
      <c r="R8" s="707"/>
      <c r="S8" s="708"/>
      <c r="T8" s="710">
        <v>981796.55292181112</v>
      </c>
      <c r="U8" s="707"/>
      <c r="V8" s="708"/>
      <c r="W8" s="710">
        <v>691716.39517554897</v>
      </c>
      <c r="X8" s="707"/>
      <c r="Y8" s="708"/>
      <c r="Z8" s="710">
        <v>688676.8901585252</v>
      </c>
      <c r="AA8" s="707"/>
      <c r="AB8" s="708"/>
      <c r="AC8" s="710">
        <v>729220.9724917697</v>
      </c>
      <c r="AD8" s="707"/>
      <c r="AE8" s="708"/>
      <c r="AF8" s="710">
        <v>799077.54156453046</v>
      </c>
      <c r="AG8" s="707"/>
      <c r="AH8" s="708"/>
      <c r="AI8" s="710">
        <v>991144.07177553454</v>
      </c>
      <c r="AJ8" s="707"/>
      <c r="AK8" s="708"/>
      <c r="AL8" s="710">
        <v>576007.01925350889</v>
      </c>
      <c r="AM8" s="707"/>
      <c r="AN8" s="708"/>
      <c r="AO8" s="710">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604.29042904290429</v>
      </c>
      <c r="E9" s="714">
        <f t="shared" si="0"/>
        <v>183100</v>
      </c>
      <c r="F9" s="715">
        <v>23.607095531789504</v>
      </c>
      <c r="G9" s="713">
        <f>IF(F9=0,0,H9/F9)</f>
        <v>604.29042904290429</v>
      </c>
      <c r="H9" s="716">
        <v>14265.541887361909</v>
      </c>
      <c r="I9" s="715">
        <v>16.252745004560932</v>
      </c>
      <c r="J9" s="713">
        <f>IF(I9=0,0,K9/I9)</f>
        <v>604.29042904290429</v>
      </c>
      <c r="K9" s="716">
        <v>9821.3782519310444</v>
      </c>
      <c r="L9" s="715">
        <v>24.706978036209659</v>
      </c>
      <c r="M9" s="713">
        <f>IF(L9=0,0,N9/L9)</f>
        <v>604.29042904290429</v>
      </c>
      <c r="N9" s="716">
        <v>14930.190357854748</v>
      </c>
      <c r="O9" s="715">
        <v>27.366259623939069</v>
      </c>
      <c r="P9" s="713">
        <f>IF(O9=0,0,Q9/O9)</f>
        <v>604.29042904290418</v>
      </c>
      <c r="Q9" s="716">
        <v>16537.168769449647</v>
      </c>
      <c r="R9" s="715">
        <v>35.760209540040471</v>
      </c>
      <c r="S9" s="713">
        <f>IF(R9=0,0,T9/R9)</f>
        <v>604.29042904290429</v>
      </c>
      <c r="T9" s="716">
        <v>21609.552365615215</v>
      </c>
      <c r="U9" s="715">
        <v>25.194550907869203</v>
      </c>
      <c r="V9" s="713">
        <f>IF(U9=0,0,W9/U9)</f>
        <v>604.29042904290429</v>
      </c>
      <c r="W9" s="716">
        <v>15224.825977659575</v>
      </c>
      <c r="X9" s="715">
        <v>25.083842293153349</v>
      </c>
      <c r="Y9" s="713">
        <f>IF(X9=0,0,Z9/X9)</f>
        <v>604.29042904290429</v>
      </c>
      <c r="Z9" s="716">
        <v>15157.925821374185</v>
      </c>
      <c r="AA9" s="715">
        <v>26.560589054517198</v>
      </c>
      <c r="AB9" s="713">
        <f>IF(AA9=0,0,AC9/AA9)</f>
        <v>604.29042904290429</v>
      </c>
      <c r="AC9" s="716">
        <v>16050.309755386465</v>
      </c>
      <c r="AD9" s="715">
        <v>29.104991497524331</v>
      </c>
      <c r="AE9" s="713">
        <f>IF(AD9=0,0,AF9/AD9)</f>
        <v>604.29042904290429</v>
      </c>
      <c r="AF9" s="716">
        <v>17587.867799329058</v>
      </c>
      <c r="AG9" s="715">
        <v>36.100676444200857</v>
      </c>
      <c r="AH9" s="713">
        <f>IF(AG9=0,0,AI9/AG9)</f>
        <v>604.29042904290429</v>
      </c>
      <c r="AI9" s="716">
        <v>21815.293257205205</v>
      </c>
      <c r="AJ9" s="715">
        <v>20.980040766836964</v>
      </c>
      <c r="AK9" s="713">
        <f>IF(AJ9=0,0,AL9/AJ9)</f>
        <v>604.29042904290429</v>
      </c>
      <c r="AL9" s="716">
        <v>12678.037836329531</v>
      </c>
      <c r="AM9" s="715">
        <v>12.282021299358465</v>
      </c>
      <c r="AN9" s="713">
        <f>IF(AM9=0,0,AO9/AM9)</f>
        <v>604.29042904290429</v>
      </c>
      <c r="AO9" s="716">
        <v>7421.9079205034159</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1315.4791154791153</v>
      </c>
      <c r="E10" s="714">
        <f t="shared" si="0"/>
        <v>535400</v>
      </c>
      <c r="F10" s="715">
        <v>31.709860994845965</v>
      </c>
      <c r="G10" s="713">
        <f>IF(F10=0,0,H10/F10)</f>
        <v>1315.4791154791155</v>
      </c>
      <c r="H10" s="716">
        <v>41713.659893465679</v>
      </c>
      <c r="I10" s="715">
        <v>21.831244940119799</v>
      </c>
      <c r="J10" s="713">
        <f>IF(I10=0,0,K10/I10)</f>
        <v>1315.4791154791155</v>
      </c>
      <c r="K10" s="716">
        <v>28718.54678363671</v>
      </c>
      <c r="L10" s="715">
        <v>33.187260926525845</v>
      </c>
      <c r="M10" s="713">
        <f>IF(L10=0,0,N10/L10)</f>
        <v>1315.4791154791155</v>
      </c>
      <c r="N10" s="716">
        <v>43657.14864880083</v>
      </c>
      <c r="O10" s="715">
        <v>36.759299230835644</v>
      </c>
      <c r="P10" s="713">
        <f>IF(O10=0,0,Q10/O10)</f>
        <v>1315.4791154791155</v>
      </c>
      <c r="Q10" s="716">
        <v>48356.090437811807</v>
      </c>
      <c r="R10" s="715">
        <v>48.03434086731508</v>
      </c>
      <c r="S10" s="713">
        <f>IF(R10=0,0,T10/R10)</f>
        <v>1315.4791154791155</v>
      </c>
      <c r="T10" s="716">
        <v>63188.172236757971</v>
      </c>
      <c r="U10" s="715">
        <v>33.84218554291342</v>
      </c>
      <c r="V10" s="713">
        <f>IF(U10=0,0,W10/U10)</f>
        <v>1315.4791154791155</v>
      </c>
      <c r="W10" s="716">
        <v>44518.688303871859</v>
      </c>
      <c r="X10" s="715">
        <v>33.693477931727436</v>
      </c>
      <c r="Y10" s="713">
        <f>IF(X10=0,0,Z10/X10)</f>
        <v>1315.4791154791155</v>
      </c>
      <c r="Z10" s="716">
        <v>44323.066547043905</v>
      </c>
      <c r="AA10" s="715">
        <v>35.677094868608911</v>
      </c>
      <c r="AB10" s="713">
        <f>IF(AA10=0,0,AC10/AA10)</f>
        <v>1315.4791154791155</v>
      </c>
      <c r="AC10" s="716">
        <v>46932.473200622146</v>
      </c>
      <c r="AD10" s="715">
        <v>39.094823562681199</v>
      </c>
      <c r="AE10" s="713">
        <f>IF(AD10=0,0,AF10/AD10)</f>
        <v>1315.4791154791155</v>
      </c>
      <c r="AF10" s="716">
        <v>51428.42392004795</v>
      </c>
      <c r="AG10" s="715">
        <v>48.491667698976073</v>
      </c>
      <c r="AH10" s="713">
        <f>IF(AG10=0,0,AI10/AG10)</f>
        <v>1315.4791154791155</v>
      </c>
      <c r="AI10" s="716">
        <v>63789.77613275624</v>
      </c>
      <c r="AJ10" s="715">
        <v>28.181110865025232</v>
      </c>
      <c r="AK10" s="713">
        <f>IF(AJ10=0,0,AL10/AJ10)</f>
        <v>1315.4791154791155</v>
      </c>
      <c r="AL10" s="716">
        <v>37071.662793942283</v>
      </c>
      <c r="AM10" s="715">
        <v>16.497632570425399</v>
      </c>
      <c r="AN10" s="713">
        <f>IF(AM10=0,0,AO10/AM10)</f>
        <v>1315.4791154791155</v>
      </c>
      <c r="AO10" s="716">
        <v>21702.291101242652</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1011.9718309859155</v>
      </c>
      <c r="E16" s="720">
        <f>+SUM(E9:E15)</f>
        <v>718500</v>
      </c>
      <c r="F16" s="718">
        <f>+SUM(F9:F15)</f>
        <v>55.316956526635465</v>
      </c>
      <c r="G16" s="719">
        <f>IF(F16&lt;=0,0,H16/F16)</f>
        <v>1011.9718309859156</v>
      </c>
      <c r="H16" s="720">
        <f>+SUM(H9:H15)</f>
        <v>55979.201780827585</v>
      </c>
      <c r="I16" s="718">
        <f>+SUM(I9:I15)</f>
        <v>38.083989944680731</v>
      </c>
      <c r="J16" s="719">
        <f>IF(I16&lt;=0,0,K16/I16)</f>
        <v>1011.9718309859154</v>
      </c>
      <c r="K16" s="720">
        <f>+SUM(K9:K15)</f>
        <v>38539.92503556775</v>
      </c>
      <c r="L16" s="718">
        <f>+SUM(L9:L15)</f>
        <v>57.8942389627355</v>
      </c>
      <c r="M16" s="719">
        <f>IF(L16&lt;=0,0,N16/L16)</f>
        <v>1011.9718309859156</v>
      </c>
      <c r="N16" s="720">
        <f>+SUM(N9:N15)</f>
        <v>58587.33900665558</v>
      </c>
      <c r="O16" s="718">
        <f>+SUM(O9:O15)</f>
        <v>64.12555885477471</v>
      </c>
      <c r="P16" s="719">
        <f>IF(O16&lt;=0,0,Q16/O16)</f>
        <v>1011.9718309859155</v>
      </c>
      <c r="Q16" s="720">
        <f>+SUM(Q9:Q15)</f>
        <v>64893.25920726145</v>
      </c>
      <c r="R16" s="718">
        <f>+SUM(R9:R15)</f>
        <v>83.794550407355558</v>
      </c>
      <c r="S16" s="719">
        <f>IF(R16&lt;=0,0,T16/R16)</f>
        <v>1011.9718309859154</v>
      </c>
      <c r="T16" s="720">
        <f>+SUM(T9:T15)</f>
        <v>84797.724602373186</v>
      </c>
      <c r="U16" s="718">
        <f>+SUM(U9:U15)</f>
        <v>59.036736450782627</v>
      </c>
      <c r="V16" s="719">
        <f>IF(U16&lt;=0,0,W16/U16)</f>
        <v>1011.9718309859155</v>
      </c>
      <c r="W16" s="720">
        <f>+SUM(W9:W15)</f>
        <v>59743.514281531432</v>
      </c>
      <c r="X16" s="718">
        <f>+SUM(X9:X15)</f>
        <v>58.777320224880782</v>
      </c>
      <c r="Y16" s="719">
        <f>IF(X16&lt;=0,0,Z16/X16)</f>
        <v>1011.9718309859155</v>
      </c>
      <c r="Z16" s="720">
        <f>+SUM(Z9:Z15)</f>
        <v>59480.99236841809</v>
      </c>
      <c r="AA16" s="718">
        <f>+SUM(AA9:AA15)</f>
        <v>62.237683923126113</v>
      </c>
      <c r="AB16" s="719">
        <f>IF(AA16&lt;=0,0,AC16/AA16)</f>
        <v>1011.9718309859155</v>
      </c>
      <c r="AC16" s="720">
        <f>+SUM(AC9:AC15)</f>
        <v>62982.78295600861</v>
      </c>
      <c r="AD16" s="718">
        <f>+SUM(AD9:AD15)</f>
        <v>68.199815060205538</v>
      </c>
      <c r="AE16" s="719">
        <f>IF(AD16&lt;=0,0,AF16/AD16)</f>
        <v>1011.9718309859155</v>
      </c>
      <c r="AF16" s="720">
        <f>+SUM(AF9:AF15)</f>
        <v>69016.291719377012</v>
      </c>
      <c r="AG16" s="718">
        <f>+SUM(AG9:AG15)</f>
        <v>84.592344143176931</v>
      </c>
      <c r="AH16" s="719">
        <f>IF(AG16&lt;=0,0,AI16/AG16)</f>
        <v>1011.9718309859155</v>
      </c>
      <c r="AI16" s="720">
        <f>+SUM(AI9:AI15)</f>
        <v>85605.069389961442</v>
      </c>
      <c r="AJ16" s="718">
        <f>+SUM(AJ9:AJ15)</f>
        <v>49.161151631862197</v>
      </c>
      <c r="AK16" s="719">
        <f>IF(AJ16&lt;=0,0,AL16/AJ16)</f>
        <v>1011.9718309859155</v>
      </c>
      <c r="AL16" s="720">
        <f>+SUM(AL9:AL15)</f>
        <v>49749.700630271815</v>
      </c>
      <c r="AM16" s="718">
        <f>+SUM(AM9:AM15)</f>
        <v>28.779653869783864</v>
      </c>
      <c r="AN16" s="719">
        <f>IF(AM16&lt;=0,0,AO16/AM16)</f>
        <v>1011.9718309859156</v>
      </c>
      <c r="AO16" s="720">
        <f>+SUM(AO9:AO15)</f>
        <v>29124.19902174607</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399.99999999999994</v>
      </c>
      <c r="E18" s="725">
        <f>+SUM(H18,K18,N18,Q18,T18,W18,Z18,AC18,AF18,AI18,AL18,AO18)</f>
        <v>29600</v>
      </c>
      <c r="F18" s="726">
        <v>5.7654292717901754</v>
      </c>
      <c r="G18" s="724">
        <f>IF(F18=0,0,H18/F18)</f>
        <v>400</v>
      </c>
      <c r="H18" s="727">
        <v>2306.17170871607</v>
      </c>
      <c r="I18" s="726">
        <v>3.9693172618399633</v>
      </c>
      <c r="J18" s="724">
        <f>IF(I18=0,0,K18/I18)</f>
        <v>400</v>
      </c>
      <c r="K18" s="727">
        <v>1587.7269047359853</v>
      </c>
      <c r="L18" s="726">
        <v>6.0340474411865177</v>
      </c>
      <c r="M18" s="724">
        <f>IF(L18=0,0,N18/L18)</f>
        <v>400.00000000000006</v>
      </c>
      <c r="N18" s="727">
        <v>2413.6189764746073</v>
      </c>
      <c r="O18" s="726">
        <v>6.683508951061027</v>
      </c>
      <c r="P18" s="724">
        <f>IF(O18=0,0,Q18/O18)</f>
        <v>400</v>
      </c>
      <c r="Q18" s="727">
        <v>2673.4035804244108</v>
      </c>
      <c r="R18" s="726">
        <v>8.7335165213300154</v>
      </c>
      <c r="S18" s="724">
        <f>IF(R18=0,0,T18/R18)</f>
        <v>400</v>
      </c>
      <c r="T18" s="727">
        <v>3493.406608532006</v>
      </c>
      <c r="U18" s="726">
        <v>6.1531246441660761</v>
      </c>
      <c r="V18" s="724">
        <f>IF(U18=0,0,W18/U18)</f>
        <v>399.99999999999994</v>
      </c>
      <c r="W18" s="727">
        <v>2461.2498576664302</v>
      </c>
      <c r="X18" s="726">
        <v>6.1260868966777151</v>
      </c>
      <c r="Y18" s="724">
        <f>IF(X18=0,0,Z18/X18)</f>
        <v>400</v>
      </c>
      <c r="Z18" s="727">
        <v>2450.434758671086</v>
      </c>
      <c r="AA18" s="726">
        <v>6.4867445215652566</v>
      </c>
      <c r="AB18" s="724">
        <f>IF(AA18=0,0,AC18/AA18)</f>
        <v>399.99999999999994</v>
      </c>
      <c r="AC18" s="727">
        <v>2594.6978086261024</v>
      </c>
      <c r="AD18" s="726">
        <v>7.1081497386693089</v>
      </c>
      <c r="AE18" s="724">
        <f>IF(AD18=0,0,AF18/AD18)</f>
        <v>400</v>
      </c>
      <c r="AF18" s="727">
        <v>2843.2598954677237</v>
      </c>
      <c r="AG18" s="726">
        <v>8.8166668543592852</v>
      </c>
      <c r="AH18" s="724">
        <f>IF(AG18=0,0,AI18/AG18)</f>
        <v>400</v>
      </c>
      <c r="AI18" s="727">
        <v>3526.6667417437143</v>
      </c>
      <c r="AJ18" s="726">
        <v>5.1238383390954967</v>
      </c>
      <c r="AK18" s="724">
        <f>IF(AJ18=0,0,AL18/AJ18)</f>
        <v>400.00000000000006</v>
      </c>
      <c r="AL18" s="727">
        <v>2049.5353356381988</v>
      </c>
      <c r="AM18" s="726">
        <v>2.999569558259163</v>
      </c>
      <c r="AN18" s="724">
        <f>IF(AM18=0,0,AO18/AM18)</f>
        <v>399.99999999999994</v>
      </c>
      <c r="AO18" s="727">
        <v>1199.8278233036651</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0</v>
      </c>
      <c r="D20" s="713">
        <f>IF(C20=0,0,E20/C20)</f>
        <v>0</v>
      </c>
      <c r="E20" s="714">
        <f>+SUM(H20,K20,N20,Q20,T20,W20,Z20,AC20,AF20,AI20,AL20,AO20)</f>
        <v>0</v>
      </c>
      <c r="F20" s="715">
        <v>0</v>
      </c>
      <c r="G20" s="713">
        <f>IF(F20=0,0,H20/F20)</f>
        <v>0</v>
      </c>
      <c r="H20" s="716">
        <v>0</v>
      </c>
      <c r="I20" s="715">
        <v>0</v>
      </c>
      <c r="J20" s="713">
        <f>IF(I20=0,0,K20/I20)</f>
        <v>0</v>
      </c>
      <c r="K20" s="716">
        <v>0</v>
      </c>
      <c r="L20" s="715">
        <v>0</v>
      </c>
      <c r="M20" s="713">
        <f>IF(L20=0,0,N20/L20)</f>
        <v>0</v>
      </c>
      <c r="N20" s="716">
        <v>0</v>
      </c>
      <c r="O20" s="715">
        <v>0</v>
      </c>
      <c r="P20" s="713">
        <f>IF(O20=0,0,Q20/O20)</f>
        <v>0</v>
      </c>
      <c r="Q20" s="716">
        <v>0</v>
      </c>
      <c r="R20" s="715">
        <v>0</v>
      </c>
      <c r="S20" s="713">
        <f>IF(R20=0,0,T20/R20)</f>
        <v>0</v>
      </c>
      <c r="T20" s="716">
        <v>0</v>
      </c>
      <c r="U20" s="715">
        <v>0</v>
      </c>
      <c r="V20" s="713">
        <f>IF(U20=0,0,W20/U20)</f>
        <v>0</v>
      </c>
      <c r="W20" s="716">
        <v>0</v>
      </c>
      <c r="X20" s="715">
        <v>0</v>
      </c>
      <c r="Y20" s="713">
        <f>IF(X20=0,0,Z20/X20)</f>
        <v>0</v>
      </c>
      <c r="Z20" s="716">
        <v>0</v>
      </c>
      <c r="AA20" s="715">
        <v>0</v>
      </c>
      <c r="AB20" s="713">
        <f>IF(AA20=0,0,AC20/AA20)</f>
        <v>0</v>
      </c>
      <c r="AC20" s="716">
        <v>0</v>
      </c>
      <c r="AD20" s="715">
        <v>0</v>
      </c>
      <c r="AE20" s="713">
        <f>IF(AD20=0,0,AF20/AD20)</f>
        <v>0</v>
      </c>
      <c r="AF20" s="716">
        <v>0</v>
      </c>
      <c r="AG20" s="715">
        <v>0</v>
      </c>
      <c r="AH20" s="713">
        <f>IF(AG20=0,0,AI20/AG20)</f>
        <v>0</v>
      </c>
      <c r="AI20" s="716">
        <v>0</v>
      </c>
      <c r="AJ20" s="715">
        <v>0</v>
      </c>
      <c r="AK20" s="713">
        <f>IF(AJ20=0,0,AL20/AJ20)</f>
        <v>0</v>
      </c>
      <c r="AL20" s="716">
        <v>0</v>
      </c>
      <c r="AM20" s="715">
        <v>0</v>
      </c>
      <c r="AN20" s="713">
        <f>IF(AM20=0,0,AO20/AM20)</f>
        <v>0</v>
      </c>
      <c r="AO20" s="716">
        <v>0</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v>5000</v>
      </c>
      <c r="I22" s="712"/>
      <c r="J22" s="713"/>
      <c r="K22" s="716">
        <v>5000</v>
      </c>
      <c r="L22" s="712"/>
      <c r="M22" s="713"/>
      <c r="N22" s="716">
        <v>5000</v>
      </c>
      <c r="O22" s="712"/>
      <c r="P22" s="713"/>
      <c r="Q22" s="716">
        <v>5000</v>
      </c>
      <c r="R22" s="712"/>
      <c r="S22" s="713"/>
      <c r="T22" s="716">
        <v>5000</v>
      </c>
      <c r="U22" s="712"/>
      <c r="V22" s="713"/>
      <c r="W22" s="716">
        <v>5000</v>
      </c>
      <c r="X22" s="712"/>
      <c r="Y22" s="713"/>
      <c r="Z22" s="716">
        <v>5000</v>
      </c>
      <c r="AA22" s="712"/>
      <c r="AB22" s="713"/>
      <c r="AC22" s="716">
        <v>5000</v>
      </c>
      <c r="AD22" s="712"/>
      <c r="AE22" s="713"/>
      <c r="AF22" s="716">
        <v>5000</v>
      </c>
      <c r="AG22" s="712"/>
      <c r="AH22" s="713"/>
      <c r="AI22" s="716">
        <v>5000</v>
      </c>
      <c r="AJ22" s="712"/>
      <c r="AK22" s="713"/>
      <c r="AL22" s="716">
        <v>5000</v>
      </c>
      <c r="AM22" s="712"/>
      <c r="AN22" s="713"/>
      <c r="AO22" s="716">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v>5746.6182778184229</v>
      </c>
      <c r="I24" s="715"/>
      <c r="J24" s="713">
        <f>IF(I16=0,0,K24/(I16+I18))</f>
        <v>94.079794079794084</v>
      </c>
      <c r="K24" s="716">
        <v>3956.3664823637873</v>
      </c>
      <c r="L24" s="715"/>
      <c r="M24" s="713">
        <f>IF(L16=0,0,N24/(L16+L18))</f>
        <v>94.079794079794084</v>
      </c>
      <c r="N24" s="716">
        <v>6014.3600207550835</v>
      </c>
      <c r="O24" s="715"/>
      <c r="P24" s="713">
        <f>IF(O16=0,0,Q24/(O16+O18))</f>
        <v>94.079794079794084</v>
      </c>
      <c r="Q24" s="716">
        <v>6661.7025181552026</v>
      </c>
      <c r="R24" s="715"/>
      <c r="S24" s="713">
        <f>IF(R16=0,0,T24/(R16+R18))</f>
        <v>94.07979407979407</v>
      </c>
      <c r="T24" s="716">
        <v>8705.0214832521433</v>
      </c>
      <c r="U24" s="715"/>
      <c r="V24" s="713">
        <f>IF(U16=0,0,W24/(U16+U18))</f>
        <v>94.079794079794084</v>
      </c>
      <c r="W24" s="716">
        <v>6133.0487079031527</v>
      </c>
      <c r="X24" s="715"/>
      <c r="Y24" s="713">
        <f>IF(X16=0,0,Z24/(X16+X18))</f>
        <v>94.079794079794084</v>
      </c>
      <c r="Z24" s="716">
        <v>6106.0991770732644</v>
      </c>
      <c r="AA24" s="715"/>
      <c r="AB24" s="713">
        <f>IF(AA16=0,0,AC24/(AA16+AA18))</f>
        <v>94.079794079794084</v>
      </c>
      <c r="AC24" s="716">
        <v>6465.5800763281077</v>
      </c>
      <c r="AD24" s="715"/>
      <c r="AE24" s="713">
        <f>IF(AD16=0,0,AF24/(AD16+AD18))</f>
        <v>94.079794079794084</v>
      </c>
      <c r="AF24" s="716">
        <v>7084.9578208465273</v>
      </c>
      <c r="AG24" s="715"/>
      <c r="AH24" s="713">
        <f>IF(AG16=0,0,AI24/(AG16+AG18))</f>
        <v>94.079794079794098</v>
      </c>
      <c r="AI24" s="716">
        <v>8787.9005198454288</v>
      </c>
      <c r="AJ24" s="715"/>
      <c r="AK24" s="713">
        <f>IF(AJ16=0,0,AL24/(AJ16+AJ18))</f>
        <v>94.079794079794084</v>
      </c>
      <c r="AL24" s="716">
        <v>5107.1206780913872</v>
      </c>
      <c r="AM24" s="715"/>
      <c r="AN24" s="713">
        <f>IF(AM16=0,0,AO24/(AM16+AM18))</f>
        <v>94.079794079794084</v>
      </c>
      <c r="AO24" s="716">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v>45037.450223832748</v>
      </c>
      <c r="I25" s="715"/>
      <c r="J25" s="713">
        <f>IF(I16=0,0,K25/(I16+I18))</f>
        <v>737.32303732303728</v>
      </c>
      <c r="K25" s="716">
        <v>31006.872198990608</v>
      </c>
      <c r="L25" s="715"/>
      <c r="M25" s="713">
        <f>IF(L16=0,0,N25/(L16+L18))</f>
        <v>737.32303732303728</v>
      </c>
      <c r="N25" s="716">
        <v>47135.79830219681</v>
      </c>
      <c r="O25" s="715"/>
      <c r="P25" s="713">
        <f>IF(O16=0,0,Q25/(O16+O18))</f>
        <v>737.32303732303728</v>
      </c>
      <c r="Q25" s="716">
        <v>52209.156944611699</v>
      </c>
      <c r="R25" s="715"/>
      <c r="S25" s="713">
        <f>IF(R16=0,0,T25/(R16+R18))</f>
        <v>737.32303732303728</v>
      </c>
      <c r="T25" s="716">
        <v>68223.075345487727</v>
      </c>
      <c r="U25" s="715"/>
      <c r="V25" s="713">
        <f>IF(U16=0,0,W25/(U16+U18))</f>
        <v>737.32303732303728</v>
      </c>
      <c r="W25" s="716">
        <v>48065.986385194476</v>
      </c>
      <c r="X25" s="715"/>
      <c r="Y25" s="713">
        <f>IF(X16=0,0,Z25/(X16+X18))</f>
        <v>737.32303732303728</v>
      </c>
      <c r="Z25" s="716">
        <v>47854.777271481165</v>
      </c>
      <c r="AA25" s="715"/>
      <c r="AB25" s="713">
        <f>IF(AA16=0,0,AC25/(AA16+AA18))</f>
        <v>737.32303732303728</v>
      </c>
      <c r="AC25" s="716">
        <v>50672.104319129583</v>
      </c>
      <c r="AD25" s="715"/>
      <c r="AE25" s="713">
        <f>IF(AD16=0,0,AF25/(AD16+AD18))</f>
        <v>737.32303732303728</v>
      </c>
      <c r="AF25" s="716">
        <v>55526.297340122779</v>
      </c>
      <c r="AG25" s="715"/>
      <c r="AH25" s="713">
        <f>IF(AG16=0,0,AI25/(AG16+AG18))</f>
        <v>737.32303732303728</v>
      </c>
      <c r="AI25" s="716">
        <v>68872.615702044393</v>
      </c>
      <c r="AJ25" s="715"/>
      <c r="AK25" s="713">
        <f>IF(AJ16=0,0,AL25/(AJ16+AJ18))</f>
        <v>737.32303732303728</v>
      </c>
      <c r="AL25" s="716">
        <v>40025.573686437143</v>
      </c>
      <c r="AM25" s="715"/>
      <c r="AN25" s="713">
        <f>IF(AM16=0,0,AO25/(AM16+AM18))</f>
        <v>737.32303732303728</v>
      </c>
      <c r="AO25" s="716">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v>1135.9594270106184</v>
      </c>
      <c r="I26" s="715"/>
      <c r="J26" s="713">
        <f>IF(I16=0,0,K26/(I16+I18))</f>
        <v>18.597168597168597</v>
      </c>
      <c r="K26" s="716">
        <v>782.0724441881905</v>
      </c>
      <c r="L26" s="715"/>
      <c r="M26" s="713">
        <f>IF(L16=0,0,N26/(L16+L18))</f>
        <v>18.597168597168597</v>
      </c>
      <c r="N26" s="716">
        <v>1188.8851203818188</v>
      </c>
      <c r="O26" s="715"/>
      <c r="P26" s="713">
        <f>IF(O16=0,0,Q26/(O16+O18))</f>
        <v>18.597168597168597</v>
      </c>
      <c r="Q26" s="716">
        <v>1316.8481721934702</v>
      </c>
      <c r="R26" s="715"/>
      <c r="S26" s="713">
        <f>IF(R16=0,0,T26/(R16+R18))</f>
        <v>18.597168597168597</v>
      </c>
      <c r="T26" s="716">
        <v>1720.7600606428655</v>
      </c>
      <c r="U26" s="715"/>
      <c r="V26" s="713">
        <f>IF(U16=0,0,W26/(U16+U18))</f>
        <v>18.597168597168597</v>
      </c>
      <c r="W26" s="716">
        <v>1212.3468376087628</v>
      </c>
      <c r="X26" s="715"/>
      <c r="Y26" s="713">
        <f>IF(X16=0,0,Z26/(X16+X18))</f>
        <v>18.597168597168597</v>
      </c>
      <c r="Z26" s="716">
        <v>1207.0196047702964</v>
      </c>
      <c r="AA26" s="715"/>
      <c r="AB26" s="713">
        <f>IF(AA16=0,0,AC26/(AA16+AA18))</f>
        <v>18.597168597168597</v>
      </c>
      <c r="AC26" s="716">
        <v>1278.0797825299746</v>
      </c>
      <c r="AD26" s="715"/>
      <c r="AE26" s="713">
        <f>IF(AD16=0,0,AF26/(AD16+AD18))</f>
        <v>18.597168597168597</v>
      </c>
      <c r="AF26" s="716">
        <v>1400.5149180743135</v>
      </c>
      <c r="AG26" s="715"/>
      <c r="AH26" s="713">
        <f>IF(AG16=0,0,AI26/(AG16+AG18))</f>
        <v>18.597168597168597</v>
      </c>
      <c r="AI26" s="716">
        <v>1737.1431260159566</v>
      </c>
      <c r="AJ26" s="715"/>
      <c r="AK26" s="713">
        <f>IF(AJ16=0,0,AL26/(AJ16+AJ18))</f>
        <v>18.597168597168597</v>
      </c>
      <c r="AL26" s="716">
        <v>1009.5471107855067</v>
      </c>
      <c r="AM26" s="715"/>
      <c r="AN26" s="713">
        <f>IF(AM16=0,0,AO26/(AM16+AM18))</f>
        <v>18.597168597168597</v>
      </c>
      <c r="AO26" s="716">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784</v>
      </c>
      <c r="D30" s="737">
        <f>IF(C30&lt;=0,0,E30/C30)</f>
        <v>1880.7397959183672</v>
      </c>
      <c r="E30" s="738">
        <f>E16+E20+E27+E22+E18</f>
        <v>1474500</v>
      </c>
      <c r="F30" s="736">
        <f>+F16+F18+F20</f>
        <v>61.082385798425641</v>
      </c>
      <c r="G30" s="737">
        <f>IF(F30&lt;=0,0,H30/F30)</f>
        <v>1886.065842260778</v>
      </c>
      <c r="H30" s="738">
        <f>H16+H20+H27+H22+H18</f>
        <v>115205.40141820544</v>
      </c>
      <c r="I30" s="736">
        <f>+I16+I18+I20</f>
        <v>42.053307206520692</v>
      </c>
      <c r="J30" s="737">
        <f>IF(I30&lt;=0,0,K30/I30)</f>
        <v>1923.105896729719</v>
      </c>
      <c r="K30" s="738">
        <f>K16+K20+K27+K22+K18</f>
        <v>80872.963065846328</v>
      </c>
      <c r="L30" s="736">
        <f>+L16+L18+L20</f>
        <v>63.928286403922016</v>
      </c>
      <c r="M30" s="737">
        <f>IF(L30&lt;=0,0,N30/L30)</f>
        <v>1882.4218228862305</v>
      </c>
      <c r="N30" s="738">
        <f>N16+N20+N27+N22+N18</f>
        <v>120340.0014264639</v>
      </c>
      <c r="O30" s="736">
        <f>+O16+O18+O20</f>
        <v>70.809067805835738</v>
      </c>
      <c r="P30" s="737">
        <f>IF(O30&lt;=0,0,Q30/O30)</f>
        <v>1874.8216088180907</v>
      </c>
      <c r="Q30" s="738">
        <f>Q16+Q20+Q27+Q22+Q18</f>
        <v>132754.37042264623</v>
      </c>
      <c r="R30" s="736">
        <f>+R16+R18+R20</f>
        <v>92.528066928685575</v>
      </c>
      <c r="S30" s="737">
        <f>IF(R30&lt;=0,0,T30/R30)</f>
        <v>1858.2468412833882</v>
      </c>
      <c r="T30" s="738">
        <f>T16+T20+T27+T22+T18</f>
        <v>171939.98810028791</v>
      </c>
      <c r="U30" s="736">
        <f>+U16+U18+U20</f>
        <v>65.189861094948697</v>
      </c>
      <c r="V30" s="737">
        <f>IF(U30&lt;=0,0,W30/U30)</f>
        <v>1880.9082272980224</v>
      </c>
      <c r="W30" s="738">
        <f>W16+W20+W27+W22+W18</f>
        <v>122616.14606990427</v>
      </c>
      <c r="X30" s="736">
        <f>+X16+X18+X20</f>
        <v>64.903407121558502</v>
      </c>
      <c r="Y30" s="737">
        <f>IF(X30&lt;=0,0,Z30/X30)</f>
        <v>1881.2467418194606</v>
      </c>
      <c r="Z30" s="738">
        <f>Z16+Z20+Z27+Z22+Z18</f>
        <v>122099.32318041391</v>
      </c>
      <c r="AA30" s="736">
        <f>+AA16+AA18+AA20</f>
        <v>68.72442844469137</v>
      </c>
      <c r="AB30" s="737">
        <f>IF(AA30&lt;=0,0,AC30/AA30)</f>
        <v>1876.9635173675495</v>
      </c>
      <c r="AC30" s="738">
        <f>AC16+AC20+AC27+AC22+AC18</f>
        <v>128993.24494262238</v>
      </c>
      <c r="AD30" s="736">
        <f>+AD16+AD18+AD20</f>
        <v>75.307964798874849</v>
      </c>
      <c r="AE30" s="737">
        <f>IF(AD30&lt;=0,0,AF30/AD30)</f>
        <v>1870.6032233126164</v>
      </c>
      <c r="AF30" s="738">
        <f>AF16+AF20+AF27+AF22+AF18</f>
        <v>140871.32169388834</v>
      </c>
      <c r="AG30" s="736">
        <f>+AG16+AG18+AG20</f>
        <v>93.409010997536214</v>
      </c>
      <c r="AH30" s="737">
        <f>IF(AG30&lt;=0,0,AI30/AG30)</f>
        <v>1857.7372100020198</v>
      </c>
      <c r="AI30" s="738">
        <f>AI16+AI20+AI27+AI22+AI18</f>
        <v>173529.39547961092</v>
      </c>
      <c r="AJ30" s="736">
        <f>+AJ16+AJ18+AJ20</f>
        <v>54.284989970957696</v>
      </c>
      <c r="AK30" s="737">
        <f>IF(AJ30&lt;=0,0,AL30/AJ30)</f>
        <v>1896.3156757751531</v>
      </c>
      <c r="AL30" s="738">
        <f>AL16+AL20+AL27+AL22+AL18</f>
        <v>102941.47744122405</v>
      </c>
      <c r="AM30" s="736">
        <f>+AM16+AM18+AM20</f>
        <v>31.779223428043029</v>
      </c>
      <c r="AN30" s="737">
        <f>IF(AM30&lt;=0,0,AO30/AM30)</f>
        <v>1961.5446834323413</v>
      </c>
      <c r="AO30" s="738">
        <f>AO16+AO20+AO27+AO22+AO18</f>
        <v>62336.36675888631</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0.39740475872209596</v>
      </c>
      <c r="D34" s="748">
        <f t="shared" ref="D34:D43" si="16">IF(E34=0,0,E34/C$27)</f>
        <v>379.20727040816325</v>
      </c>
      <c r="E34" s="734">
        <f t="shared" ref="E34:E43" si="17">+SUM(H34,K34,N34,Q34,T34,W34,Z34,AC34,AF34,AI34,AL34,AO34)</f>
        <v>297298.5</v>
      </c>
      <c r="F34" s="747">
        <f>H34/(H16+H18)</f>
        <v>0.40539344384558434</v>
      </c>
      <c r="G34" s="748">
        <f t="shared" ref="G34:G43" si="18">IF(H34=0,0,H34/F$27)</f>
        <v>386.83014711847153</v>
      </c>
      <c r="H34" s="749">
        <v>23628.508284752228</v>
      </c>
      <c r="I34" s="747">
        <f>K34/(K16+K18)</f>
        <v>0.44880474282053412</v>
      </c>
      <c r="J34" s="748">
        <f t="shared" ref="J34:J36" si="19">IF(K34=0,0,K34/I$27)</f>
        <v>428.25360727556324</v>
      </c>
      <c r="K34" s="749">
        <v>18009.480509059926</v>
      </c>
      <c r="L34" s="747">
        <f>N34/(N16+N18)</f>
        <v>0.40432916240523931</v>
      </c>
      <c r="M34" s="748">
        <f t="shared" ref="M34:M36" si="20">IF(N34=0,0,N34/L$27)</f>
        <v>385.81459999408111</v>
      </c>
      <c r="N34" s="749">
        <v>24664.466247236225</v>
      </c>
      <c r="O34" s="747">
        <f>Q34/(Q16+Q18)</f>
        <v>0.39047512217984648</v>
      </c>
      <c r="P34" s="748">
        <f t="shared" ref="P34:P36" si="21">IF(Q34=0,0,Q34/O$27)</f>
        <v>372.5949475800295</v>
      </c>
      <c r="Q34" s="749">
        <v>26383.100907306121</v>
      </c>
      <c r="R34" s="747">
        <f>T34/(T16+T18)</f>
        <v>0.36587947968284396</v>
      </c>
      <c r="S34" s="748">
        <f t="shared" ref="S34:S36" si="22">IF(T34=0,0,T34/R$27)</f>
        <v>349.12555963104023</v>
      </c>
      <c r="T34" s="749">
        <v>32303.913148055697</v>
      </c>
      <c r="U34" s="747">
        <f>W34/(W16+W18)</f>
        <v>0.39855056216453416</v>
      </c>
      <c r="V34" s="748">
        <f t="shared" ref="V34:V36" si="23">IF(W34=0,0,W34/U$27)</f>
        <v>380.30060657562251</v>
      </c>
      <c r="W34" s="749">
        <v>24791.743716989564</v>
      </c>
      <c r="X34" s="747">
        <f>Z34/(Z16+Z18)</f>
        <v>0.402713472275674</v>
      </c>
      <c r="Y34" s="748">
        <f t="shared" ref="Y34:Y36" si="24">IF(Z34=0,0,Z34/X$27)</f>
        <v>384.2728936344792</v>
      </c>
      <c r="Z34" s="749">
        <v>24940.620061337951</v>
      </c>
      <c r="AA34" s="747">
        <f>AC34/(AC16+AC18)</f>
        <v>0.39331690600462088</v>
      </c>
      <c r="AB34" s="748">
        <f t="shared" ref="AB34:AB36" si="25">IF(AC34=0,0,AC34/AA$27)</f>
        <v>375.30660380364401</v>
      </c>
      <c r="AC34" s="749">
        <v>25792.731837923668</v>
      </c>
      <c r="AD34" s="747">
        <f>AF34/(AF16+AF18)</f>
        <v>0.38487836610025095</v>
      </c>
      <c r="AE34" s="748">
        <f t="shared" ref="AE34:AE36" si="26">IF(AF34=0,0,AF34/AD$27)</f>
        <v>367.25447153009912</v>
      </c>
      <c r="AF34" s="749">
        <v>27657.18681421809</v>
      </c>
      <c r="AG34" s="747">
        <f>AI34/(AI16+AI18)</f>
        <v>0.36780834295447806</v>
      </c>
      <c r="AH34" s="748">
        <f t="shared" ref="AH34:AH36" si="27">IF(AI34=0,0,AI34/AG$27)</f>
        <v>350.96609867888395</v>
      </c>
      <c r="AI34" s="749">
        <v>32783.396171258253</v>
      </c>
      <c r="AJ34" s="747">
        <f>AL34/(AL16+AL18)</f>
        <v>0.41899244231596533</v>
      </c>
      <c r="AK34" s="748">
        <f t="shared" ref="AK34:AK36" si="28">IF(AL34=0,0,AL34/AJ$27)</f>
        <v>399.80643634767046</v>
      </c>
      <c r="AL34" s="749">
        <v>21703.488387457626</v>
      </c>
      <c r="AM34" s="747">
        <f>AO34/(AO16+AO18)</f>
        <v>0.48278099703616872</v>
      </c>
      <c r="AN34" s="748">
        <f t="shared" ref="AN34:AN36" si="29">IF(AO34=0,0,AO34/AM$27)</f>
        <v>460.67406107494628</v>
      </c>
      <c r="AO34" s="749">
        <v>14639.863914404657</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v>15576.008378598535</v>
      </c>
      <c r="I35" s="750">
        <f>K35/K27</f>
        <v>0.3</v>
      </c>
      <c r="J35" s="751">
        <f t="shared" si="19"/>
        <v>254.99999999999994</v>
      </c>
      <c r="K35" s="753">
        <v>10723.593337662775</v>
      </c>
      <c r="L35" s="750">
        <f>N35/N27</f>
        <v>0.3</v>
      </c>
      <c r="M35" s="751">
        <f t="shared" si="20"/>
        <v>254.99999999999997</v>
      </c>
      <c r="N35" s="753">
        <v>16301.713033000113</v>
      </c>
      <c r="O35" s="750">
        <f>Q35/Q27</f>
        <v>0.3</v>
      </c>
      <c r="P35" s="751">
        <f t="shared" si="21"/>
        <v>255</v>
      </c>
      <c r="Q35" s="753">
        <v>18056.312290488113</v>
      </c>
      <c r="R35" s="750">
        <f>T35/T27</f>
        <v>0.3</v>
      </c>
      <c r="S35" s="751">
        <f t="shared" si="22"/>
        <v>254.99999999999997</v>
      </c>
      <c r="T35" s="753">
        <v>23594.65706681482</v>
      </c>
      <c r="U35" s="750">
        <f>W35/W27</f>
        <v>0.3</v>
      </c>
      <c r="V35" s="751">
        <f t="shared" si="23"/>
        <v>254.99999999999997</v>
      </c>
      <c r="W35" s="753">
        <v>16623.414579211916</v>
      </c>
      <c r="X35" s="750">
        <f>Z35/Z27</f>
        <v>0.3</v>
      </c>
      <c r="Y35" s="751">
        <f t="shared" si="24"/>
        <v>255.00000000000003</v>
      </c>
      <c r="Z35" s="753">
        <v>16550.368815997419</v>
      </c>
      <c r="AA35" s="750">
        <f>AC35/AC27</f>
        <v>0.3</v>
      </c>
      <c r="AB35" s="751">
        <f t="shared" si="25"/>
        <v>254.99999999999997</v>
      </c>
      <c r="AC35" s="753">
        <v>17524.729253396297</v>
      </c>
      <c r="AD35" s="750">
        <f>AF35/AF27</f>
        <v>0.3</v>
      </c>
      <c r="AE35" s="751">
        <f t="shared" si="26"/>
        <v>254.99999999999997</v>
      </c>
      <c r="AF35" s="753">
        <v>19203.531023713083</v>
      </c>
      <c r="AG35" s="750">
        <f>AI35/AI27</f>
        <v>0.3</v>
      </c>
      <c r="AH35" s="751">
        <f t="shared" si="27"/>
        <v>255</v>
      </c>
      <c r="AI35" s="753">
        <v>23819.297804371734</v>
      </c>
      <c r="AJ35" s="750">
        <f>AL35/AL27</f>
        <v>0.3</v>
      </c>
      <c r="AK35" s="751">
        <f t="shared" si="28"/>
        <v>254.99999999999997</v>
      </c>
      <c r="AL35" s="753">
        <v>13842.67244259421</v>
      </c>
      <c r="AM35" s="750">
        <f>AO35/AO27</f>
        <v>0.3</v>
      </c>
      <c r="AN35" s="751">
        <f t="shared" si="29"/>
        <v>255</v>
      </c>
      <c r="AO35" s="753">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v>12033.230002289851</v>
      </c>
      <c r="I36" s="711"/>
      <c r="J36" s="748">
        <f t="shared" si="19"/>
        <v>197</v>
      </c>
      <c r="K36" s="749">
        <v>8284.5015196845761</v>
      </c>
      <c r="L36" s="711"/>
      <c r="M36" s="748">
        <f t="shared" si="20"/>
        <v>197</v>
      </c>
      <c r="N36" s="749">
        <v>12593.872421572638</v>
      </c>
      <c r="O36" s="711"/>
      <c r="P36" s="748">
        <f t="shared" si="21"/>
        <v>197</v>
      </c>
      <c r="Q36" s="749">
        <v>13949.386357749641</v>
      </c>
      <c r="R36" s="711"/>
      <c r="S36" s="748">
        <f t="shared" si="22"/>
        <v>197</v>
      </c>
      <c r="T36" s="749">
        <v>18228.029184951058</v>
      </c>
      <c r="U36" s="711"/>
      <c r="V36" s="748">
        <f t="shared" si="23"/>
        <v>197</v>
      </c>
      <c r="W36" s="749">
        <v>12842.402635704893</v>
      </c>
      <c r="X36" s="711"/>
      <c r="Y36" s="748">
        <f t="shared" si="24"/>
        <v>197</v>
      </c>
      <c r="Z36" s="749">
        <v>12785.971202947025</v>
      </c>
      <c r="AA36" s="711"/>
      <c r="AB36" s="748">
        <f t="shared" si="25"/>
        <v>197</v>
      </c>
      <c r="AC36" s="749">
        <v>13538.712403604201</v>
      </c>
      <c r="AD36" s="711"/>
      <c r="AE36" s="748">
        <f t="shared" si="26"/>
        <v>197</v>
      </c>
      <c r="AF36" s="749">
        <v>14835.669065378344</v>
      </c>
      <c r="AG36" s="711"/>
      <c r="AH36" s="748">
        <f t="shared" si="27"/>
        <v>197</v>
      </c>
      <c r="AI36" s="749">
        <v>18401.575166514634</v>
      </c>
      <c r="AJ36" s="711"/>
      <c r="AK36" s="748">
        <f t="shared" si="28"/>
        <v>197</v>
      </c>
      <c r="AL36" s="749">
        <v>10694.143024278666</v>
      </c>
      <c r="AM36" s="711"/>
      <c r="AN36" s="748">
        <f t="shared" si="29"/>
        <v>197</v>
      </c>
      <c r="AO36" s="749">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v>366.49431479055386</v>
      </c>
      <c r="I37" s="711"/>
      <c r="J37" s="748">
        <f>IF(K37=0,0,K37/I$27)</f>
        <v>6</v>
      </c>
      <c r="K37" s="749">
        <v>252.31984323912417</v>
      </c>
      <c r="L37" s="711"/>
      <c r="M37" s="748">
        <f>IF(N37=0,0,N37/L$27)</f>
        <v>6</v>
      </c>
      <c r="N37" s="749">
        <v>383.56971842353209</v>
      </c>
      <c r="O37" s="711"/>
      <c r="P37" s="748">
        <f>IF(Q37=0,0,Q37/O$27)</f>
        <v>6</v>
      </c>
      <c r="Q37" s="749">
        <v>424.8544068350144</v>
      </c>
      <c r="R37" s="711"/>
      <c r="S37" s="748">
        <f>IF(T37=0,0,T37/R$27)</f>
        <v>6</v>
      </c>
      <c r="T37" s="749">
        <v>555.16840157211345</v>
      </c>
      <c r="U37" s="711"/>
      <c r="V37" s="748">
        <f>IF(W37=0,0,W37/U$27)</f>
        <v>6</v>
      </c>
      <c r="W37" s="749">
        <v>391.13916656969218</v>
      </c>
      <c r="X37" s="711"/>
      <c r="Y37" s="748">
        <f>IF(Z37=0,0,Z37/X$27)</f>
        <v>6</v>
      </c>
      <c r="Z37" s="749">
        <v>389.42044272935101</v>
      </c>
      <c r="AA37" s="711"/>
      <c r="AB37" s="748">
        <f>IF(AC37=0,0,AC37/AA$27)</f>
        <v>6</v>
      </c>
      <c r="AC37" s="749">
        <v>412.34657066814822</v>
      </c>
      <c r="AD37" s="711"/>
      <c r="AE37" s="748">
        <f>IF(AF37=0,0,AF37/AD$27)</f>
        <v>6</v>
      </c>
      <c r="AF37" s="749">
        <v>451.84778879324909</v>
      </c>
      <c r="AG37" s="711"/>
      <c r="AH37" s="748">
        <f>IF(AI37=0,0,AI37/AG$27)</f>
        <v>6</v>
      </c>
      <c r="AI37" s="749">
        <v>560.45406598521731</v>
      </c>
      <c r="AJ37" s="711"/>
      <c r="AK37" s="748">
        <f>IF(AL37=0,0,AL37/AJ$27)</f>
        <v>6</v>
      </c>
      <c r="AL37" s="749">
        <v>325.70993982574618</v>
      </c>
      <c r="AM37" s="711"/>
      <c r="AN37" s="748">
        <f>IF(AO37=0,0,AO37/AM$27)</f>
        <v>6</v>
      </c>
      <c r="AO37" s="749">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v>2076.8011171464718</v>
      </c>
      <c r="I38" s="706"/>
      <c r="J38" s="751">
        <f t="shared" ref="J38:J43" si="30">IF(K38=0,0,K38/I$27)</f>
        <v>34</v>
      </c>
      <c r="K38" s="753">
        <v>1429.8124450217035</v>
      </c>
      <c r="L38" s="706"/>
      <c r="M38" s="751">
        <f t="shared" ref="M38:M43" si="31">IF(N38=0,0,N38/L$27)</f>
        <v>33.999999999999993</v>
      </c>
      <c r="N38" s="753">
        <v>2173.5617377333483</v>
      </c>
      <c r="O38" s="706"/>
      <c r="P38" s="751">
        <f t="shared" ref="P38:P43" si="32">IF(Q38=0,0,Q38/O$27)</f>
        <v>34</v>
      </c>
      <c r="Q38" s="753">
        <v>2407.5083053984149</v>
      </c>
      <c r="R38" s="706"/>
      <c r="S38" s="751">
        <f t="shared" ref="S38:S43" si="33">IF(T38=0,0,T38/R$27)</f>
        <v>34</v>
      </c>
      <c r="T38" s="753">
        <v>3145.9542755753096</v>
      </c>
      <c r="U38" s="706"/>
      <c r="V38" s="751">
        <f t="shared" ref="V38:V43" si="34">IF(W38=0,0,W38/U$27)</f>
        <v>34</v>
      </c>
      <c r="W38" s="753">
        <v>2216.4552772282559</v>
      </c>
      <c r="X38" s="706"/>
      <c r="Y38" s="751">
        <f t="shared" ref="Y38:Y43" si="35">IF(Z38=0,0,Z38/X$27)</f>
        <v>34</v>
      </c>
      <c r="Z38" s="753">
        <v>2206.7158421329891</v>
      </c>
      <c r="AA38" s="706"/>
      <c r="AB38" s="751">
        <f t="shared" ref="AB38:AB43" si="36">IF(AC38=0,0,AC38/AA$27)</f>
        <v>34</v>
      </c>
      <c r="AC38" s="753">
        <v>2336.6305671195064</v>
      </c>
      <c r="AD38" s="706"/>
      <c r="AE38" s="751">
        <f t="shared" ref="AE38:AE43" si="37">IF(AF38=0,0,AF38/AD$27)</f>
        <v>34</v>
      </c>
      <c r="AF38" s="753">
        <v>2560.4708031617447</v>
      </c>
      <c r="AG38" s="706"/>
      <c r="AH38" s="751">
        <f t="shared" ref="AH38:AH43" si="38">IF(AI38=0,0,AI38/AG$27)</f>
        <v>34</v>
      </c>
      <c r="AI38" s="753">
        <v>3175.9063739162311</v>
      </c>
      <c r="AJ38" s="706"/>
      <c r="AK38" s="751">
        <f t="shared" ref="AK38:AK43" si="39">IF(AL38=0,0,AL38/AJ$27)</f>
        <v>34</v>
      </c>
      <c r="AL38" s="753">
        <v>1845.6896590125616</v>
      </c>
      <c r="AM38" s="706"/>
      <c r="AN38" s="751">
        <f t="shared" ref="AN38:AN43" si="40">IF(AO38=0,0,AO38/AM$27)</f>
        <v>34</v>
      </c>
      <c r="AO38" s="753">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v>11035.732827063774</v>
      </c>
      <c r="I39" s="711"/>
      <c r="J39" s="748">
        <f t="shared" si="30"/>
        <v>180.66964285714283</v>
      </c>
      <c r="K39" s="749">
        <v>7597.7559939638049</v>
      </c>
      <c r="L39" s="711"/>
      <c r="M39" s="748">
        <f t="shared" si="31"/>
        <v>180.6696428571428</v>
      </c>
      <c r="N39" s="749">
        <v>11549.900673065729</v>
      </c>
      <c r="O39" s="711"/>
      <c r="P39" s="748">
        <f t="shared" si="32"/>
        <v>180.66964285714283</v>
      </c>
      <c r="Q39" s="749">
        <v>12793.048991527554</v>
      </c>
      <c r="R39" s="711"/>
      <c r="S39" s="748">
        <f t="shared" si="33"/>
        <v>180.6696428571428</v>
      </c>
      <c r="T39" s="749">
        <v>16717.01280626743</v>
      </c>
      <c r="U39" s="711"/>
      <c r="V39" s="748">
        <f t="shared" si="34"/>
        <v>180.66964285714283</v>
      </c>
      <c r="W39" s="749">
        <v>11777.828921931132</v>
      </c>
      <c r="X39" s="711"/>
      <c r="Y39" s="748">
        <f t="shared" si="35"/>
        <v>180.66964285714283</v>
      </c>
      <c r="Z39" s="749">
        <v>11726.075384863716</v>
      </c>
      <c r="AA39" s="711"/>
      <c r="AB39" s="748">
        <f t="shared" si="36"/>
        <v>180.66964285714283</v>
      </c>
      <c r="AC39" s="749">
        <v>12416.417942663658</v>
      </c>
      <c r="AD39" s="711"/>
      <c r="AE39" s="748">
        <f t="shared" si="37"/>
        <v>180.6696428571428</v>
      </c>
      <c r="AF39" s="749">
        <v>13605.863104511001</v>
      </c>
      <c r="AG39" s="711"/>
      <c r="AH39" s="748">
        <f t="shared" si="38"/>
        <v>180.66964285714283</v>
      </c>
      <c r="AI39" s="749">
        <v>16876.172656563795</v>
      </c>
      <c r="AJ39" s="711"/>
      <c r="AK39" s="748">
        <f t="shared" si="39"/>
        <v>180.6696428571428</v>
      </c>
      <c r="AL39" s="749">
        <v>9807.6497505565058</v>
      </c>
      <c r="AM39" s="711"/>
      <c r="AN39" s="748">
        <f t="shared" si="40"/>
        <v>180.66964285714283</v>
      </c>
      <c r="AO39" s="749">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222.74972542441915</v>
      </c>
      <c r="E40" s="734">
        <f t="shared" si="17"/>
        <v>174635.78473274462</v>
      </c>
      <c r="F40" s="711"/>
      <c r="G40" s="748">
        <f t="shared" si="18"/>
        <v>226.36716442881018</v>
      </c>
      <c r="H40" s="749">
        <v>13827.046469736237</v>
      </c>
      <c r="I40" s="711"/>
      <c r="J40" s="748">
        <f t="shared" si="30"/>
        <v>330.58249123257906</v>
      </c>
      <c r="K40" s="749">
        <v>13902.087060900581</v>
      </c>
      <c r="L40" s="711"/>
      <c r="M40" s="748">
        <f t="shared" si="31"/>
        <v>229.32442912116127</v>
      </c>
      <c r="N40" s="749">
        <v>14660.317784273513</v>
      </c>
      <c r="O40" s="711"/>
      <c r="P40" s="748">
        <f t="shared" si="32"/>
        <v>217.69013643374319</v>
      </c>
      <c r="Q40" s="749">
        <v>15414.435631398555</v>
      </c>
      <c r="R40" s="711"/>
      <c r="S40" s="748">
        <f t="shared" si="33"/>
        <v>164.99067931091494</v>
      </c>
      <c r="T40" s="749">
        <v>15266.268617889637</v>
      </c>
      <c r="U40" s="711"/>
      <c r="V40" s="748">
        <f t="shared" si="34"/>
        <v>223.0080333033099</v>
      </c>
      <c r="W40" s="749">
        <v>14537.862714100465</v>
      </c>
      <c r="X40" s="711"/>
      <c r="Y40" s="748">
        <f t="shared" si="35"/>
        <v>225.4282585581943</v>
      </c>
      <c r="Z40" s="749">
        <v>14631.06204190644</v>
      </c>
      <c r="AA40" s="711"/>
      <c r="AB40" s="748">
        <f t="shared" si="36"/>
        <v>216.88661996860117</v>
      </c>
      <c r="AC40" s="749">
        <v>14905.408994643101</v>
      </c>
      <c r="AD40" s="711"/>
      <c r="AE40" s="748">
        <f t="shared" si="37"/>
        <v>206.56900107150264</v>
      </c>
      <c r="AF40" s="749">
        <v>15556.291061231463</v>
      </c>
      <c r="AG40" s="711"/>
      <c r="AH40" s="748">
        <f t="shared" si="38"/>
        <v>160.60504182277847</v>
      </c>
      <c r="AI40" s="749">
        <v>15001.958117883678</v>
      </c>
      <c r="AJ40" s="711"/>
      <c r="AK40" s="748">
        <f t="shared" si="39"/>
        <v>246.41998457569252</v>
      </c>
      <c r="AL40" s="749">
        <v>13376.906391335018</v>
      </c>
      <c r="AM40" s="711"/>
      <c r="AN40" s="748">
        <f t="shared" si="40"/>
        <v>426.5724075398125</v>
      </c>
      <c r="AO40" s="749">
        <v>13556.139847445927</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0.67772620192115607</v>
      </c>
      <c r="E44" s="757">
        <f>SUM(E34:E43)</f>
        <v>999307.28473274456</v>
      </c>
      <c r="F44" s="755" t="s">
        <v>111</v>
      </c>
      <c r="G44" s="756">
        <f>IFERROR(H44/H$30,0)</f>
        <v>0.68177203870204728</v>
      </c>
      <c r="H44" s="757">
        <f>SUM(H34:H43)</f>
        <v>78543.82139437765</v>
      </c>
      <c r="I44" s="755" t="s">
        <v>111</v>
      </c>
      <c r="J44" s="756">
        <f>IFERROR(K44/K$30,0)</f>
        <v>0.74437177058194759</v>
      </c>
      <c r="K44" s="757">
        <f>SUM(K34:K43)</f>
        <v>60199.550709532487</v>
      </c>
      <c r="L44" s="755" t="s">
        <v>111</v>
      </c>
      <c r="M44" s="756">
        <f>IFERROR(N44/N$30,0)</f>
        <v>0.68412332258125208</v>
      </c>
      <c r="N44" s="757">
        <f>SUM(N34:N43)</f>
        <v>82327.401615305105</v>
      </c>
      <c r="O44" s="755" t="s">
        <v>111</v>
      </c>
      <c r="P44" s="756">
        <f>IFERROR(Q44/Q$30,0)</f>
        <v>0.67363994575841102</v>
      </c>
      <c r="Q44" s="757">
        <f>SUM(Q34:Q43)</f>
        <v>89428.646890703414</v>
      </c>
      <c r="R44" s="755" t="s">
        <v>111</v>
      </c>
      <c r="S44" s="756">
        <f>IFERROR(T44/T$30,0)</f>
        <v>0.63865889904026452</v>
      </c>
      <c r="T44" s="757">
        <f>SUM(T34:T43)</f>
        <v>109811.00350112606</v>
      </c>
      <c r="U44" s="755" t="s">
        <v>111</v>
      </c>
      <c r="V44" s="756">
        <f>IFERROR(W44/W$30,0)</f>
        <v>0.67838412540151094</v>
      </c>
      <c r="W44" s="757">
        <f>SUM(W34:W43)</f>
        <v>83180.847011735925</v>
      </c>
      <c r="X44" s="755" t="s">
        <v>111</v>
      </c>
      <c r="Y44" s="756">
        <f>IFERROR(Z44/Z$30,0)</f>
        <v>0.68166007496154524</v>
      </c>
      <c r="Z44" s="757">
        <f>SUM(Z34:Z43)</f>
        <v>83230.233791914885</v>
      </c>
      <c r="AA44" s="755" t="s">
        <v>111</v>
      </c>
      <c r="AB44" s="756">
        <f>IFERROR(AC44/AC$30,0)</f>
        <v>0.67388782729424834</v>
      </c>
      <c r="AC44" s="757">
        <f>SUM(AC34:AC43)</f>
        <v>86926.977570018586</v>
      </c>
      <c r="AD44" s="755" t="s">
        <v>111</v>
      </c>
      <c r="AE44" s="756">
        <f>IFERROR(AF44/AF$30,0)</f>
        <v>0.66635890493728178</v>
      </c>
      <c r="AF44" s="757">
        <f>SUM(AF34:AF43)</f>
        <v>93870.85966100698</v>
      </c>
      <c r="AG44" s="755" t="s">
        <v>111</v>
      </c>
      <c r="AH44" s="756">
        <f>IFERROR(AI44/AI$30,0)</f>
        <v>0.63746410255598951</v>
      </c>
      <c r="AI44" s="757">
        <f>SUM(AI34:AI43)</f>
        <v>110618.76035649356</v>
      </c>
      <c r="AJ44" s="755" t="s">
        <v>111</v>
      </c>
      <c r="AK44" s="756">
        <f>IFERROR(AL44/AL$30,0)</f>
        <v>0.69550448832385647</v>
      </c>
      <c r="AL44" s="757">
        <f>SUM(AL34:AL43)</f>
        <v>71596.259595060343</v>
      </c>
      <c r="AM44" s="755" t="s">
        <v>111</v>
      </c>
      <c r="AN44" s="756">
        <f>IFERROR(AO44/AO$30,0)</f>
        <v>0.79524882846019906</v>
      </c>
      <c r="AO44" s="757">
        <f>SUM(AO34:AO43)</f>
        <v>49572.922635469637</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v>24368.631609195403</v>
      </c>
      <c r="I45" s="711"/>
      <c r="J45" s="733"/>
      <c r="K45" s="749">
        <v>23592.962643678162</v>
      </c>
      <c r="L45" s="711"/>
      <c r="M45" s="733"/>
      <c r="N45" s="749">
        <v>25919.969540229882</v>
      </c>
      <c r="O45" s="711"/>
      <c r="P45" s="733"/>
      <c r="Q45" s="749">
        <v>24368.631609195403</v>
      </c>
      <c r="R45" s="711"/>
      <c r="S45" s="733"/>
      <c r="T45" s="749">
        <v>25144.300574712641</v>
      </c>
      <c r="U45" s="711"/>
      <c r="V45" s="733"/>
      <c r="W45" s="749">
        <v>25144.300574712641</v>
      </c>
      <c r="X45" s="711"/>
      <c r="Y45" s="733"/>
      <c r="Z45" s="749">
        <v>25144.300574712641</v>
      </c>
      <c r="AA45" s="711"/>
      <c r="AB45" s="733"/>
      <c r="AC45" s="749">
        <v>25144.300574712641</v>
      </c>
      <c r="AD45" s="711"/>
      <c r="AE45" s="733"/>
      <c r="AF45" s="749">
        <v>25144.300574712641</v>
      </c>
      <c r="AG45" s="711"/>
      <c r="AH45" s="733"/>
      <c r="AI45" s="749">
        <v>24368.631609195403</v>
      </c>
      <c r="AJ45" s="711"/>
      <c r="AK45" s="733"/>
      <c r="AL45" s="749">
        <v>25144.300574712641</v>
      </c>
      <c r="AM45" s="711"/>
      <c r="AN45" s="733"/>
      <c r="AO45" s="749">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v>9573.4805155862086</v>
      </c>
      <c r="I46" s="711"/>
      <c r="J46" s="733"/>
      <c r="K46" s="749">
        <v>9117.6004910344818</v>
      </c>
      <c r="L46" s="711"/>
      <c r="M46" s="733"/>
      <c r="N46" s="749">
        <v>10485.240564689655</v>
      </c>
      <c r="O46" s="711"/>
      <c r="P46" s="733"/>
      <c r="Q46" s="749">
        <v>9573.4805155862086</v>
      </c>
      <c r="R46" s="711"/>
      <c r="S46" s="733"/>
      <c r="T46" s="749">
        <v>10029.360540137932</v>
      </c>
      <c r="U46" s="711"/>
      <c r="V46" s="733"/>
      <c r="W46" s="749">
        <v>10029.360540137932</v>
      </c>
      <c r="X46" s="711"/>
      <c r="Y46" s="733"/>
      <c r="Z46" s="749">
        <v>10029.360540137932</v>
      </c>
      <c r="AA46" s="711"/>
      <c r="AB46" s="733"/>
      <c r="AC46" s="749">
        <v>10029.360540137932</v>
      </c>
      <c r="AD46" s="711"/>
      <c r="AE46" s="733"/>
      <c r="AF46" s="749">
        <v>10029.360540137932</v>
      </c>
      <c r="AG46" s="711"/>
      <c r="AH46" s="733"/>
      <c r="AI46" s="749">
        <v>9573.4805155862086</v>
      </c>
      <c r="AJ46" s="711"/>
      <c r="AK46" s="733"/>
      <c r="AL46" s="749">
        <v>10029.360540137932</v>
      </c>
      <c r="AM46" s="711"/>
      <c r="AN46" s="733"/>
      <c r="AO46" s="749">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v>6032.6672478896544</v>
      </c>
      <c r="I47" s="702"/>
      <c r="J47" s="760"/>
      <c r="K47" s="762">
        <v>5745.3973789425281</v>
      </c>
      <c r="L47" s="702"/>
      <c r="M47" s="760"/>
      <c r="N47" s="762">
        <v>6607.2069857839078</v>
      </c>
      <c r="O47" s="702"/>
      <c r="P47" s="760"/>
      <c r="Q47" s="762">
        <v>6032.6672478896544</v>
      </c>
      <c r="R47" s="702"/>
      <c r="S47" s="760"/>
      <c r="T47" s="762">
        <v>6319.9371168367816</v>
      </c>
      <c r="U47" s="702"/>
      <c r="V47" s="760"/>
      <c r="W47" s="762">
        <v>6319.9371168367816</v>
      </c>
      <c r="X47" s="702"/>
      <c r="Y47" s="760"/>
      <c r="Z47" s="762">
        <v>6319.9371168367816</v>
      </c>
      <c r="AA47" s="702"/>
      <c r="AB47" s="760"/>
      <c r="AC47" s="762">
        <v>6319.9371168367816</v>
      </c>
      <c r="AD47" s="702"/>
      <c r="AE47" s="760"/>
      <c r="AF47" s="762">
        <v>6319.9371168367816</v>
      </c>
      <c r="AG47" s="702"/>
      <c r="AH47" s="760"/>
      <c r="AI47" s="762">
        <v>6032.6672478896544</v>
      </c>
      <c r="AJ47" s="702"/>
      <c r="AK47" s="760"/>
      <c r="AL47" s="762">
        <v>6319.9371168367816</v>
      </c>
      <c r="AM47" s="702"/>
      <c r="AN47" s="760"/>
      <c r="AO47" s="762">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118870.22666438401</v>
      </c>
      <c r="F52" s="711"/>
      <c r="G52" s="733"/>
      <c r="H52" s="749">
        <v>9501.5155243226436</v>
      </c>
      <c r="I52" s="711"/>
      <c r="J52" s="733"/>
      <c r="K52" s="749">
        <v>8062.6841232453444</v>
      </c>
      <c r="L52" s="711"/>
      <c r="M52" s="733"/>
      <c r="N52" s="749">
        <v>10077.431564512774</v>
      </c>
      <c r="O52" s="711"/>
      <c r="P52" s="733"/>
      <c r="Q52" s="749">
        <v>10129.70310845586</v>
      </c>
      <c r="R52" s="711"/>
      <c r="S52" s="733"/>
      <c r="T52" s="749">
        <v>11687.060213586945</v>
      </c>
      <c r="U52" s="711"/>
      <c r="V52" s="733"/>
      <c r="W52" s="749">
        <v>9949.05078334666</v>
      </c>
      <c r="X52" s="711"/>
      <c r="Y52" s="733"/>
      <c r="Z52" s="749">
        <v>9958.1504530827278</v>
      </c>
      <c r="AA52" s="711"/>
      <c r="AB52" s="733"/>
      <c r="AC52" s="749">
        <v>10177.327118760879</v>
      </c>
      <c r="AD52" s="711"/>
      <c r="AE52" s="733"/>
      <c r="AF52" s="749">
        <v>10602.517928354224</v>
      </c>
      <c r="AG52" s="711"/>
      <c r="AH52" s="733"/>
      <c r="AI52" s="749">
        <v>11589.29680179615</v>
      </c>
      <c r="AJ52" s="711"/>
      <c r="AK52" s="733"/>
      <c r="AL52" s="749">
        <v>9244.7710874087043</v>
      </c>
      <c r="AM52" s="711"/>
      <c r="AN52" s="733"/>
      <c r="AO52" s="749">
        <v>7890.7179575110886</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118870.22666438401</v>
      </c>
      <c r="F53" s="702"/>
      <c r="G53" s="760"/>
      <c r="H53" s="762">
        <v>9501.5155243226436</v>
      </c>
      <c r="I53" s="702"/>
      <c r="J53" s="760"/>
      <c r="K53" s="762">
        <v>8062.6841232453444</v>
      </c>
      <c r="L53" s="702"/>
      <c r="M53" s="760"/>
      <c r="N53" s="762">
        <v>10077.431564512774</v>
      </c>
      <c r="O53" s="702"/>
      <c r="P53" s="760"/>
      <c r="Q53" s="762">
        <v>10129.70310845586</v>
      </c>
      <c r="R53" s="702"/>
      <c r="S53" s="760"/>
      <c r="T53" s="762">
        <v>11687.060213586945</v>
      </c>
      <c r="U53" s="702"/>
      <c r="V53" s="760"/>
      <c r="W53" s="762">
        <v>9949.05078334666</v>
      </c>
      <c r="X53" s="702"/>
      <c r="Y53" s="760"/>
      <c r="Z53" s="762">
        <v>9958.1504530827278</v>
      </c>
      <c r="AA53" s="702"/>
      <c r="AB53" s="760"/>
      <c r="AC53" s="762">
        <v>10177.327118760879</v>
      </c>
      <c r="AD53" s="702"/>
      <c r="AE53" s="760"/>
      <c r="AF53" s="762">
        <v>10602.517928354224</v>
      </c>
      <c r="AG53" s="702"/>
      <c r="AH53" s="760"/>
      <c r="AI53" s="762">
        <v>11589.29680179615</v>
      </c>
      <c r="AJ53" s="702"/>
      <c r="AK53" s="760"/>
      <c r="AL53" s="762">
        <v>9244.7710874087043</v>
      </c>
      <c r="AM53" s="702"/>
      <c r="AN53" s="760"/>
      <c r="AO53" s="762">
        <v>7890.7179575110886</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85190.329109475191</v>
      </c>
      <c r="F54" s="711"/>
      <c r="G54" s="733"/>
      <c r="H54" s="749">
        <v>6809.4194590978941</v>
      </c>
      <c r="I54" s="711"/>
      <c r="J54" s="733"/>
      <c r="K54" s="749">
        <v>5778.2569549924965</v>
      </c>
      <c r="L54" s="711"/>
      <c r="M54" s="733"/>
      <c r="N54" s="749">
        <v>7222.1592879008203</v>
      </c>
      <c r="O54" s="711"/>
      <c r="P54" s="733"/>
      <c r="Q54" s="749">
        <v>7259.6205610600327</v>
      </c>
      <c r="R54" s="711"/>
      <c r="S54" s="733"/>
      <c r="T54" s="749">
        <v>8375.7264864039771</v>
      </c>
      <c r="U54" s="711"/>
      <c r="V54" s="733"/>
      <c r="W54" s="749">
        <v>7130.1530613984396</v>
      </c>
      <c r="X54" s="711"/>
      <c r="Y54" s="733"/>
      <c r="Z54" s="749">
        <v>7136.6744913759539</v>
      </c>
      <c r="AA54" s="711"/>
      <c r="AB54" s="733"/>
      <c r="AC54" s="749">
        <v>7293.7511017786301</v>
      </c>
      <c r="AD54" s="711"/>
      <c r="AE54" s="733"/>
      <c r="AF54" s="749">
        <v>7598.4711819871936</v>
      </c>
      <c r="AG54" s="711"/>
      <c r="AH54" s="733"/>
      <c r="AI54" s="749">
        <v>8305.6627079539066</v>
      </c>
      <c r="AJ54" s="711"/>
      <c r="AK54" s="733"/>
      <c r="AL54" s="749">
        <v>6625.4192793095708</v>
      </c>
      <c r="AM54" s="711"/>
      <c r="AN54" s="733"/>
      <c r="AO54" s="749">
        <v>5655.0145362162802</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19811.704444064002</v>
      </c>
      <c r="F55" s="711"/>
      <c r="G55" s="733"/>
      <c r="H55" s="749">
        <v>1583.5859207204408</v>
      </c>
      <c r="I55" s="711"/>
      <c r="J55" s="733"/>
      <c r="K55" s="749">
        <v>1343.7806872075575</v>
      </c>
      <c r="L55" s="711"/>
      <c r="M55" s="733"/>
      <c r="N55" s="749">
        <v>1679.5719274187957</v>
      </c>
      <c r="O55" s="711"/>
      <c r="P55" s="733"/>
      <c r="Q55" s="749">
        <v>1688.28385140931</v>
      </c>
      <c r="R55" s="711"/>
      <c r="S55" s="733"/>
      <c r="T55" s="749">
        <v>1947.8433689311576</v>
      </c>
      <c r="U55" s="711"/>
      <c r="V55" s="733"/>
      <c r="W55" s="749">
        <v>1658.1751305577768</v>
      </c>
      <c r="X55" s="711"/>
      <c r="Y55" s="733"/>
      <c r="Z55" s="749">
        <v>1659.6917421804546</v>
      </c>
      <c r="AA55" s="711"/>
      <c r="AB55" s="733"/>
      <c r="AC55" s="749">
        <v>1696.2211864601466</v>
      </c>
      <c r="AD55" s="711"/>
      <c r="AE55" s="733"/>
      <c r="AF55" s="749">
        <v>1767.0863213923708</v>
      </c>
      <c r="AG55" s="711"/>
      <c r="AH55" s="733"/>
      <c r="AI55" s="749">
        <v>1931.5494669660252</v>
      </c>
      <c r="AJ55" s="711"/>
      <c r="AK55" s="733"/>
      <c r="AL55" s="749">
        <v>1540.795181234784</v>
      </c>
      <c r="AM55" s="711"/>
      <c r="AN55" s="733"/>
      <c r="AO55" s="749">
        <v>1315.1196595851816</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0.56704592003086285</v>
      </c>
      <c r="E57" s="757">
        <f>+SUM(E45:E56)</f>
        <v>836109.20908550732</v>
      </c>
      <c r="F57" s="755" t="s">
        <v>111</v>
      </c>
      <c r="G57" s="756">
        <f>IFERROR(H57/H$30,0)</f>
        <v>0.58478869021577451</v>
      </c>
      <c r="H57" s="757">
        <f>+SUM(H45:H56)</f>
        <v>67370.815801134886</v>
      </c>
      <c r="I57" s="755" t="s">
        <v>111</v>
      </c>
      <c r="J57" s="756">
        <f>IFERROR(K57/K$30,0)</f>
        <v>0.76296655969075067</v>
      </c>
      <c r="K57" s="757">
        <f>+SUM(K45:K56)</f>
        <v>61703.366402345913</v>
      </c>
      <c r="L57" s="755" t="s">
        <v>111</v>
      </c>
      <c r="M57" s="756">
        <f>IFERROR(N57/N$30,0)</f>
        <v>0.59887826641823483</v>
      </c>
      <c r="N57" s="757">
        <f>+SUM(N45:N56)</f>
        <v>72069.011435048611</v>
      </c>
      <c r="O57" s="755" t="s">
        <v>111</v>
      </c>
      <c r="P57" s="756">
        <f>IFERROR(Q57/Q$30,0)</f>
        <v>0.52112853069770382</v>
      </c>
      <c r="Q57" s="757">
        <f>+SUM(Q45:Q56)</f>
        <v>69182.09000205234</v>
      </c>
      <c r="R57" s="755" t="s">
        <v>111</v>
      </c>
      <c r="S57" s="756">
        <f>IFERROR(T57/T$30,0)</f>
        <v>0.43731123483816542</v>
      </c>
      <c r="T57" s="757">
        <f>+SUM(T45:T56)</f>
        <v>75191.288514196378</v>
      </c>
      <c r="U57" s="755" t="s">
        <v>111</v>
      </c>
      <c r="V57" s="756">
        <f>IFERROR(W57/W$30,0)</f>
        <v>0.57235551956042396</v>
      </c>
      <c r="W57" s="757">
        <f>+SUM(W45:W56)</f>
        <v>70180.027990336894</v>
      </c>
      <c r="X57" s="755" t="s">
        <v>111</v>
      </c>
      <c r="Y57" s="756">
        <f>IFERROR(Z57/Z$30,0)</f>
        <v>0.57499307565917035</v>
      </c>
      <c r="Z57" s="757">
        <f>+SUM(Z45:Z56)</f>
        <v>70206.26537140923</v>
      </c>
      <c r="AA57" s="755" t="s">
        <v>111</v>
      </c>
      <c r="AB57" s="756">
        <f>IFERROR(AC57/AC$30,0)</f>
        <v>0.54916228201684136</v>
      </c>
      <c r="AC57" s="757">
        <f>+SUM(AC45:AC56)</f>
        <v>70838.224757447882</v>
      </c>
      <c r="AD57" s="755" t="s">
        <v>111</v>
      </c>
      <c r="AE57" s="756">
        <f>IFERROR(AF57/AF$30,0)</f>
        <v>0.51156041361186322</v>
      </c>
      <c r="AF57" s="757">
        <f>+SUM(AF45:AF56)</f>
        <v>72064.191591775365</v>
      </c>
      <c r="AG57" s="755" t="s">
        <v>111</v>
      </c>
      <c r="AH57" s="756">
        <f>IFERROR(AI57/AI$30,0)</f>
        <v>0.42292883547679183</v>
      </c>
      <c r="AI57" s="757">
        <f>+SUM(AI45:AI56)</f>
        <v>73390.585151183506</v>
      </c>
      <c r="AJ57" s="755" t="s">
        <v>111</v>
      </c>
      <c r="AK57" s="756">
        <f>IFERROR(AL57/AL$30,0)</f>
        <v>0.66202036886404714</v>
      </c>
      <c r="AL57" s="757">
        <f>+SUM(AL45:AL56)</f>
        <v>68149.354867049129</v>
      </c>
      <c r="AM57" s="755" t="s">
        <v>111</v>
      </c>
      <c r="AN57" s="756">
        <f>IFERROR(AO57/AO$30,0)</f>
        <v>1.0549858873857474</v>
      </c>
      <c r="AO57" s="757">
        <f>+SUM(AO45:AO56)</f>
        <v>65763.987201527081</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v>0</v>
      </c>
      <c r="I58" s="711"/>
      <c r="J58" s="733"/>
      <c r="K58" s="749">
        <v>0</v>
      </c>
      <c r="L58" s="711"/>
      <c r="M58" s="733"/>
      <c r="N58" s="749">
        <v>0</v>
      </c>
      <c r="O58" s="711"/>
      <c r="P58" s="733"/>
      <c r="Q58" s="749">
        <v>0</v>
      </c>
      <c r="R58" s="711"/>
      <c r="S58" s="733"/>
      <c r="T58" s="749">
        <v>0</v>
      </c>
      <c r="U58" s="711"/>
      <c r="V58" s="733"/>
      <c r="W58" s="749">
        <v>0</v>
      </c>
      <c r="X58" s="711"/>
      <c r="Y58" s="733"/>
      <c r="Z58" s="749">
        <v>0</v>
      </c>
      <c r="AA58" s="711"/>
      <c r="AB58" s="733"/>
      <c r="AC58" s="749">
        <v>0</v>
      </c>
      <c r="AD58" s="711"/>
      <c r="AE58" s="733"/>
      <c r="AF58" s="749">
        <v>0</v>
      </c>
      <c r="AG58" s="711"/>
      <c r="AH58" s="733"/>
      <c r="AI58" s="749">
        <v>0</v>
      </c>
      <c r="AJ58" s="711"/>
      <c r="AK58" s="733"/>
      <c r="AL58" s="749">
        <v>0</v>
      </c>
      <c r="AM58" s="711"/>
      <c r="AN58" s="733"/>
      <c r="AO58" s="749">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v>0</v>
      </c>
      <c r="I59" s="711"/>
      <c r="J59" s="733"/>
      <c r="K59" s="749">
        <v>0</v>
      </c>
      <c r="L59" s="711"/>
      <c r="M59" s="733"/>
      <c r="N59" s="749">
        <v>0</v>
      </c>
      <c r="O59" s="711"/>
      <c r="P59" s="733"/>
      <c r="Q59" s="749">
        <v>0</v>
      </c>
      <c r="R59" s="711"/>
      <c r="S59" s="733"/>
      <c r="T59" s="749">
        <v>0</v>
      </c>
      <c r="U59" s="711"/>
      <c r="V59" s="733"/>
      <c r="W59" s="749">
        <v>0</v>
      </c>
      <c r="X59" s="711"/>
      <c r="Y59" s="733"/>
      <c r="Z59" s="749">
        <v>0</v>
      </c>
      <c r="AA59" s="711"/>
      <c r="AB59" s="733"/>
      <c r="AC59" s="749">
        <v>0</v>
      </c>
      <c r="AD59" s="711"/>
      <c r="AE59" s="733"/>
      <c r="AF59" s="749">
        <v>0</v>
      </c>
      <c r="AG59" s="711"/>
      <c r="AH59" s="733"/>
      <c r="AI59" s="749">
        <v>0</v>
      </c>
      <c r="AJ59" s="711"/>
      <c r="AK59" s="733"/>
      <c r="AL59" s="749">
        <v>0</v>
      </c>
      <c r="AM59" s="711"/>
      <c r="AN59" s="733"/>
      <c r="AO59" s="749">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v>9088.8775000000005</v>
      </c>
      <c r="I60" s="765"/>
      <c r="J60" s="766"/>
      <c r="K60" s="768">
        <v>9088.8775000000005</v>
      </c>
      <c r="L60" s="765"/>
      <c r="M60" s="766"/>
      <c r="N60" s="768">
        <v>9088.8775000000005</v>
      </c>
      <c r="O60" s="765"/>
      <c r="P60" s="766"/>
      <c r="Q60" s="768">
        <v>9088.8775000000005</v>
      </c>
      <c r="R60" s="765"/>
      <c r="S60" s="766"/>
      <c r="T60" s="768">
        <v>9088.8775000000005</v>
      </c>
      <c r="U60" s="765"/>
      <c r="V60" s="766"/>
      <c r="W60" s="768">
        <v>9088.8775000000005</v>
      </c>
      <c r="X60" s="765"/>
      <c r="Y60" s="766"/>
      <c r="Z60" s="768">
        <v>9088.8775000000005</v>
      </c>
      <c r="AA60" s="765"/>
      <c r="AB60" s="766"/>
      <c r="AC60" s="768">
        <v>9088.8775000000005</v>
      </c>
      <c r="AD60" s="765"/>
      <c r="AE60" s="766"/>
      <c r="AF60" s="768">
        <v>9088.8775000000005</v>
      </c>
      <c r="AG60" s="765"/>
      <c r="AH60" s="766"/>
      <c r="AI60" s="768">
        <v>9088.8775000000005</v>
      </c>
      <c r="AJ60" s="765"/>
      <c r="AK60" s="766"/>
      <c r="AL60" s="768">
        <v>9088.8775000000005</v>
      </c>
      <c r="AM60" s="765"/>
      <c r="AN60" s="766"/>
      <c r="AO60" s="768">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v>6677.3962666666675</v>
      </c>
      <c r="I61" s="711"/>
      <c r="J61" s="733"/>
      <c r="K61" s="749">
        <v>6677.3962666666675</v>
      </c>
      <c r="L61" s="711"/>
      <c r="M61" s="733"/>
      <c r="N61" s="749">
        <v>6677.3962666666675</v>
      </c>
      <c r="O61" s="711"/>
      <c r="P61" s="733"/>
      <c r="Q61" s="749">
        <v>6677.3962666666675</v>
      </c>
      <c r="R61" s="711"/>
      <c r="S61" s="733"/>
      <c r="T61" s="749">
        <v>6677.3962666666675</v>
      </c>
      <c r="U61" s="711"/>
      <c r="V61" s="733"/>
      <c r="W61" s="749">
        <v>6677.3962666666675</v>
      </c>
      <c r="X61" s="711"/>
      <c r="Y61" s="733"/>
      <c r="Z61" s="749">
        <v>6677.3962666666675</v>
      </c>
      <c r="AA61" s="711"/>
      <c r="AB61" s="733"/>
      <c r="AC61" s="749">
        <v>6677.3962666666675</v>
      </c>
      <c r="AD61" s="711"/>
      <c r="AE61" s="733"/>
      <c r="AF61" s="749">
        <v>6677.3962666666675</v>
      </c>
      <c r="AG61" s="711"/>
      <c r="AH61" s="733"/>
      <c r="AI61" s="749">
        <v>6677.3962666666675</v>
      </c>
      <c r="AJ61" s="711"/>
      <c r="AK61" s="733"/>
      <c r="AL61" s="749">
        <v>6677.3962666666675</v>
      </c>
      <c r="AM61" s="711"/>
      <c r="AN61" s="733"/>
      <c r="AO61" s="749">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v>1596.4967999999999</v>
      </c>
      <c r="I62" s="711"/>
      <c r="J62" s="733"/>
      <c r="K62" s="749">
        <v>1596.4967999999999</v>
      </c>
      <c r="L62" s="711"/>
      <c r="M62" s="733"/>
      <c r="N62" s="749">
        <v>1596.4967999999999</v>
      </c>
      <c r="O62" s="711"/>
      <c r="P62" s="733"/>
      <c r="Q62" s="749">
        <v>1596.4967999999999</v>
      </c>
      <c r="R62" s="711"/>
      <c r="S62" s="733"/>
      <c r="T62" s="749">
        <v>1596.4967999999999</v>
      </c>
      <c r="U62" s="711"/>
      <c r="V62" s="733"/>
      <c r="W62" s="749">
        <v>1596.4967999999999</v>
      </c>
      <c r="X62" s="711"/>
      <c r="Y62" s="733"/>
      <c r="Z62" s="749">
        <v>1596.4967999999999</v>
      </c>
      <c r="AA62" s="711"/>
      <c r="AB62" s="733"/>
      <c r="AC62" s="749">
        <v>1596.4967999999999</v>
      </c>
      <c r="AD62" s="711"/>
      <c r="AE62" s="733"/>
      <c r="AF62" s="749">
        <v>1596.4967999999999</v>
      </c>
      <c r="AG62" s="711"/>
      <c r="AH62" s="733"/>
      <c r="AI62" s="749">
        <v>1596.4967999999999</v>
      </c>
      <c r="AJ62" s="711"/>
      <c r="AK62" s="733"/>
      <c r="AL62" s="749">
        <v>1596.4967999999999</v>
      </c>
      <c r="AM62" s="711"/>
      <c r="AN62" s="733"/>
      <c r="AO62" s="749">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v>9409.894666666667</v>
      </c>
      <c r="I63" s="765"/>
      <c r="J63" s="766"/>
      <c r="K63" s="768">
        <v>9409.894666666667</v>
      </c>
      <c r="L63" s="765"/>
      <c r="M63" s="766"/>
      <c r="N63" s="768">
        <v>9409.894666666667</v>
      </c>
      <c r="O63" s="765"/>
      <c r="P63" s="766"/>
      <c r="Q63" s="768">
        <v>9857.894666666667</v>
      </c>
      <c r="R63" s="765"/>
      <c r="S63" s="766"/>
      <c r="T63" s="768">
        <v>9857.894666666667</v>
      </c>
      <c r="U63" s="765"/>
      <c r="V63" s="766"/>
      <c r="W63" s="768">
        <v>9409.894666666667</v>
      </c>
      <c r="X63" s="765"/>
      <c r="Y63" s="766"/>
      <c r="Z63" s="768">
        <v>9409.894666666667</v>
      </c>
      <c r="AA63" s="765"/>
      <c r="AB63" s="766"/>
      <c r="AC63" s="768">
        <v>9409.894666666667</v>
      </c>
      <c r="AD63" s="765"/>
      <c r="AE63" s="766"/>
      <c r="AF63" s="768">
        <v>9409.894666666667</v>
      </c>
      <c r="AG63" s="765"/>
      <c r="AH63" s="766"/>
      <c r="AI63" s="768">
        <v>9857.894666666667</v>
      </c>
      <c r="AJ63" s="765"/>
      <c r="AK63" s="766"/>
      <c r="AL63" s="768">
        <v>9857.894666666667</v>
      </c>
      <c r="AM63" s="765"/>
      <c r="AN63" s="766"/>
      <c r="AO63" s="768">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v>244.32954319370256</v>
      </c>
      <c r="I64" s="711"/>
      <c r="J64" s="733"/>
      <c r="K64" s="749">
        <v>168.21322882608277</v>
      </c>
      <c r="L64" s="711"/>
      <c r="M64" s="733"/>
      <c r="N64" s="749">
        <v>255.71314561568806</v>
      </c>
      <c r="O64" s="711"/>
      <c r="P64" s="733"/>
      <c r="Q64" s="749">
        <v>283.23627122334295</v>
      </c>
      <c r="R64" s="711"/>
      <c r="S64" s="733"/>
      <c r="T64" s="749">
        <v>370.1122677147423</v>
      </c>
      <c r="U64" s="711"/>
      <c r="V64" s="733"/>
      <c r="W64" s="749">
        <v>260.75944437979479</v>
      </c>
      <c r="X64" s="711"/>
      <c r="Y64" s="733"/>
      <c r="Z64" s="749">
        <v>259.61362848623401</v>
      </c>
      <c r="AA64" s="711"/>
      <c r="AB64" s="733"/>
      <c r="AC64" s="749">
        <v>274.89771377876548</v>
      </c>
      <c r="AD64" s="711"/>
      <c r="AE64" s="733"/>
      <c r="AF64" s="749">
        <v>301.2318591954994</v>
      </c>
      <c r="AG64" s="711"/>
      <c r="AH64" s="733"/>
      <c r="AI64" s="749">
        <v>373.63604399014486</v>
      </c>
      <c r="AJ64" s="711"/>
      <c r="AK64" s="733"/>
      <c r="AL64" s="749">
        <v>217.13995988383078</v>
      </c>
      <c r="AM64" s="711"/>
      <c r="AN64" s="733"/>
      <c r="AO64" s="749">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v>35</v>
      </c>
      <c r="I65" s="711"/>
      <c r="J65" s="733"/>
      <c r="K65" s="749">
        <v>35</v>
      </c>
      <c r="L65" s="711"/>
      <c r="M65" s="733"/>
      <c r="N65" s="749">
        <v>35</v>
      </c>
      <c r="O65" s="711"/>
      <c r="P65" s="733"/>
      <c r="Q65" s="749">
        <v>35</v>
      </c>
      <c r="R65" s="711"/>
      <c r="S65" s="733"/>
      <c r="T65" s="749">
        <v>35</v>
      </c>
      <c r="U65" s="711"/>
      <c r="V65" s="733"/>
      <c r="W65" s="749">
        <v>35</v>
      </c>
      <c r="X65" s="711"/>
      <c r="Y65" s="733"/>
      <c r="Z65" s="749">
        <v>35</v>
      </c>
      <c r="AA65" s="711"/>
      <c r="AB65" s="733"/>
      <c r="AC65" s="749">
        <v>35</v>
      </c>
      <c r="AD65" s="711"/>
      <c r="AE65" s="733"/>
      <c r="AF65" s="749">
        <v>35</v>
      </c>
      <c r="AG65" s="711"/>
      <c r="AH65" s="733"/>
      <c r="AI65" s="749">
        <v>35</v>
      </c>
      <c r="AJ65" s="711"/>
      <c r="AK65" s="733"/>
      <c r="AL65" s="749">
        <v>35</v>
      </c>
      <c r="AM65" s="711"/>
      <c r="AN65" s="733"/>
      <c r="AO65" s="749">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v>697.6</v>
      </c>
      <c r="I66" s="711"/>
      <c r="J66" s="733"/>
      <c r="K66" s="749">
        <v>697.6</v>
      </c>
      <c r="L66" s="711"/>
      <c r="M66" s="733"/>
      <c r="N66" s="749">
        <v>697.6</v>
      </c>
      <c r="O66" s="711"/>
      <c r="P66" s="733"/>
      <c r="Q66" s="749">
        <v>697.6</v>
      </c>
      <c r="R66" s="711"/>
      <c r="S66" s="733"/>
      <c r="T66" s="749">
        <v>697.6</v>
      </c>
      <c r="U66" s="711"/>
      <c r="V66" s="733"/>
      <c r="W66" s="749">
        <v>697.6</v>
      </c>
      <c r="X66" s="711"/>
      <c r="Y66" s="733"/>
      <c r="Z66" s="749">
        <v>697.6</v>
      </c>
      <c r="AA66" s="711"/>
      <c r="AB66" s="733"/>
      <c r="AC66" s="749">
        <v>697.6</v>
      </c>
      <c r="AD66" s="711"/>
      <c r="AE66" s="733"/>
      <c r="AF66" s="749">
        <v>697.6</v>
      </c>
      <c r="AG66" s="711"/>
      <c r="AH66" s="733"/>
      <c r="AI66" s="749">
        <v>697.6</v>
      </c>
      <c r="AJ66" s="711"/>
      <c r="AK66" s="733"/>
      <c r="AL66" s="749">
        <v>697.6</v>
      </c>
      <c r="AM66" s="711"/>
      <c r="AN66" s="733"/>
      <c r="AO66" s="749">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v>589.91200000000003</v>
      </c>
      <c r="I67" s="711"/>
      <c r="J67" s="733"/>
      <c r="K67" s="749">
        <v>589.91200000000003</v>
      </c>
      <c r="L67" s="711"/>
      <c r="M67" s="733"/>
      <c r="N67" s="749">
        <v>589.91200000000003</v>
      </c>
      <c r="O67" s="711"/>
      <c r="P67" s="733"/>
      <c r="Q67" s="749">
        <v>589.91200000000003</v>
      </c>
      <c r="R67" s="711"/>
      <c r="S67" s="733"/>
      <c r="T67" s="749">
        <v>589.91200000000003</v>
      </c>
      <c r="U67" s="711"/>
      <c r="V67" s="733"/>
      <c r="W67" s="749">
        <v>589.91200000000003</v>
      </c>
      <c r="X67" s="711"/>
      <c r="Y67" s="733"/>
      <c r="Z67" s="749">
        <v>589.91200000000003</v>
      </c>
      <c r="AA67" s="711"/>
      <c r="AB67" s="733"/>
      <c r="AC67" s="749">
        <v>589.91200000000003</v>
      </c>
      <c r="AD67" s="711"/>
      <c r="AE67" s="733"/>
      <c r="AF67" s="749">
        <v>589.91200000000003</v>
      </c>
      <c r="AG67" s="711"/>
      <c r="AH67" s="733"/>
      <c r="AI67" s="749">
        <v>589.91200000000003</v>
      </c>
      <c r="AJ67" s="711"/>
      <c r="AK67" s="733"/>
      <c r="AL67" s="749">
        <v>589.91200000000003</v>
      </c>
      <c r="AM67" s="711"/>
      <c r="AN67" s="733"/>
      <c r="AO67" s="749">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v>276.8</v>
      </c>
      <c r="I68" s="711"/>
      <c r="J68" s="733"/>
      <c r="K68" s="749">
        <v>276.8</v>
      </c>
      <c r="L68" s="711"/>
      <c r="M68" s="733"/>
      <c r="N68" s="749">
        <v>276.8</v>
      </c>
      <c r="O68" s="711"/>
      <c r="P68" s="733"/>
      <c r="Q68" s="749">
        <v>276.8</v>
      </c>
      <c r="R68" s="711"/>
      <c r="S68" s="733"/>
      <c r="T68" s="749">
        <v>276.8</v>
      </c>
      <c r="U68" s="711"/>
      <c r="V68" s="733"/>
      <c r="W68" s="749">
        <v>276.8</v>
      </c>
      <c r="X68" s="711"/>
      <c r="Y68" s="733"/>
      <c r="Z68" s="749">
        <v>276.8</v>
      </c>
      <c r="AA68" s="711"/>
      <c r="AB68" s="733"/>
      <c r="AC68" s="749">
        <v>276.8</v>
      </c>
      <c r="AD68" s="711"/>
      <c r="AE68" s="733"/>
      <c r="AF68" s="749">
        <v>276.8</v>
      </c>
      <c r="AG68" s="711"/>
      <c r="AH68" s="733"/>
      <c r="AI68" s="749">
        <v>276.8</v>
      </c>
      <c r="AJ68" s="711"/>
      <c r="AK68" s="733"/>
      <c r="AL68" s="749">
        <v>276.8</v>
      </c>
      <c r="AM68" s="711"/>
      <c r="AN68" s="733"/>
      <c r="AO68" s="749">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v>1349.1200000000001</v>
      </c>
      <c r="I69" s="711"/>
      <c r="J69" s="733"/>
      <c r="K69" s="749">
        <v>1349.1200000000001</v>
      </c>
      <c r="L69" s="711"/>
      <c r="M69" s="733"/>
      <c r="N69" s="749">
        <v>1349.1200000000001</v>
      </c>
      <c r="O69" s="711"/>
      <c r="P69" s="733"/>
      <c r="Q69" s="749">
        <v>1349.1200000000001</v>
      </c>
      <c r="R69" s="711"/>
      <c r="S69" s="733"/>
      <c r="T69" s="749">
        <v>1349.1200000000001</v>
      </c>
      <c r="U69" s="711"/>
      <c r="V69" s="733"/>
      <c r="W69" s="749">
        <v>1349.1200000000001</v>
      </c>
      <c r="X69" s="711"/>
      <c r="Y69" s="733"/>
      <c r="Z69" s="749">
        <v>1349.1200000000001</v>
      </c>
      <c r="AA69" s="711"/>
      <c r="AB69" s="733"/>
      <c r="AC69" s="749">
        <v>1349.1200000000001</v>
      </c>
      <c r="AD69" s="711"/>
      <c r="AE69" s="733"/>
      <c r="AF69" s="749">
        <v>1349.1200000000001</v>
      </c>
      <c r="AG69" s="711"/>
      <c r="AH69" s="733"/>
      <c r="AI69" s="749">
        <v>1349.1200000000001</v>
      </c>
      <c r="AJ69" s="711"/>
      <c r="AK69" s="733"/>
      <c r="AL69" s="749">
        <v>1349.1200000000001</v>
      </c>
      <c r="AM69" s="711"/>
      <c r="AN69" s="733"/>
      <c r="AO69" s="749">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v>1438.3466666666668</v>
      </c>
      <c r="I70" s="711"/>
      <c r="J70" s="733"/>
      <c r="K70" s="749">
        <v>1438.3466666666668</v>
      </c>
      <c r="L70" s="711"/>
      <c r="M70" s="733"/>
      <c r="N70" s="749">
        <v>1438.3466666666668</v>
      </c>
      <c r="O70" s="711"/>
      <c r="P70" s="733"/>
      <c r="Q70" s="749">
        <v>1438.3466666666668</v>
      </c>
      <c r="R70" s="711"/>
      <c r="S70" s="733"/>
      <c r="T70" s="749">
        <v>1438.3466666666668</v>
      </c>
      <c r="U70" s="711"/>
      <c r="V70" s="733"/>
      <c r="W70" s="749">
        <v>1438.3466666666668</v>
      </c>
      <c r="X70" s="711"/>
      <c r="Y70" s="733"/>
      <c r="Z70" s="749">
        <v>1438.3466666666668</v>
      </c>
      <c r="AA70" s="711"/>
      <c r="AB70" s="733"/>
      <c r="AC70" s="749">
        <v>1438.3466666666668</v>
      </c>
      <c r="AD70" s="711"/>
      <c r="AE70" s="733"/>
      <c r="AF70" s="749">
        <v>1438.3466666666668</v>
      </c>
      <c r="AG70" s="711"/>
      <c r="AH70" s="733"/>
      <c r="AI70" s="749">
        <v>1438.3466666666668</v>
      </c>
      <c r="AJ70" s="711"/>
      <c r="AK70" s="733"/>
      <c r="AL70" s="749">
        <v>1438.3466666666668</v>
      </c>
      <c r="AM70" s="711"/>
      <c r="AN70" s="733"/>
      <c r="AO70" s="749">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v>2087.673832859015</v>
      </c>
      <c r="I71" s="711"/>
      <c r="J71" s="733"/>
      <c r="K71" s="749">
        <v>1800.7473835324845</v>
      </c>
      <c r="L71" s="711"/>
      <c r="M71" s="733"/>
      <c r="N71" s="749">
        <v>2083.3141574587762</v>
      </c>
      <c r="O71" s="711"/>
      <c r="P71" s="733"/>
      <c r="Q71" s="749">
        <v>4004.986042493329</v>
      </c>
      <c r="R71" s="711"/>
      <c r="S71" s="733"/>
      <c r="T71" s="749">
        <v>3670.657400387608</v>
      </c>
      <c r="U71" s="711"/>
      <c r="V71" s="733"/>
      <c r="W71" s="749">
        <v>2426.1879529419884</v>
      </c>
      <c r="X71" s="711"/>
      <c r="Y71" s="733"/>
      <c r="Z71" s="749">
        <v>2287.3779570920533</v>
      </c>
      <c r="AA71" s="711"/>
      <c r="AB71" s="733"/>
      <c r="AC71" s="749">
        <v>2521.1800718091527</v>
      </c>
      <c r="AD71" s="711"/>
      <c r="AE71" s="733"/>
      <c r="AF71" s="749">
        <v>1909.2920190954228</v>
      </c>
      <c r="AG71" s="711"/>
      <c r="AH71" s="733"/>
      <c r="AI71" s="749">
        <v>3579.0423375094747</v>
      </c>
      <c r="AJ71" s="711"/>
      <c r="AK71" s="733"/>
      <c r="AL71" s="749">
        <v>5208.1297278014263</v>
      </c>
      <c r="AM71" s="711"/>
      <c r="AN71" s="733"/>
      <c r="AO71" s="749">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0.27994827182095627</v>
      </c>
      <c r="E75" s="757">
        <f>+SUM(E58:E74)</f>
        <v>412783.7268</v>
      </c>
      <c r="F75" s="755" t="s">
        <v>111</v>
      </c>
      <c r="G75" s="756">
        <f>IFERROR(H75/H$30,0)</f>
        <v>0.29071073807100334</v>
      </c>
      <c r="H75" s="757">
        <f>+SUM(H58:H74)</f>
        <v>33491.447276052721</v>
      </c>
      <c r="I75" s="755" t="s">
        <v>111</v>
      </c>
      <c r="J75" s="756">
        <f>IFERROR(K75/K$30,0)</f>
        <v>0.40963510246787421</v>
      </c>
      <c r="K75" s="757">
        <f>+SUM(K58:K74)</f>
        <v>33128.404512358567</v>
      </c>
      <c r="L75" s="755" t="s">
        <v>111</v>
      </c>
      <c r="M75" s="756">
        <f>IFERROR(N75/N$30,0)</f>
        <v>0.27836522192119434</v>
      </c>
      <c r="N75" s="757">
        <f>+SUM(N58:N74)</f>
        <v>33498.47120307447</v>
      </c>
      <c r="O75" s="755" t="s">
        <v>111</v>
      </c>
      <c r="P75" s="756">
        <f>IFERROR(Q75/Q$30,0)</f>
        <v>0.27039159689761394</v>
      </c>
      <c r="Q75" s="757">
        <f>+SUM(Q58:Q74)</f>
        <v>35895.666213716679</v>
      </c>
      <c r="R75" s="755" t="s">
        <v>111</v>
      </c>
      <c r="S75" s="756">
        <f>IFERROR(T75/T$30,0)</f>
        <v>0.20732939417972809</v>
      </c>
      <c r="T75" s="757">
        <f>+SUM(T58:T74)</f>
        <v>35648.21356810235</v>
      </c>
      <c r="U75" s="755" t="s">
        <v>111</v>
      </c>
      <c r="V75" s="756">
        <f>IFERROR(W75/W$30,0)</f>
        <v>0.27603535408808016</v>
      </c>
      <c r="W75" s="757">
        <f>+SUM(W58:W74)</f>
        <v>33846.391297321781</v>
      </c>
      <c r="X75" s="755" t="s">
        <v>111</v>
      </c>
      <c r="Y75" s="756">
        <f>IFERROR(Z75/Z$30,0)</f>
        <v>0.27605751291326713</v>
      </c>
      <c r="Z75" s="757">
        <f>+SUM(Z58:Z74)</f>
        <v>33706.435485578288</v>
      </c>
      <c r="AA75" s="755" t="s">
        <v>111</v>
      </c>
      <c r="AB75" s="756">
        <f>IFERROR(AC75/AC$30,0)</f>
        <v>0.26323488257615124</v>
      </c>
      <c r="AC75" s="757">
        <f>+SUM(AC58:AC74)</f>
        <v>33955.521685587919</v>
      </c>
      <c r="AD75" s="755" t="s">
        <v>111</v>
      </c>
      <c r="AE75" s="756">
        <f>IFERROR(AF75/AF$30,0)</f>
        <v>0.23688262008930008</v>
      </c>
      <c r="AF75" s="757">
        <f>+SUM(AF58:AF74)</f>
        <v>33369.967778290928</v>
      </c>
      <c r="AG75" s="755" t="s">
        <v>111</v>
      </c>
      <c r="AH75" s="756">
        <f>IFERROR(AI75/AI$30,0)</f>
        <v>0.20492275780259839</v>
      </c>
      <c r="AI75" s="757">
        <f>+SUM(AI58:AI74)</f>
        <v>35560.122281499622</v>
      </c>
      <c r="AJ75" s="755" t="s">
        <v>111</v>
      </c>
      <c r="AK75" s="756">
        <f>IFERROR(AL75/AL$30,0)</f>
        <v>0.35974530877342065</v>
      </c>
      <c r="AL75" s="757">
        <f>+SUM(AL58:AL74)</f>
        <v>37032.713587685263</v>
      </c>
      <c r="AM75" s="755" t="s">
        <v>111</v>
      </c>
      <c r="AN75" s="756">
        <f>IFERROR(AO75/AO$30,0)</f>
        <v>0.5398192685962796</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1.524720393772975</v>
      </c>
      <c r="E77" s="770">
        <f>E44+E57+E75</f>
        <v>2248200.2206182517</v>
      </c>
      <c r="F77" s="755" t="s">
        <v>111</v>
      </c>
      <c r="G77" s="756">
        <f>IFERROR(H77/H$30,0)</f>
        <v>1.5572714669888252</v>
      </c>
      <c r="H77" s="770">
        <f>H44+H57+H75</f>
        <v>179406.08447156526</v>
      </c>
      <c r="I77" s="755" t="s">
        <v>111</v>
      </c>
      <c r="J77" s="756">
        <f>IFERROR(K77/K$30,0)</f>
        <v>1.9169734327405725</v>
      </c>
      <c r="K77" s="770">
        <f>K44+K57+K75</f>
        <v>155031.32162423697</v>
      </c>
      <c r="L77" s="755" t="s">
        <v>111</v>
      </c>
      <c r="M77" s="756">
        <f>IFERROR(N77/N$30,0)</f>
        <v>1.5613668109206813</v>
      </c>
      <c r="N77" s="770">
        <f>N44+N57+N75</f>
        <v>187894.88425342817</v>
      </c>
      <c r="O77" s="755" t="s">
        <v>111</v>
      </c>
      <c r="P77" s="756">
        <f>IFERROR(Q77/Q$30,0)</f>
        <v>1.4651600733537287</v>
      </c>
      <c r="Q77" s="770">
        <f>Q44+Q57+Q75</f>
        <v>194506.40310647243</v>
      </c>
      <c r="R77" s="755" t="s">
        <v>111</v>
      </c>
      <c r="S77" s="756">
        <f>IFERROR(T77/T$30,0)</f>
        <v>1.2832995280581578</v>
      </c>
      <c r="T77" s="770">
        <f>T44+T57+T75</f>
        <v>220650.50558342476</v>
      </c>
      <c r="U77" s="755" t="s">
        <v>111</v>
      </c>
      <c r="V77" s="756">
        <f>IFERROR(W77/W$30,0)</f>
        <v>1.526774999050015</v>
      </c>
      <c r="W77" s="770">
        <f>W44+W57+W75</f>
        <v>187207.2662993946</v>
      </c>
      <c r="X77" s="755" t="s">
        <v>111</v>
      </c>
      <c r="Y77" s="756">
        <f>IFERROR(Z77/Z$30,0)</f>
        <v>1.5327106635339829</v>
      </c>
      <c r="Z77" s="770">
        <f>Z44+Z57+Z75</f>
        <v>187142.93464890242</v>
      </c>
      <c r="AA77" s="755" t="s">
        <v>111</v>
      </c>
      <c r="AB77" s="756">
        <f>IFERROR(AC77/AC$30,0)</f>
        <v>1.4862849918872407</v>
      </c>
      <c r="AC77" s="770">
        <f>AC44+AC57+AC75</f>
        <v>191720.72401305437</v>
      </c>
      <c r="AD77" s="755" t="s">
        <v>111</v>
      </c>
      <c r="AE77" s="756">
        <f>IFERROR(AF77/AF$30,0)</f>
        <v>1.4148019386384449</v>
      </c>
      <c r="AF77" s="770">
        <f>AF44+AF57+AF75</f>
        <v>199305.01903107326</v>
      </c>
      <c r="AG77" s="755" t="s">
        <v>111</v>
      </c>
      <c r="AH77" s="756">
        <f>IFERROR(AI77/AI$30,0)</f>
        <v>1.2653156958353797</v>
      </c>
      <c r="AI77" s="770">
        <f>AI44+AI57+AI75</f>
        <v>219569.46778917668</v>
      </c>
      <c r="AJ77" s="755" t="s">
        <v>111</v>
      </c>
      <c r="AK77" s="756">
        <f>IFERROR(AL77/AL$30,0)</f>
        <v>1.7172701659613239</v>
      </c>
      <c r="AL77" s="770">
        <f>AL44+AL57+AL75</f>
        <v>176778.32804979471</v>
      </c>
      <c r="AM77" s="755" t="s">
        <v>111</v>
      </c>
      <c r="AN77" s="756">
        <f>IFERROR(AO77/AO$30,0)</f>
        <v>2.3900539844422264</v>
      </c>
      <c r="AO77" s="770">
        <f>AO44+AO57+AO75</f>
        <v>148987.28174772818</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453576.37500000012</v>
      </c>
      <c r="F78" s="711"/>
      <c r="G78" s="733"/>
      <c r="H78" s="749">
        <v>22678.818750000006</v>
      </c>
      <c r="I78" s="711"/>
      <c r="J78" s="733"/>
      <c r="K78" s="749">
        <v>22678.818750000006</v>
      </c>
      <c r="L78" s="711"/>
      <c r="M78" s="733"/>
      <c r="N78" s="749">
        <v>45357.637500000012</v>
      </c>
      <c r="O78" s="711"/>
      <c r="P78" s="733"/>
      <c r="Q78" s="749">
        <v>45357.637500000012</v>
      </c>
      <c r="R78" s="711"/>
      <c r="S78" s="733"/>
      <c r="T78" s="749">
        <v>49893.40125000001</v>
      </c>
      <c r="U78" s="711"/>
      <c r="V78" s="733"/>
      <c r="W78" s="749">
        <v>36286.110000000008</v>
      </c>
      <c r="X78" s="711"/>
      <c r="Y78" s="733"/>
      <c r="Z78" s="749">
        <v>31750.346250000006</v>
      </c>
      <c r="AA78" s="711"/>
      <c r="AB78" s="733"/>
      <c r="AC78" s="749">
        <v>45357.637500000012</v>
      </c>
      <c r="AD78" s="711"/>
      <c r="AE78" s="733"/>
      <c r="AF78" s="749">
        <v>45357.637500000012</v>
      </c>
      <c r="AG78" s="711"/>
      <c r="AH78" s="733"/>
      <c r="AI78" s="749">
        <v>49893.40125000001</v>
      </c>
      <c r="AJ78" s="711"/>
      <c r="AK78" s="733"/>
      <c r="AL78" s="749">
        <v>45357.637500000012</v>
      </c>
      <c r="AM78" s="711"/>
      <c r="AN78" s="733"/>
      <c r="AO78" s="749">
        <v>13607.291250000002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727755.67499999993</v>
      </c>
      <c r="F81" s="711"/>
      <c r="G81" s="733"/>
      <c r="H81" s="749">
        <v>36387.783750000002</v>
      </c>
      <c r="I81" s="711"/>
      <c r="J81" s="733"/>
      <c r="K81" s="749">
        <v>36387.783750000002</v>
      </c>
      <c r="L81" s="711"/>
      <c r="M81" s="733"/>
      <c r="N81" s="749">
        <v>72775.567500000005</v>
      </c>
      <c r="O81" s="711"/>
      <c r="P81" s="733"/>
      <c r="Q81" s="749">
        <v>72775.567500000005</v>
      </c>
      <c r="R81" s="711"/>
      <c r="S81" s="733"/>
      <c r="T81" s="749">
        <v>80053.124249999993</v>
      </c>
      <c r="U81" s="711"/>
      <c r="V81" s="733"/>
      <c r="W81" s="749">
        <v>58220.453999999991</v>
      </c>
      <c r="X81" s="711"/>
      <c r="Y81" s="733"/>
      <c r="Z81" s="749">
        <v>50942.897249999995</v>
      </c>
      <c r="AA81" s="711"/>
      <c r="AB81" s="733"/>
      <c r="AC81" s="749">
        <v>72775.567500000005</v>
      </c>
      <c r="AD81" s="711"/>
      <c r="AE81" s="733"/>
      <c r="AF81" s="749">
        <v>72775.567500000005</v>
      </c>
      <c r="AG81" s="711"/>
      <c r="AH81" s="733"/>
      <c r="AI81" s="749">
        <v>80053.124249999993</v>
      </c>
      <c r="AJ81" s="711"/>
      <c r="AK81" s="733"/>
      <c r="AL81" s="749">
        <v>72775.567500000005</v>
      </c>
      <c r="AM81" s="711"/>
      <c r="AN81" s="733"/>
      <c r="AO81" s="749">
        <v>21832.670249999999</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v>19185.977379285494</v>
      </c>
      <c r="I85" s="711"/>
      <c r="J85" s="733"/>
      <c r="K85" s="749">
        <v>13208.943793568153</v>
      </c>
      <c r="L85" s="711"/>
      <c r="M85" s="733"/>
      <c r="N85" s="749">
        <v>20079.874759471906</v>
      </c>
      <c r="O85" s="711"/>
      <c r="P85" s="733"/>
      <c r="Q85" s="749">
        <v>22241.128197813006</v>
      </c>
      <c r="R85" s="711"/>
      <c r="S85" s="733"/>
      <c r="T85" s="749">
        <v>29063.065822300141</v>
      </c>
      <c r="U85" s="711"/>
      <c r="V85" s="733"/>
      <c r="W85" s="749">
        <v>20476.135369923384</v>
      </c>
      <c r="X85" s="711"/>
      <c r="Y85" s="733"/>
      <c r="Z85" s="749">
        <v>20386.160176881524</v>
      </c>
      <c r="AA85" s="711"/>
      <c r="AB85" s="733"/>
      <c r="AC85" s="749">
        <v>21586.34297447756</v>
      </c>
      <c r="AD85" s="711"/>
      <c r="AE85" s="733"/>
      <c r="AF85" s="749">
        <v>23654.231743326593</v>
      </c>
      <c r="AG85" s="711"/>
      <c r="AH85" s="733"/>
      <c r="AI85" s="749">
        <v>29339.770354326123</v>
      </c>
      <c r="AJ85" s="711"/>
      <c r="AK85" s="733"/>
      <c r="AL85" s="749">
        <v>17050.915349877814</v>
      </c>
      <c r="AM85" s="711"/>
      <c r="AN85" s="733"/>
      <c r="AO85" s="749">
        <v>9981.8540787483162</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1427586.4500000002</v>
      </c>
      <c r="F86" s="772"/>
      <c r="G86" s="773"/>
      <c r="H86" s="774">
        <f>+SUM(H78:H85)</f>
        <v>78252.579879285506</v>
      </c>
      <c r="I86" s="772"/>
      <c r="J86" s="773"/>
      <c r="K86" s="774">
        <f>+SUM(K78:K85)</f>
        <v>72275.546293568157</v>
      </c>
      <c r="L86" s="772"/>
      <c r="M86" s="773"/>
      <c r="N86" s="774">
        <f>+SUM(N78:N85)</f>
        <v>138213.07975947193</v>
      </c>
      <c r="O86" s="772"/>
      <c r="P86" s="773"/>
      <c r="Q86" s="774">
        <f>+SUM(Q78:Q85)</f>
        <v>140374.33319781302</v>
      </c>
      <c r="R86" s="772"/>
      <c r="S86" s="773"/>
      <c r="T86" s="774">
        <f>+SUM(T78:T85)</f>
        <v>159009.59132230014</v>
      </c>
      <c r="U86" s="772"/>
      <c r="V86" s="773"/>
      <c r="W86" s="774">
        <f>+SUM(W78:W85)</f>
        <v>114982.69936992339</v>
      </c>
      <c r="X86" s="772"/>
      <c r="Y86" s="773"/>
      <c r="Z86" s="774">
        <f>+SUM(Z78:Z85)</f>
        <v>103079.40367688151</v>
      </c>
      <c r="AA86" s="772"/>
      <c r="AB86" s="773"/>
      <c r="AC86" s="774">
        <f>+SUM(AC78:AC85)</f>
        <v>139719.54797447758</v>
      </c>
      <c r="AD86" s="772"/>
      <c r="AE86" s="773"/>
      <c r="AF86" s="774">
        <f>+SUM(AF78:AF85)</f>
        <v>141787.4367433266</v>
      </c>
      <c r="AG86" s="772"/>
      <c r="AH86" s="773"/>
      <c r="AI86" s="774">
        <f>+SUM(AI78:AI85)</f>
        <v>159286.29585432613</v>
      </c>
      <c r="AJ86" s="772"/>
      <c r="AK86" s="773"/>
      <c r="AL86" s="774">
        <f>+SUM(AL78:AL85)</f>
        <v>135184.12034987783</v>
      </c>
      <c r="AM86" s="772"/>
      <c r="AN86" s="773"/>
      <c r="AO86" s="774">
        <f>+SUM(AO78:AO85)</f>
        <v>45421.815578748319</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653886.22938174848</v>
      </c>
      <c r="F88" s="779"/>
      <c r="G88" s="780"/>
      <c r="H88" s="781">
        <f>H30-H77+H86</f>
        <v>14051.89682592568</v>
      </c>
      <c r="I88" s="779"/>
      <c r="J88" s="780"/>
      <c r="K88" s="781">
        <f>K30-K77+K86</f>
        <v>-1882.8122648224817</v>
      </c>
      <c r="L88" s="779"/>
      <c r="M88" s="780"/>
      <c r="N88" s="781">
        <f>N30-N77+N86</f>
        <v>70658.196932507664</v>
      </c>
      <c r="O88" s="779"/>
      <c r="P88" s="780"/>
      <c r="Q88" s="781">
        <f>Q30-Q77+Q86</f>
        <v>78622.300513986818</v>
      </c>
      <c r="R88" s="779"/>
      <c r="S88" s="780"/>
      <c r="T88" s="781">
        <f>T30-T77+T86</f>
        <v>110299.07383916329</v>
      </c>
      <c r="U88" s="779"/>
      <c r="V88" s="780"/>
      <c r="W88" s="781">
        <f>W30-W77+W86</f>
        <v>50391.579140433052</v>
      </c>
      <c r="X88" s="779"/>
      <c r="Y88" s="780"/>
      <c r="Z88" s="781">
        <f>Z30-Z77+Z86</f>
        <v>38035.792208393003</v>
      </c>
      <c r="AA88" s="779"/>
      <c r="AB88" s="780"/>
      <c r="AC88" s="781">
        <f>AC30-AC77+AC86</f>
        <v>76992.068904045591</v>
      </c>
      <c r="AD88" s="779"/>
      <c r="AE88" s="780"/>
      <c r="AF88" s="781">
        <f>AF30-AF77+AF86</f>
        <v>83353.739406141685</v>
      </c>
      <c r="AG88" s="779"/>
      <c r="AH88" s="780"/>
      <c r="AI88" s="781">
        <f>AI30-AI77+AI86</f>
        <v>113246.22354476037</v>
      </c>
      <c r="AJ88" s="779"/>
      <c r="AK88" s="780"/>
      <c r="AL88" s="781">
        <f>AL30-AL77+AL86</f>
        <v>61347.269741307173</v>
      </c>
      <c r="AM88" s="779"/>
      <c r="AN88" s="780"/>
      <c r="AO88" s="781">
        <f>AO30-AO77+AO86</f>
        <v>-41229.099410093542</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22" t="s">
        <v>1639</v>
      </c>
      <c r="D94" s="1123"/>
      <c r="E94" s="1124"/>
      <c r="F94" s="1122" t="s">
        <v>1934</v>
      </c>
      <c r="G94" s="1123"/>
      <c r="H94" s="1124"/>
      <c r="I94" s="1122" t="s">
        <v>1935</v>
      </c>
      <c r="J94" s="1123"/>
      <c r="K94" s="1124"/>
      <c r="L94" s="1122" t="s">
        <v>1936</v>
      </c>
      <c r="M94" s="1123"/>
      <c r="N94" s="1124"/>
      <c r="O94" s="1122" t="s">
        <v>1937</v>
      </c>
      <c r="P94" s="1123"/>
      <c r="Q94" s="1124"/>
      <c r="R94" s="1122" t="s">
        <v>1938</v>
      </c>
      <c r="S94" s="1123"/>
      <c r="T94" s="1124"/>
      <c r="U94" s="1122" t="s">
        <v>1916</v>
      </c>
      <c r="V94" s="1123"/>
      <c r="W94" s="1124"/>
      <c r="X94" s="1122" t="s">
        <v>1939</v>
      </c>
      <c r="Y94" s="1123"/>
      <c r="Z94" s="1124"/>
      <c r="AA94" s="1122" t="s">
        <v>1940</v>
      </c>
      <c r="AB94" s="1123"/>
      <c r="AC94" s="1124"/>
      <c r="AD94" s="1122" t="s">
        <v>3</v>
      </c>
      <c r="AE94" s="1123"/>
      <c r="AF94" s="1124"/>
      <c r="AG94" s="1122" t="s">
        <v>1941</v>
      </c>
      <c r="AH94" s="1123"/>
      <c r="AI94" s="1124"/>
      <c r="AJ94" s="1122" t="s">
        <v>1942</v>
      </c>
      <c r="AK94" s="1123"/>
      <c r="AL94" s="1124"/>
      <c r="AM94" s="1122" t="s">
        <v>1943</v>
      </c>
      <c r="AN94" s="1123"/>
      <c r="AO94" s="1124"/>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v>641081.32723401533</v>
      </c>
      <c r="I96" s="707"/>
      <c r="J96" s="708"/>
      <c r="K96" s="790">
        <v>810373.52002469823</v>
      </c>
      <c r="L96" s="707"/>
      <c r="M96" s="708"/>
      <c r="N96" s="790">
        <v>758716.19304405223</v>
      </c>
      <c r="O96" s="707"/>
      <c r="P96" s="708"/>
      <c r="Q96" s="790">
        <v>994929.55394000048</v>
      </c>
      <c r="R96" s="707"/>
      <c r="S96" s="708"/>
      <c r="T96" s="790">
        <v>1240477.1936189239</v>
      </c>
      <c r="U96" s="707"/>
      <c r="V96" s="708"/>
      <c r="W96" s="790">
        <v>1127432.9567185473</v>
      </c>
      <c r="X96" s="707"/>
      <c r="Y96" s="708"/>
      <c r="Z96" s="790">
        <v>1147134.4057891713</v>
      </c>
      <c r="AA96" s="707"/>
      <c r="AB96" s="708"/>
      <c r="AC96" s="790">
        <v>1181462.1086358507</v>
      </c>
      <c r="AD96" s="707"/>
      <c r="AE96" s="708"/>
      <c r="AF96" s="790">
        <v>952211.20158621995</v>
      </c>
      <c r="AG96" s="707"/>
      <c r="AH96" s="708"/>
      <c r="AI96" s="790">
        <v>1285172.0667532524</v>
      </c>
      <c r="AJ96" s="707"/>
      <c r="AK96" s="708"/>
      <c r="AL96" s="790">
        <v>1165165.3760065578</v>
      </c>
      <c r="AM96" s="707"/>
      <c r="AN96" s="708"/>
      <c r="AO96" s="790">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v>19.24044771677282</v>
      </c>
      <c r="G97" s="713">
        <f>IF(F97=0,0,H97/F97)</f>
        <v>750</v>
      </c>
      <c r="H97" s="716">
        <v>14430.335787579615</v>
      </c>
      <c r="I97" s="715">
        <v>24.321328169648581</v>
      </c>
      <c r="J97" s="713">
        <f>IF(I97=0,0,K97/I97)</f>
        <v>750</v>
      </c>
      <c r="K97" s="716">
        <v>18240.996127236434</v>
      </c>
      <c r="L97" s="715">
        <v>22.770963096237939</v>
      </c>
      <c r="M97" s="713">
        <f>IF(L97=0,0,N97/L97)</f>
        <v>750</v>
      </c>
      <c r="N97" s="716">
        <v>17078.222322178455</v>
      </c>
      <c r="O97" s="715">
        <v>29.860314520542744</v>
      </c>
      <c r="P97" s="713">
        <f>IF(O97=0,0,Q97/O97)</f>
        <v>750</v>
      </c>
      <c r="Q97" s="716">
        <v>22395.235890407057</v>
      </c>
      <c r="R97" s="715">
        <v>37.229810905039251</v>
      </c>
      <c r="S97" s="713">
        <f>IF(R97=0,0,T97/R97)</f>
        <v>750</v>
      </c>
      <c r="T97" s="716">
        <v>27922.358178779439</v>
      </c>
      <c r="U97" s="715">
        <v>33.83707173550448</v>
      </c>
      <c r="V97" s="713">
        <f>IF(U97=0,0,W97/U97)</f>
        <v>750</v>
      </c>
      <c r="W97" s="716">
        <v>25377.803801628361</v>
      </c>
      <c r="X97" s="715">
        <v>34.428361303122216</v>
      </c>
      <c r="Y97" s="713">
        <f>IF(X97=0,0,Z97/X97)</f>
        <v>750</v>
      </c>
      <c r="Z97" s="716">
        <v>25821.270977341661</v>
      </c>
      <c r="AA97" s="715">
        <v>35.458621184045796</v>
      </c>
      <c r="AB97" s="713">
        <f>IF(AA97=0,0,AC97/AA97)</f>
        <v>750</v>
      </c>
      <c r="AC97" s="716">
        <v>26593.965888034349</v>
      </c>
      <c r="AD97" s="715">
        <v>28.578230344802019</v>
      </c>
      <c r="AE97" s="713">
        <f>IF(AD97=0,0,AF97/AD97)</f>
        <v>750</v>
      </c>
      <c r="AF97" s="716">
        <v>21433.672758601515</v>
      </c>
      <c r="AG97" s="715">
        <v>38.571215393388869</v>
      </c>
      <c r="AH97" s="713">
        <f>IF(AG97=0,0,AI97/AG97)</f>
        <v>750</v>
      </c>
      <c r="AI97" s="716">
        <v>28928.41154504165</v>
      </c>
      <c r="AJ97" s="715">
        <v>34.969515638793077</v>
      </c>
      <c r="AK97" s="713">
        <f>IF(AJ97=0,0,AL97/AJ97)</f>
        <v>750</v>
      </c>
      <c r="AL97" s="716">
        <v>26227.136729094807</v>
      </c>
      <c r="AM97" s="715">
        <v>20.230522869800058</v>
      </c>
      <c r="AN97" s="713">
        <f>IF(AM97=0,0,AO97/AM97)</f>
        <v>750</v>
      </c>
      <c r="AO97" s="716">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v>1.0973639382189821</v>
      </c>
      <c r="G98" s="713">
        <f>IF(F98=0,0,H98/F98)</f>
        <v>750</v>
      </c>
      <c r="H98" s="716">
        <v>823.02295366423664</v>
      </c>
      <c r="I98" s="715">
        <v>1.3871479944666489</v>
      </c>
      <c r="J98" s="713">
        <f>IF(I98=0,0,K98/I98)</f>
        <v>750</v>
      </c>
      <c r="K98" s="716">
        <v>1040.3609958499867</v>
      </c>
      <c r="L98" s="715">
        <v>1.2987241309641409</v>
      </c>
      <c r="M98" s="713">
        <f>IF(L98=0,0,N98/L98)</f>
        <v>750</v>
      </c>
      <c r="N98" s="716">
        <v>974.04309822310563</v>
      </c>
      <c r="O98" s="715">
        <v>1.7030597635290536</v>
      </c>
      <c r="P98" s="713">
        <f>IF(O98=0,0,Q98/O98)</f>
        <v>750</v>
      </c>
      <c r="Q98" s="716">
        <v>1277.2948226467902</v>
      </c>
      <c r="R98" s="715">
        <v>2.1233732455345575</v>
      </c>
      <c r="S98" s="713">
        <f>IF(R98=0,0,T98/R98)</f>
        <v>750</v>
      </c>
      <c r="T98" s="716">
        <v>1592.5299341509181</v>
      </c>
      <c r="U98" s="715">
        <v>1.9298710115306736</v>
      </c>
      <c r="V98" s="713">
        <f>IF(U98=0,0,W98/U98)</f>
        <v>750</v>
      </c>
      <c r="W98" s="716">
        <v>1447.4032586480052</v>
      </c>
      <c r="X98" s="715">
        <v>1.9635947511286436</v>
      </c>
      <c r="Y98" s="713">
        <f>IF(X98=0,0,Z98/X98)</f>
        <v>750.00000000000011</v>
      </c>
      <c r="Z98" s="716">
        <v>1472.6960633464828</v>
      </c>
      <c r="AA98" s="715">
        <v>2.0223548203828403</v>
      </c>
      <c r="AB98" s="713">
        <f>IF(AA98=0,0,AC98/AA98)</f>
        <v>750</v>
      </c>
      <c r="AC98" s="716">
        <v>1516.7661152871303</v>
      </c>
      <c r="AD98" s="715">
        <v>1.6299370919088603</v>
      </c>
      <c r="AE98" s="713">
        <f>IF(AD98=0,0,AF98/AD98)</f>
        <v>750</v>
      </c>
      <c r="AF98" s="716">
        <v>1222.4528189316452</v>
      </c>
      <c r="AG98" s="715">
        <v>2.1998792049461331</v>
      </c>
      <c r="AH98" s="713">
        <f>IF(AG98=0,0,AI98/AG98)</f>
        <v>750</v>
      </c>
      <c r="AI98" s="716">
        <v>1649.9094037095999</v>
      </c>
      <c r="AJ98" s="715">
        <v>1.994459066851316</v>
      </c>
      <c r="AK98" s="713">
        <f>IF(AJ98=0,0,AL98/AJ98)</f>
        <v>750</v>
      </c>
      <c r="AL98" s="716">
        <v>1495.8443001384869</v>
      </c>
      <c r="AM98" s="715">
        <v>1.1538321028403073</v>
      </c>
      <c r="AN98" s="713">
        <f>IF(AM98=0,0,AO98/AM98)</f>
        <v>750</v>
      </c>
      <c r="AO98" s="716">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v>17.233619349756211</v>
      </c>
      <c r="G102" s="713">
        <f>IF(F102=0,0,H102/F102)</f>
        <v>120</v>
      </c>
      <c r="H102" s="716">
        <v>2068.0343219707452</v>
      </c>
      <c r="I102" s="715">
        <v>21.784550854855535</v>
      </c>
      <c r="J102" s="713">
        <f>IF(I102=0,0,K102/I102)</f>
        <v>120</v>
      </c>
      <c r="K102" s="716">
        <v>2614.1461025826643</v>
      </c>
      <c r="L102" s="715">
        <v>20.395892860944919</v>
      </c>
      <c r="M102" s="713">
        <f>IF(L102=0,0,N102/L102)</f>
        <v>120</v>
      </c>
      <c r="N102" s="716">
        <v>2447.5071433133903</v>
      </c>
      <c r="O102" s="715">
        <v>26.745806630187154</v>
      </c>
      <c r="P102" s="713">
        <f>IF(O102=0,0,Q102/O102)</f>
        <v>120</v>
      </c>
      <c r="Q102" s="716">
        <v>3209.4967956224586</v>
      </c>
      <c r="R102" s="715">
        <v>33.34664551706517</v>
      </c>
      <c r="S102" s="713">
        <f>IF(R102=0,0,T102/R102)</f>
        <v>120</v>
      </c>
      <c r="T102" s="716">
        <v>4001.5974620478205</v>
      </c>
      <c r="U102" s="715">
        <v>30.307777801435051</v>
      </c>
      <c r="V102" s="713">
        <f>IF(U102=0,0,W102/U102)</f>
        <v>120</v>
      </c>
      <c r="W102" s="716">
        <v>3636.9333361722061</v>
      </c>
      <c r="X102" s="715">
        <v>30.837394340707309</v>
      </c>
      <c r="Y102" s="713">
        <f>IF(X102=0,0,Z102/X102)</f>
        <v>120</v>
      </c>
      <c r="Z102" s="716">
        <v>3700.4873208848771</v>
      </c>
      <c r="AA102" s="715">
        <v>31.760195456384267</v>
      </c>
      <c r="AB102" s="713">
        <f>IF(AA102=0,0,AC102/AA102)</f>
        <v>120</v>
      </c>
      <c r="AC102" s="716">
        <v>3811.2234547661119</v>
      </c>
      <c r="AD102" s="715">
        <v>25.597447143739217</v>
      </c>
      <c r="AE102" s="713">
        <f>IF(AD102=0,0,AF102/AD102)</f>
        <v>120</v>
      </c>
      <c r="AF102" s="716">
        <v>3071.6936572487061</v>
      </c>
      <c r="AG102" s="715">
        <v>34.548138054378612</v>
      </c>
      <c r="AH102" s="713">
        <f>IF(AG102=0,0,AI102/AG102)</f>
        <v>120.00000000000001</v>
      </c>
      <c r="AI102" s="716">
        <v>4145.7765665254337</v>
      </c>
      <c r="AJ102" s="715">
        <v>31.322104882151301</v>
      </c>
      <c r="AK102" s="713">
        <f>IF(AJ102=0,0,AL102/AJ102)</f>
        <v>120</v>
      </c>
      <c r="AL102" s="716">
        <v>3758.6525858581563</v>
      </c>
      <c r="AM102" s="715">
        <v>18.120427108395255</v>
      </c>
      <c r="AN102" s="713">
        <f>IF(AM102=0,0,AO102/AM102)</f>
        <v>120.00000000000001</v>
      </c>
      <c r="AO102" s="716">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v>16353.50352375072</v>
      </c>
      <c r="I104" s="715"/>
      <c r="J104" s="713">
        <f>IF(I99=0,0,K104/I99)</f>
        <v>804.09356725146199</v>
      </c>
      <c r="K104" s="716">
        <v>20672.020307402596</v>
      </c>
      <c r="L104" s="715"/>
      <c r="M104" s="713">
        <f>IF(L99=0,0,N104/L99)</f>
        <v>804.09356725146199</v>
      </c>
      <c r="N104" s="716">
        <v>19354.280665147871</v>
      </c>
      <c r="O104" s="715"/>
      <c r="P104" s="713">
        <f>IF(O99=0,0,Q104/O99)</f>
        <v>804.09356725146199</v>
      </c>
      <c r="Q104" s="716">
        <v>25379.906222572354</v>
      </c>
      <c r="R104" s="715"/>
      <c r="S104" s="713">
        <f>IF(R99=0,0,T104/R99)</f>
        <v>804.09356725146199</v>
      </c>
      <c r="T104" s="716">
        <v>31643.64222633859</v>
      </c>
      <c r="U104" s="715"/>
      <c r="V104" s="713">
        <f>IF(U99=0,0,W104/U99)</f>
        <v>804.09356725146199</v>
      </c>
      <c r="W104" s="716">
        <v>28759.968583142301</v>
      </c>
      <c r="X104" s="715"/>
      <c r="Y104" s="713">
        <f>IF(X99=0,0,Z104/X99)</f>
        <v>804.09356725146199</v>
      </c>
      <c r="Z104" s="716">
        <v>29262.537762921016</v>
      </c>
      <c r="AA104" s="715"/>
      <c r="AB104" s="713">
        <f>IF(AA99=0,0,AC104/AA99)</f>
        <v>804.09356725146199</v>
      </c>
      <c r="AC104" s="716">
        <v>30138.211699467469</v>
      </c>
      <c r="AD104" s="715"/>
      <c r="AE104" s="713">
        <f>IF(AD99=0,0,AF104/AD99)</f>
        <v>804.09356725146199</v>
      </c>
      <c r="AF104" s="716">
        <v>24290.193114314305</v>
      </c>
      <c r="AG104" s="715"/>
      <c r="AH104" s="713">
        <f>IF(AG99=0,0,AI104/AG99)</f>
        <v>804.09356725146199</v>
      </c>
      <c r="AI104" s="716">
        <v>32783.774896322007</v>
      </c>
      <c r="AJ104" s="715"/>
      <c r="AK104" s="713">
        <f>IF(AJ99=0,0,AL104/AJ99)</f>
        <v>804.09356725146199</v>
      </c>
      <c r="AL104" s="716">
        <v>29722.494280854407</v>
      </c>
      <c r="AM104" s="715"/>
      <c r="AN104" s="713">
        <f>IF(AM99=0,0,AO104/AM99)</f>
        <v>804.09356725146188</v>
      </c>
      <c r="AO104" s="716">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v>18533.970660250816</v>
      </c>
      <c r="I105" s="715"/>
      <c r="J105" s="713">
        <f>IF(I99=0,0,K105/I99)</f>
        <v>911.30604288499023</v>
      </c>
      <c r="K105" s="716">
        <v>23428.289681722941</v>
      </c>
      <c r="L105" s="715"/>
      <c r="M105" s="713">
        <f>IF(L99=0,0,N105/L99)</f>
        <v>911.30604288499035</v>
      </c>
      <c r="N105" s="716">
        <v>21934.851420500923</v>
      </c>
      <c r="O105" s="715"/>
      <c r="P105" s="713">
        <f>IF(O99=0,0,Q105/O99)</f>
        <v>911.30604288499023</v>
      </c>
      <c r="Q105" s="716">
        <v>28763.893718915333</v>
      </c>
      <c r="R105" s="715"/>
      <c r="S105" s="713">
        <f>IF(R99=0,0,T105/R99)</f>
        <v>911.30604288499023</v>
      </c>
      <c r="T105" s="716">
        <v>35862.794523183737</v>
      </c>
      <c r="U105" s="715"/>
      <c r="V105" s="713">
        <f>IF(U99=0,0,W105/U99)</f>
        <v>911.30604288499023</v>
      </c>
      <c r="W105" s="716">
        <v>32594.631060894608</v>
      </c>
      <c r="X105" s="715"/>
      <c r="Y105" s="713">
        <f>IF(X99=0,0,Z105/X99)</f>
        <v>911.30604288499012</v>
      </c>
      <c r="Z105" s="716">
        <v>33164.209464643813</v>
      </c>
      <c r="AA105" s="715"/>
      <c r="AB105" s="713">
        <f>IF(AA99=0,0,AC105/AA99)</f>
        <v>911.30604288499023</v>
      </c>
      <c r="AC105" s="716">
        <v>34156.63992606313</v>
      </c>
      <c r="AD105" s="715"/>
      <c r="AE105" s="713">
        <f>IF(AD99=0,0,AF105/AD99)</f>
        <v>911.30604288499023</v>
      </c>
      <c r="AF105" s="716">
        <v>27528.88552955621</v>
      </c>
      <c r="AG105" s="715"/>
      <c r="AH105" s="713">
        <f>IF(AG99=0,0,AI105/AG99)</f>
        <v>911.30604288499035</v>
      </c>
      <c r="AI105" s="716">
        <v>37154.944882498276</v>
      </c>
      <c r="AJ105" s="715"/>
      <c r="AK105" s="713">
        <f>IF(AJ99=0,0,AL105/AJ99)</f>
        <v>911.30604288499012</v>
      </c>
      <c r="AL105" s="716">
        <v>33685.493518301657</v>
      </c>
      <c r="AM105" s="715"/>
      <c r="AN105" s="713">
        <f>IF(AM99=0,0,AO105/AM99)</f>
        <v>911.30604288499023</v>
      </c>
      <c r="AO105" s="716">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v>0</v>
      </c>
      <c r="I106" s="715"/>
      <c r="J106" s="792">
        <f>IF(I99=0,0,K106/I99)</f>
        <v>0</v>
      </c>
      <c r="K106" s="716">
        <v>0</v>
      </c>
      <c r="L106" s="715"/>
      <c r="M106" s="792">
        <f>IF(L99=0,0,N106/L99)</f>
        <v>0</v>
      </c>
      <c r="N106" s="716">
        <v>0</v>
      </c>
      <c r="O106" s="715"/>
      <c r="P106" s="792">
        <f>IF(O99=0,0,Q106/O99)</f>
        <v>0</v>
      </c>
      <c r="Q106" s="716">
        <v>0</v>
      </c>
      <c r="R106" s="715"/>
      <c r="S106" s="792">
        <f>IF(R99=0,0,T106/R99)</f>
        <v>0</v>
      </c>
      <c r="T106" s="716">
        <v>0</v>
      </c>
      <c r="U106" s="715"/>
      <c r="V106" s="792">
        <f>IF(U99=0,0,W106/U99)</f>
        <v>0</v>
      </c>
      <c r="W106" s="716">
        <v>0</v>
      </c>
      <c r="X106" s="715"/>
      <c r="Y106" s="792">
        <f>IF(X99=0,0,Z106/X99)</f>
        <v>0</v>
      </c>
      <c r="Z106" s="716">
        <v>0</v>
      </c>
      <c r="AA106" s="715"/>
      <c r="AB106" s="792">
        <f>IF(AA99=0,0,AC106/AA99)</f>
        <v>0</v>
      </c>
      <c r="AC106" s="716">
        <v>0</v>
      </c>
      <c r="AD106" s="715"/>
      <c r="AE106" s="792">
        <f>IF(AD99=0,0,AF106/AD99)</f>
        <v>0</v>
      </c>
      <c r="AF106" s="716">
        <v>0</v>
      </c>
      <c r="AG106" s="715"/>
      <c r="AH106" s="792">
        <f>IF(AG99=0,0,AI106/AG99)</f>
        <v>0</v>
      </c>
      <c r="AI106" s="716">
        <v>0</v>
      </c>
      <c r="AJ106" s="715"/>
      <c r="AK106" s="792">
        <f>IF(AJ99=0,0,AL106/AJ99)</f>
        <v>0</v>
      </c>
      <c r="AL106" s="716">
        <v>0</v>
      </c>
      <c r="AM106" s="715"/>
      <c r="AN106" s="792">
        <f>IF(AM99=0,0,AO106/AM99)</f>
        <v>0</v>
      </c>
      <c r="AO106" s="716">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v>10838.942353141567</v>
      </c>
      <c r="I114" s="711"/>
      <c r="J114" s="748">
        <f>IF(I$99=0,0,K114/(I$97+I$98))</f>
        <v>471.62973415048248</v>
      </c>
      <c r="K114" s="749">
        <v>12124.881778695681</v>
      </c>
      <c r="L114" s="711"/>
      <c r="M114" s="748">
        <f>IF(L$99=0,0,N114/(L$97+L$98))</f>
        <v>497.57830715421136</v>
      </c>
      <c r="N114" s="749">
        <v>11976.554224242554</v>
      </c>
      <c r="O114" s="711"/>
      <c r="P114" s="748">
        <f>IF(O$99=0,0,Q114/(O$97+O$98))</f>
        <v>438.0947448356996</v>
      </c>
      <c r="Q114" s="749">
        <v>13827.748403134117</v>
      </c>
      <c r="R114" s="711"/>
      <c r="S114" s="748">
        <f>IF(R$99=0,0,T114/(R$97+R$98))</f>
        <v>400.41957519365081</v>
      </c>
      <c r="T114" s="749">
        <v>15757.785280090277</v>
      </c>
      <c r="U114" s="711"/>
      <c r="V114" s="748">
        <f>IF(U$99=0,0,W114/(U$97+U$98))</f>
        <v>417.89841005175413</v>
      </c>
      <c r="W114" s="749">
        <v>14946.948506398108</v>
      </c>
      <c r="X114" s="711"/>
      <c r="Y114" s="748">
        <f>IF(X$99=0,0,Z114/(X$97+X$98))</f>
        <v>419.25084424424927</v>
      </c>
      <c r="Z114" s="749">
        <v>15257.358299444291</v>
      </c>
      <c r="AA114" s="711"/>
      <c r="AB114" s="748">
        <f>IF(AA$99=0,0,AC114/(AA$97+AA$98))</f>
        <v>410.9634140626199</v>
      </c>
      <c r="AC114" s="749">
        <v>15403.309861179125</v>
      </c>
      <c r="AD114" s="711"/>
      <c r="AE114" s="748">
        <f>IF(AD$99=0,0,AF114/(AD$97+AD$98))</f>
        <v>445.80408951449374</v>
      </c>
      <c r="AF114" s="749">
        <v>13466.924580024272</v>
      </c>
      <c r="AG114" s="711"/>
      <c r="AH114" s="748">
        <f>IF(AG$99=0,0,AI114/(AG$97+AG$98))</f>
        <v>399.28542751146796</v>
      </c>
      <c r="AI114" s="749">
        <v>16279.303936806695</v>
      </c>
      <c r="AJ114" s="711"/>
      <c r="AK114" s="748">
        <f>IF(AJ$99=0,0,AL114/(AJ$97+AJ$98))</f>
        <v>412.98746649793475</v>
      </c>
      <c r="AL114" s="749">
        <v>15265.658265377819</v>
      </c>
      <c r="AM114" s="711"/>
      <c r="AN114" s="748">
        <f>IF(AM$99=0,0,AO114/(AM$97+AM$98))</f>
        <v>499.69169166602779</v>
      </c>
      <c r="AO114" s="749">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v>10466.242255200459</v>
      </c>
      <c r="I115" s="706"/>
      <c r="J115" s="751">
        <f t="shared" ref="J115:J123" si="49">IF(I$99=0,0,K115/(I$97+I$98))</f>
        <v>514.61988304093563</v>
      </c>
      <c r="K115" s="753">
        <v>13230.092996737661</v>
      </c>
      <c r="L115" s="706"/>
      <c r="M115" s="751">
        <f t="shared" ref="M115:M123" si="50">IF(L$99=0,0,N115/(L$97+L$98))</f>
        <v>514.61988304093563</v>
      </c>
      <c r="N115" s="753">
        <v>12386.739625694638</v>
      </c>
      <c r="O115" s="706"/>
      <c r="P115" s="751">
        <f t="shared" ref="P115:P123" si="51">IF(O$99=0,0,Q115/(O$97+O$98))</f>
        <v>514.61988304093563</v>
      </c>
      <c r="Q115" s="753">
        <v>16243.139982446304</v>
      </c>
      <c r="R115" s="706"/>
      <c r="S115" s="751">
        <f t="shared" ref="S115:S123" si="52">IF(R$99=0,0,T115/(R$97+R$98))</f>
        <v>514.61988304093563</v>
      </c>
      <c r="T115" s="753">
        <v>20251.931024856698</v>
      </c>
      <c r="U115" s="706"/>
      <c r="V115" s="751">
        <f t="shared" ref="V115:V123" si="53">IF(U$99=0,0,W115/(U$97+U$98))</f>
        <v>514.61988304093563</v>
      </c>
      <c r="W115" s="753">
        <v>18406.379893211069</v>
      </c>
      <c r="X115" s="706"/>
      <c r="Y115" s="751">
        <f t="shared" ref="Y115:Y123" si="54">IF(X$99=0,0,Z115/(X$97+X$98))</f>
        <v>514.61988304093575</v>
      </c>
      <c r="Z115" s="753">
        <v>18728.02416826945</v>
      </c>
      <c r="AA115" s="706"/>
      <c r="AB115" s="751">
        <f t="shared" ref="AB115:AB123" si="55">IF(AA$99=0,0,AC115/(AA$97+AA$98))</f>
        <v>514.61988304093563</v>
      </c>
      <c r="AC115" s="753">
        <v>19288.455487659179</v>
      </c>
      <c r="AD115" s="706"/>
      <c r="AE115" s="751">
        <f t="shared" ref="AE115:AE123" si="56">IF(AD$99=0,0,AF115/(AD$97+AD$98))</f>
        <v>514.61988304093563</v>
      </c>
      <c r="AF115" s="753">
        <v>15545.723593161152</v>
      </c>
      <c r="AG115" s="706"/>
      <c r="AH115" s="751">
        <f t="shared" ref="AH115:AH123" si="57">IF(AG$99=0,0,AI115/(AG$97+AG$98))</f>
        <v>514.61988304093575</v>
      </c>
      <c r="AI115" s="753">
        <v>20981.615933646088</v>
      </c>
      <c r="AJ115" s="706"/>
      <c r="AK115" s="751">
        <f t="shared" ref="AK115:AK123" si="58">IF(AJ$99=0,0,AL115/(AJ$97+AJ$98))</f>
        <v>514.61988304093563</v>
      </c>
      <c r="AL115" s="753">
        <v>19022.396339746818</v>
      </c>
      <c r="AM115" s="706"/>
      <c r="AN115" s="751">
        <f t="shared" ref="AN115:AN123" si="59">IF(AM$99=0,0,AO115/(AM$97+AM$98))</f>
        <v>514.61988304093575</v>
      </c>
      <c r="AO115" s="753">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v>1098.2418293695573</v>
      </c>
      <c r="I116" s="711"/>
      <c r="J116" s="748">
        <f t="shared" si="49"/>
        <v>54</v>
      </c>
      <c r="K116" s="749">
        <v>1388.2577128622224</v>
      </c>
      <c r="L116" s="711"/>
      <c r="M116" s="748">
        <f t="shared" si="50"/>
        <v>54</v>
      </c>
      <c r="N116" s="749">
        <v>1299.7631102689124</v>
      </c>
      <c r="O116" s="711"/>
      <c r="P116" s="748">
        <f t="shared" si="51"/>
        <v>54</v>
      </c>
      <c r="Q116" s="749">
        <v>1704.4222113398771</v>
      </c>
      <c r="R116" s="711"/>
      <c r="S116" s="748">
        <f t="shared" si="52"/>
        <v>54</v>
      </c>
      <c r="T116" s="749">
        <v>2125.0719441309857</v>
      </c>
      <c r="U116" s="711"/>
      <c r="V116" s="748">
        <f t="shared" si="53"/>
        <v>54</v>
      </c>
      <c r="W116" s="749">
        <v>1931.4149083398981</v>
      </c>
      <c r="X116" s="711"/>
      <c r="Y116" s="748">
        <f t="shared" si="54"/>
        <v>54</v>
      </c>
      <c r="Z116" s="749">
        <v>1965.1656269295465</v>
      </c>
      <c r="AA116" s="711"/>
      <c r="AB116" s="748">
        <f t="shared" si="55"/>
        <v>54</v>
      </c>
      <c r="AC116" s="749">
        <v>2023.9727042391462</v>
      </c>
      <c r="AD116" s="711"/>
      <c r="AE116" s="748">
        <f t="shared" si="56"/>
        <v>53.999999999999993</v>
      </c>
      <c r="AF116" s="749">
        <v>1631.2410415823874</v>
      </c>
      <c r="AG116" s="711"/>
      <c r="AH116" s="748">
        <f t="shared" si="57"/>
        <v>54</v>
      </c>
      <c r="AI116" s="749">
        <v>2201.6391083100903</v>
      </c>
      <c r="AJ116" s="711"/>
      <c r="AK116" s="748">
        <f t="shared" si="58"/>
        <v>54</v>
      </c>
      <c r="AL116" s="749">
        <v>1996.0546341047971</v>
      </c>
      <c r="AM116" s="711"/>
      <c r="AN116" s="748">
        <f t="shared" si="59"/>
        <v>54.000000000000007</v>
      </c>
      <c r="AO116" s="749">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v>2135.4702237741394</v>
      </c>
      <c r="I117" s="711"/>
      <c r="J117" s="748">
        <f t="shared" si="49"/>
        <v>105</v>
      </c>
      <c r="K117" s="749">
        <v>2699.3899972320992</v>
      </c>
      <c r="L117" s="711"/>
      <c r="M117" s="748">
        <f t="shared" si="50"/>
        <v>105</v>
      </c>
      <c r="N117" s="749">
        <v>2527.3171588562186</v>
      </c>
      <c r="O117" s="711"/>
      <c r="P117" s="748">
        <f t="shared" si="51"/>
        <v>105</v>
      </c>
      <c r="Q117" s="749">
        <v>3314.154299827539</v>
      </c>
      <c r="R117" s="711"/>
      <c r="S117" s="748">
        <f t="shared" si="52"/>
        <v>105</v>
      </c>
      <c r="T117" s="749">
        <v>4132.0843358102502</v>
      </c>
      <c r="U117" s="711"/>
      <c r="V117" s="748">
        <f t="shared" si="53"/>
        <v>105</v>
      </c>
      <c r="W117" s="749">
        <v>3755.5289884386912</v>
      </c>
      <c r="X117" s="711"/>
      <c r="Y117" s="748">
        <f t="shared" si="54"/>
        <v>105</v>
      </c>
      <c r="Z117" s="749">
        <v>3821.1553856963405</v>
      </c>
      <c r="AA117" s="711"/>
      <c r="AB117" s="748">
        <f t="shared" si="55"/>
        <v>105</v>
      </c>
      <c r="AC117" s="749">
        <v>3935.5024804650066</v>
      </c>
      <c r="AD117" s="711"/>
      <c r="AE117" s="748">
        <f t="shared" si="56"/>
        <v>105</v>
      </c>
      <c r="AF117" s="749">
        <v>3171.8575808546425</v>
      </c>
      <c r="AG117" s="711"/>
      <c r="AH117" s="748">
        <f t="shared" si="57"/>
        <v>105</v>
      </c>
      <c r="AI117" s="749">
        <v>4280.9649328251753</v>
      </c>
      <c r="AJ117" s="711"/>
      <c r="AK117" s="748">
        <f t="shared" si="58"/>
        <v>105</v>
      </c>
      <c r="AL117" s="749">
        <v>3881.2173440926608</v>
      </c>
      <c r="AM117" s="711"/>
      <c r="AN117" s="748">
        <f t="shared" si="59"/>
        <v>105</v>
      </c>
      <c r="AO117" s="749">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v>1240.6065109545</v>
      </c>
      <c r="I118" s="706"/>
      <c r="J118" s="751">
        <f t="shared" si="49"/>
        <v>61</v>
      </c>
      <c r="K118" s="753">
        <v>1568.217046011029</v>
      </c>
      <c r="L118" s="706"/>
      <c r="M118" s="751">
        <f t="shared" si="50"/>
        <v>61</v>
      </c>
      <c r="N118" s="753">
        <v>1468.2509208593269</v>
      </c>
      <c r="O118" s="706"/>
      <c r="P118" s="751">
        <f t="shared" si="51"/>
        <v>61</v>
      </c>
      <c r="Q118" s="753">
        <v>1925.3658313283797</v>
      </c>
      <c r="R118" s="706"/>
      <c r="S118" s="751">
        <f t="shared" si="52"/>
        <v>60.999999999999993</v>
      </c>
      <c r="T118" s="753">
        <v>2400.5442331850022</v>
      </c>
      <c r="U118" s="706"/>
      <c r="V118" s="751">
        <f t="shared" si="53"/>
        <v>60.999999999999993</v>
      </c>
      <c r="W118" s="753">
        <v>2181.7835075691441</v>
      </c>
      <c r="X118" s="706"/>
      <c r="Y118" s="751">
        <f t="shared" si="54"/>
        <v>61</v>
      </c>
      <c r="Z118" s="753">
        <v>2219.9093193093026</v>
      </c>
      <c r="AA118" s="706"/>
      <c r="AB118" s="751">
        <f t="shared" si="55"/>
        <v>61</v>
      </c>
      <c r="AC118" s="753">
        <v>2286.3395362701467</v>
      </c>
      <c r="AD118" s="706"/>
      <c r="AE118" s="751">
        <f t="shared" si="56"/>
        <v>61</v>
      </c>
      <c r="AF118" s="753">
        <v>1842.6982136393638</v>
      </c>
      <c r="AG118" s="706"/>
      <c r="AH118" s="751">
        <f t="shared" si="57"/>
        <v>60.999999999999993</v>
      </c>
      <c r="AI118" s="753">
        <v>2487.0367704984351</v>
      </c>
      <c r="AJ118" s="706"/>
      <c r="AK118" s="751">
        <f t="shared" si="58"/>
        <v>61</v>
      </c>
      <c r="AL118" s="753">
        <v>2254.8024570443076</v>
      </c>
      <c r="AM118" s="706"/>
      <c r="AN118" s="751">
        <f t="shared" si="59"/>
        <v>61</v>
      </c>
      <c r="AO118" s="753">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v>557.47012157472204</v>
      </c>
      <c r="I119" s="711"/>
      <c r="J119" s="748">
        <f t="shared" si="49"/>
        <v>27.410526315789461</v>
      </c>
      <c r="K119" s="749">
        <v>704.68286243532657</v>
      </c>
      <c r="L119" s="711"/>
      <c r="M119" s="748">
        <f t="shared" si="50"/>
        <v>27.410526315789454</v>
      </c>
      <c r="N119" s="749">
        <v>659.76279515404394</v>
      </c>
      <c r="O119" s="711"/>
      <c r="P119" s="748">
        <f t="shared" si="51"/>
        <v>27.410526315789454</v>
      </c>
      <c r="Q119" s="749">
        <v>865.16870142866219</v>
      </c>
      <c r="R119" s="711"/>
      <c r="S119" s="748">
        <f t="shared" si="52"/>
        <v>27.410526315789454</v>
      </c>
      <c r="T119" s="749">
        <v>1078.6914897694119</v>
      </c>
      <c r="U119" s="711"/>
      <c r="V119" s="748">
        <f t="shared" si="53"/>
        <v>27.410526315789468</v>
      </c>
      <c r="W119" s="749">
        <v>980.39072540294228</v>
      </c>
      <c r="X119" s="711"/>
      <c r="Y119" s="748">
        <f t="shared" si="54"/>
        <v>27.410526315789454</v>
      </c>
      <c r="Z119" s="749">
        <v>997.52266910809658</v>
      </c>
      <c r="AA119" s="711"/>
      <c r="AB119" s="748">
        <f t="shared" si="55"/>
        <v>27.410526315789443</v>
      </c>
      <c r="AC119" s="749">
        <v>1027.3732791108637</v>
      </c>
      <c r="AD119" s="711"/>
      <c r="AE119" s="748">
        <f t="shared" si="56"/>
        <v>27.41052631578944</v>
      </c>
      <c r="AF119" s="749">
        <v>828.02176847573719</v>
      </c>
      <c r="AG119" s="711"/>
      <c r="AH119" s="748">
        <f t="shared" si="57"/>
        <v>27.410526315789461</v>
      </c>
      <c r="AI119" s="749">
        <v>1117.5571614112032</v>
      </c>
      <c r="AJ119" s="711"/>
      <c r="AK119" s="748">
        <f t="shared" si="58"/>
        <v>27.410526315789443</v>
      </c>
      <c r="AL119" s="749">
        <v>1013.2020014052409</v>
      </c>
      <c r="AM119" s="711"/>
      <c r="AN119" s="748">
        <f t="shared" si="59"/>
        <v>27.41052631578944</v>
      </c>
      <c r="AO119" s="749">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v>1081.4568719840122</v>
      </c>
      <c r="I120" s="711"/>
      <c r="J120" s="748">
        <f t="shared" si="49"/>
        <v>43.606076116015728</v>
      </c>
      <c r="K120" s="749">
        <v>1121.0457684391847</v>
      </c>
      <c r="L120" s="711"/>
      <c r="M120" s="748">
        <f t="shared" si="50"/>
        <v>49.005918486367769</v>
      </c>
      <c r="N120" s="749">
        <v>1179.5571302486326</v>
      </c>
      <c r="O120" s="711"/>
      <c r="P120" s="748">
        <f t="shared" si="51"/>
        <v>42.343491517432383</v>
      </c>
      <c r="Q120" s="749">
        <v>1336.5034712591375</v>
      </c>
      <c r="R120" s="711"/>
      <c r="S120" s="748">
        <f t="shared" si="52"/>
        <v>35.110718730025852</v>
      </c>
      <c r="T120" s="749">
        <v>1381.7185798417083</v>
      </c>
      <c r="U120" s="711"/>
      <c r="V120" s="748">
        <f t="shared" si="53"/>
        <v>37.759628304838067</v>
      </c>
      <c r="W120" s="749">
        <v>1350.5464637284711</v>
      </c>
      <c r="X120" s="711"/>
      <c r="Y120" s="748">
        <f t="shared" si="54"/>
        <v>37.592671687670652</v>
      </c>
      <c r="Z120" s="749">
        <v>1368.070856019591</v>
      </c>
      <c r="AA120" s="711"/>
      <c r="AB120" s="748">
        <f t="shared" si="55"/>
        <v>34.845495532368076</v>
      </c>
      <c r="AC120" s="749">
        <v>1306.0431819111132</v>
      </c>
      <c r="AD120" s="711"/>
      <c r="AE120" s="748">
        <f t="shared" si="56"/>
        <v>44.248025096004639</v>
      </c>
      <c r="AF120" s="749">
        <v>1336.6517508438931</v>
      </c>
      <c r="AG120" s="711"/>
      <c r="AH120" s="748">
        <f t="shared" si="57"/>
        <v>34.549477003882934</v>
      </c>
      <c r="AI120" s="749">
        <v>1408.6199952483109</v>
      </c>
      <c r="AJ120" s="711"/>
      <c r="AK120" s="748">
        <f t="shared" si="58"/>
        <v>32.777189924363412</v>
      </c>
      <c r="AL120" s="749">
        <v>1211.5752192862712</v>
      </c>
      <c r="AM120" s="711"/>
      <c r="AN120" s="748">
        <f t="shared" si="59"/>
        <v>48.548804782694084</v>
      </c>
      <c r="AO120" s="749">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v>6355.5385057471267</v>
      </c>
      <c r="I125" s="711"/>
      <c r="J125" s="733"/>
      <c r="K125" s="749">
        <v>6166.1676245210729</v>
      </c>
      <c r="L125" s="711"/>
      <c r="M125" s="733"/>
      <c r="N125" s="749">
        <v>6734.2802681992334</v>
      </c>
      <c r="O125" s="711"/>
      <c r="P125" s="733"/>
      <c r="Q125" s="749">
        <v>6355.5385057471267</v>
      </c>
      <c r="R125" s="711"/>
      <c r="S125" s="733"/>
      <c r="T125" s="749">
        <v>6544.9093869731805</v>
      </c>
      <c r="U125" s="711"/>
      <c r="V125" s="733"/>
      <c r="W125" s="749">
        <v>6544.9093869731805</v>
      </c>
      <c r="X125" s="711"/>
      <c r="Y125" s="733"/>
      <c r="Z125" s="749">
        <v>6544.9093869731805</v>
      </c>
      <c r="AA125" s="711"/>
      <c r="AB125" s="733"/>
      <c r="AC125" s="749">
        <v>6544.9093869731805</v>
      </c>
      <c r="AD125" s="711"/>
      <c r="AE125" s="733"/>
      <c r="AF125" s="749">
        <v>6544.9093869731805</v>
      </c>
      <c r="AG125" s="711"/>
      <c r="AH125" s="733"/>
      <c r="AI125" s="749">
        <v>6355.5385057471267</v>
      </c>
      <c r="AJ125" s="711"/>
      <c r="AK125" s="733"/>
      <c r="AL125" s="749">
        <v>6544.9093869731805</v>
      </c>
      <c r="AM125" s="711"/>
      <c r="AN125" s="733"/>
      <c r="AO125" s="749">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v>2127.4401145747129</v>
      </c>
      <c r="I126" s="711"/>
      <c r="J126" s="733"/>
      <c r="K126" s="749">
        <v>2026.1334424521074</v>
      </c>
      <c r="L126" s="711"/>
      <c r="M126" s="733"/>
      <c r="N126" s="749">
        <v>2330.0534588199239</v>
      </c>
      <c r="O126" s="711"/>
      <c r="P126" s="733"/>
      <c r="Q126" s="749">
        <v>2127.4401145747129</v>
      </c>
      <c r="R126" s="711"/>
      <c r="S126" s="733"/>
      <c r="T126" s="749">
        <v>2228.7467866973179</v>
      </c>
      <c r="U126" s="711"/>
      <c r="V126" s="733"/>
      <c r="W126" s="749">
        <v>2228.7467866973179</v>
      </c>
      <c r="X126" s="711"/>
      <c r="Y126" s="733"/>
      <c r="Z126" s="749">
        <v>2228.7467866973179</v>
      </c>
      <c r="AA126" s="711"/>
      <c r="AB126" s="733"/>
      <c r="AC126" s="749">
        <v>2228.7467866973179</v>
      </c>
      <c r="AD126" s="711"/>
      <c r="AE126" s="733"/>
      <c r="AF126" s="749">
        <v>2228.7467866973179</v>
      </c>
      <c r="AG126" s="711"/>
      <c r="AH126" s="733"/>
      <c r="AI126" s="749">
        <v>2127.4401145747129</v>
      </c>
      <c r="AJ126" s="711"/>
      <c r="AK126" s="733"/>
      <c r="AL126" s="749">
        <v>2228.7467866973179</v>
      </c>
      <c r="AM126" s="711"/>
      <c r="AN126" s="733"/>
      <c r="AO126" s="749">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v>6708.1630258758623</v>
      </c>
      <c r="I127" s="702"/>
      <c r="J127" s="760"/>
      <c r="K127" s="762">
        <v>6388.7266913103458</v>
      </c>
      <c r="L127" s="702"/>
      <c r="M127" s="760"/>
      <c r="N127" s="762">
        <v>7347.0356950068963</v>
      </c>
      <c r="O127" s="702"/>
      <c r="P127" s="760"/>
      <c r="Q127" s="762">
        <v>6708.1630258758623</v>
      </c>
      <c r="R127" s="702"/>
      <c r="S127" s="760"/>
      <c r="T127" s="762">
        <v>7027.5993604413807</v>
      </c>
      <c r="U127" s="702"/>
      <c r="V127" s="760"/>
      <c r="W127" s="762">
        <v>7027.5993604413807</v>
      </c>
      <c r="X127" s="702"/>
      <c r="Y127" s="760"/>
      <c r="Z127" s="762">
        <v>7027.5993604413807</v>
      </c>
      <c r="AA127" s="702"/>
      <c r="AB127" s="760"/>
      <c r="AC127" s="762">
        <v>7027.5993604413807</v>
      </c>
      <c r="AD127" s="702"/>
      <c r="AE127" s="760"/>
      <c r="AF127" s="762">
        <v>7027.5993604413807</v>
      </c>
      <c r="AG127" s="702"/>
      <c r="AH127" s="760"/>
      <c r="AI127" s="762">
        <v>6708.1630258758623</v>
      </c>
      <c r="AJ127" s="702"/>
      <c r="AK127" s="760"/>
      <c r="AL127" s="762">
        <v>7027.5993604413807</v>
      </c>
      <c r="AM127" s="702"/>
      <c r="AN127" s="760"/>
      <c r="AO127" s="762">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v>4379.5591505447674</v>
      </c>
      <c r="I132" s="711"/>
      <c r="J132" s="733"/>
      <c r="K132" s="749">
        <v>4792.3203040460239</v>
      </c>
      <c r="L132" s="711"/>
      <c r="M132" s="733"/>
      <c r="N132" s="749">
        <v>4892.9595926355896</v>
      </c>
      <c r="O132" s="711"/>
      <c r="P132" s="733"/>
      <c r="Q132" s="749">
        <v>5431.4436038133745</v>
      </c>
      <c r="R132" s="711"/>
      <c r="S132" s="733"/>
      <c r="T132" s="749">
        <v>6217.3166206870619</v>
      </c>
      <c r="U132" s="711"/>
      <c r="V132" s="733"/>
      <c r="W132" s="749">
        <v>5898.5500720465261</v>
      </c>
      <c r="X132" s="711"/>
      <c r="Y132" s="733"/>
      <c r="Z132" s="749">
        <v>5974.3965602190747</v>
      </c>
      <c r="AA132" s="711"/>
      <c r="AB132" s="733"/>
      <c r="AC132" s="749">
        <v>6059.162505954022</v>
      </c>
      <c r="AD132" s="711"/>
      <c r="AE132" s="733"/>
      <c r="AF132" s="749">
        <v>5377.668444875676</v>
      </c>
      <c r="AG132" s="711"/>
      <c r="AH132" s="733"/>
      <c r="AI132" s="749">
        <v>6294.2473819980578</v>
      </c>
      <c r="AJ132" s="711"/>
      <c r="AK132" s="733"/>
      <c r="AL132" s="749">
        <v>6010.7172167083818</v>
      </c>
      <c r="AM132" s="711"/>
      <c r="AN132" s="733"/>
      <c r="AO132" s="749">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v>4379.5591505447674</v>
      </c>
      <c r="I133" s="702"/>
      <c r="J133" s="760"/>
      <c r="K133" s="762">
        <v>4792.3203040460239</v>
      </c>
      <c r="L133" s="702"/>
      <c r="M133" s="760"/>
      <c r="N133" s="762">
        <v>4892.9595926355896</v>
      </c>
      <c r="O133" s="702"/>
      <c r="P133" s="760"/>
      <c r="Q133" s="762">
        <v>5431.4436038133745</v>
      </c>
      <c r="R133" s="702"/>
      <c r="S133" s="760"/>
      <c r="T133" s="762">
        <v>6217.3166206870619</v>
      </c>
      <c r="U133" s="702"/>
      <c r="V133" s="760"/>
      <c r="W133" s="762">
        <v>5898.5500720465261</v>
      </c>
      <c r="X133" s="702"/>
      <c r="Y133" s="760"/>
      <c r="Z133" s="762">
        <v>5974.3965602190747</v>
      </c>
      <c r="AA133" s="702"/>
      <c r="AB133" s="760"/>
      <c r="AC133" s="762">
        <v>6059.162505954022</v>
      </c>
      <c r="AD133" s="702"/>
      <c r="AE133" s="760"/>
      <c r="AF133" s="762">
        <v>5377.668444875676</v>
      </c>
      <c r="AG133" s="702"/>
      <c r="AH133" s="760"/>
      <c r="AI133" s="762">
        <v>6294.2473819980578</v>
      </c>
      <c r="AJ133" s="702"/>
      <c r="AK133" s="760"/>
      <c r="AL133" s="762">
        <v>6010.7172167083818</v>
      </c>
      <c r="AM133" s="702"/>
      <c r="AN133" s="760"/>
      <c r="AO133" s="762">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v>3138.6840578904166</v>
      </c>
      <c r="I134" s="711"/>
      <c r="J134" s="733"/>
      <c r="K134" s="749">
        <v>3434.4962178996507</v>
      </c>
      <c r="L134" s="711"/>
      <c r="M134" s="733"/>
      <c r="N134" s="749">
        <v>3506.6210413888389</v>
      </c>
      <c r="O134" s="711"/>
      <c r="P134" s="733"/>
      <c r="Q134" s="749">
        <v>3892.5345827329184</v>
      </c>
      <c r="R134" s="711"/>
      <c r="S134" s="733"/>
      <c r="T134" s="749">
        <v>4455.7435781590611</v>
      </c>
      <c r="U134" s="711"/>
      <c r="V134" s="733"/>
      <c r="W134" s="749">
        <v>4227.2942183000105</v>
      </c>
      <c r="X134" s="711"/>
      <c r="Y134" s="733"/>
      <c r="Z134" s="749">
        <v>4281.6508681570031</v>
      </c>
      <c r="AA134" s="711"/>
      <c r="AB134" s="733"/>
      <c r="AC134" s="749">
        <v>4342.3997959337157</v>
      </c>
      <c r="AD134" s="711"/>
      <c r="AE134" s="733"/>
      <c r="AF134" s="749">
        <v>3853.9957188275675</v>
      </c>
      <c r="AG134" s="711"/>
      <c r="AH134" s="733"/>
      <c r="AI134" s="749">
        <v>4510.8772904319412</v>
      </c>
      <c r="AJ134" s="711"/>
      <c r="AK134" s="733"/>
      <c r="AL134" s="749">
        <v>4307.6806719743399</v>
      </c>
      <c r="AM134" s="711"/>
      <c r="AN134" s="733"/>
      <c r="AO134" s="749">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v>729.9265250907946</v>
      </c>
      <c r="I135" s="711"/>
      <c r="J135" s="733"/>
      <c r="K135" s="749">
        <v>798.72005067433747</v>
      </c>
      <c r="L135" s="711"/>
      <c r="M135" s="733"/>
      <c r="N135" s="749">
        <v>815.49326543926497</v>
      </c>
      <c r="O135" s="711"/>
      <c r="P135" s="733"/>
      <c r="Q135" s="749">
        <v>905.24060063556249</v>
      </c>
      <c r="R135" s="711"/>
      <c r="S135" s="733"/>
      <c r="T135" s="749">
        <v>1036.2194367811771</v>
      </c>
      <c r="U135" s="711"/>
      <c r="V135" s="733"/>
      <c r="W135" s="749">
        <v>983.09167867442113</v>
      </c>
      <c r="X135" s="711"/>
      <c r="Y135" s="733"/>
      <c r="Z135" s="749">
        <v>995.73276003651256</v>
      </c>
      <c r="AA135" s="711"/>
      <c r="AB135" s="733"/>
      <c r="AC135" s="749">
        <v>1009.8604176590037</v>
      </c>
      <c r="AD135" s="711"/>
      <c r="AE135" s="733"/>
      <c r="AF135" s="749">
        <v>896.27807414594599</v>
      </c>
      <c r="AG135" s="711"/>
      <c r="AH135" s="733"/>
      <c r="AI135" s="749">
        <v>1049.0412303330097</v>
      </c>
      <c r="AJ135" s="711"/>
      <c r="AK135" s="733"/>
      <c r="AL135" s="749">
        <v>1001.7862027847303</v>
      </c>
      <c r="AM135" s="711"/>
      <c r="AN135" s="733"/>
      <c r="AO135" s="749">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v>0</v>
      </c>
      <c r="I138" s="711"/>
      <c r="J138" s="733"/>
      <c r="K138" s="749">
        <v>0</v>
      </c>
      <c r="L138" s="711"/>
      <c r="M138" s="733"/>
      <c r="N138" s="749">
        <v>0</v>
      </c>
      <c r="O138" s="711"/>
      <c r="P138" s="733"/>
      <c r="Q138" s="749">
        <v>0</v>
      </c>
      <c r="R138" s="711"/>
      <c r="S138" s="733"/>
      <c r="T138" s="749">
        <v>0</v>
      </c>
      <c r="U138" s="711"/>
      <c r="V138" s="733"/>
      <c r="W138" s="749">
        <v>0</v>
      </c>
      <c r="X138" s="711"/>
      <c r="Y138" s="733"/>
      <c r="Z138" s="749">
        <v>0</v>
      </c>
      <c r="AA138" s="711"/>
      <c r="AB138" s="733"/>
      <c r="AC138" s="749">
        <v>0</v>
      </c>
      <c r="AD138" s="711"/>
      <c r="AE138" s="733"/>
      <c r="AF138" s="749">
        <v>0</v>
      </c>
      <c r="AG138" s="711"/>
      <c r="AH138" s="733"/>
      <c r="AI138" s="749">
        <v>0</v>
      </c>
      <c r="AJ138" s="711"/>
      <c r="AK138" s="733"/>
      <c r="AL138" s="749">
        <v>0</v>
      </c>
      <c r="AM138" s="711"/>
      <c r="AN138" s="733"/>
      <c r="AO138" s="749">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v>0</v>
      </c>
      <c r="I139" s="711"/>
      <c r="J139" s="733"/>
      <c r="K139" s="749">
        <v>0</v>
      </c>
      <c r="L139" s="711"/>
      <c r="M139" s="733"/>
      <c r="N139" s="749">
        <v>0</v>
      </c>
      <c r="O139" s="711"/>
      <c r="P139" s="733"/>
      <c r="Q139" s="749">
        <v>0</v>
      </c>
      <c r="R139" s="711"/>
      <c r="S139" s="733"/>
      <c r="T139" s="749">
        <v>0</v>
      </c>
      <c r="U139" s="711"/>
      <c r="V139" s="733"/>
      <c r="W139" s="749">
        <v>0</v>
      </c>
      <c r="X139" s="711"/>
      <c r="Y139" s="733"/>
      <c r="Z139" s="749">
        <v>0</v>
      </c>
      <c r="AA139" s="711"/>
      <c r="AB139" s="733"/>
      <c r="AC139" s="749">
        <v>0</v>
      </c>
      <c r="AD139" s="711"/>
      <c r="AE139" s="733"/>
      <c r="AF139" s="749">
        <v>0</v>
      </c>
      <c r="AG139" s="711"/>
      <c r="AH139" s="733"/>
      <c r="AI139" s="749">
        <v>0</v>
      </c>
      <c r="AJ139" s="711"/>
      <c r="AK139" s="733"/>
      <c r="AL139" s="749">
        <v>0</v>
      </c>
      <c r="AM139" s="711"/>
      <c r="AN139" s="733"/>
      <c r="AO139" s="749">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v>215.04</v>
      </c>
      <c r="I140" s="765"/>
      <c r="J140" s="766"/>
      <c r="K140" s="768">
        <v>215.04</v>
      </c>
      <c r="L140" s="765"/>
      <c r="M140" s="766"/>
      <c r="N140" s="768">
        <v>215.04</v>
      </c>
      <c r="O140" s="765"/>
      <c r="P140" s="766"/>
      <c r="Q140" s="768">
        <v>215.04</v>
      </c>
      <c r="R140" s="765"/>
      <c r="S140" s="766"/>
      <c r="T140" s="768">
        <v>215.04</v>
      </c>
      <c r="U140" s="765"/>
      <c r="V140" s="766"/>
      <c r="W140" s="768">
        <v>215.04</v>
      </c>
      <c r="X140" s="765"/>
      <c r="Y140" s="766"/>
      <c r="Z140" s="768">
        <v>215.04</v>
      </c>
      <c r="AA140" s="765"/>
      <c r="AB140" s="766"/>
      <c r="AC140" s="768">
        <v>215.04</v>
      </c>
      <c r="AD140" s="765"/>
      <c r="AE140" s="766"/>
      <c r="AF140" s="768">
        <v>215.04</v>
      </c>
      <c r="AG140" s="765"/>
      <c r="AH140" s="766"/>
      <c r="AI140" s="768">
        <v>215.04</v>
      </c>
      <c r="AJ140" s="765"/>
      <c r="AK140" s="766"/>
      <c r="AL140" s="768">
        <v>215.04</v>
      </c>
      <c r="AM140" s="765"/>
      <c r="AN140" s="766"/>
      <c r="AO140" s="768">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v>2662.7736</v>
      </c>
      <c r="I141" s="711"/>
      <c r="J141" s="733"/>
      <c r="K141" s="749">
        <v>2662.7736</v>
      </c>
      <c r="L141" s="711"/>
      <c r="M141" s="733"/>
      <c r="N141" s="749">
        <v>2662.7736</v>
      </c>
      <c r="O141" s="711"/>
      <c r="P141" s="733"/>
      <c r="Q141" s="749">
        <v>2662.7736</v>
      </c>
      <c r="R141" s="711"/>
      <c r="S141" s="733"/>
      <c r="T141" s="749">
        <v>2662.7736</v>
      </c>
      <c r="U141" s="711"/>
      <c r="V141" s="733"/>
      <c r="W141" s="749">
        <v>2662.7736</v>
      </c>
      <c r="X141" s="711"/>
      <c r="Y141" s="733"/>
      <c r="Z141" s="749">
        <v>2662.7736</v>
      </c>
      <c r="AA141" s="711"/>
      <c r="AB141" s="733"/>
      <c r="AC141" s="749">
        <v>2662.7736</v>
      </c>
      <c r="AD141" s="711"/>
      <c r="AE141" s="733"/>
      <c r="AF141" s="749">
        <v>2662.7736</v>
      </c>
      <c r="AG141" s="711"/>
      <c r="AH141" s="733"/>
      <c r="AI141" s="749">
        <v>2662.7736</v>
      </c>
      <c r="AJ141" s="711"/>
      <c r="AK141" s="733"/>
      <c r="AL141" s="749">
        <v>2662.7736</v>
      </c>
      <c r="AM141" s="711"/>
      <c r="AN141" s="733"/>
      <c r="AO141" s="749">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v>598.68629999999996</v>
      </c>
      <c r="I142" s="711"/>
      <c r="J142" s="733"/>
      <c r="K142" s="749">
        <v>598.68629999999996</v>
      </c>
      <c r="L142" s="711"/>
      <c r="M142" s="733"/>
      <c r="N142" s="749">
        <v>598.68629999999996</v>
      </c>
      <c r="O142" s="711"/>
      <c r="P142" s="733"/>
      <c r="Q142" s="749">
        <v>598.68629999999996</v>
      </c>
      <c r="R142" s="711"/>
      <c r="S142" s="733"/>
      <c r="T142" s="749">
        <v>598.68629999999996</v>
      </c>
      <c r="U142" s="711"/>
      <c r="V142" s="733"/>
      <c r="W142" s="749">
        <v>598.68629999999996</v>
      </c>
      <c r="X142" s="711"/>
      <c r="Y142" s="733"/>
      <c r="Z142" s="749">
        <v>598.68629999999996</v>
      </c>
      <c r="AA142" s="711"/>
      <c r="AB142" s="733"/>
      <c r="AC142" s="749">
        <v>598.68629999999996</v>
      </c>
      <c r="AD142" s="711"/>
      <c r="AE142" s="733"/>
      <c r="AF142" s="749">
        <v>598.68629999999996</v>
      </c>
      <c r="AG142" s="711"/>
      <c r="AH142" s="733"/>
      <c r="AI142" s="749">
        <v>598.68629999999996</v>
      </c>
      <c r="AJ142" s="711"/>
      <c r="AK142" s="733"/>
      <c r="AL142" s="749">
        <v>598.68629999999996</v>
      </c>
      <c r="AM142" s="711"/>
      <c r="AN142" s="733"/>
      <c r="AO142" s="749">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v>2766.5604999999996</v>
      </c>
      <c r="I143" s="765"/>
      <c r="J143" s="766"/>
      <c r="K143" s="768">
        <v>2766.5604999999996</v>
      </c>
      <c r="L143" s="765"/>
      <c r="M143" s="766"/>
      <c r="N143" s="768">
        <v>2766.5604999999996</v>
      </c>
      <c r="O143" s="765"/>
      <c r="P143" s="766"/>
      <c r="Q143" s="768">
        <v>2934.5604999999996</v>
      </c>
      <c r="R143" s="765"/>
      <c r="S143" s="766"/>
      <c r="T143" s="768">
        <v>2934.5604999999996</v>
      </c>
      <c r="U143" s="765"/>
      <c r="V143" s="766"/>
      <c r="W143" s="768">
        <v>2766.5604999999996</v>
      </c>
      <c r="X143" s="765"/>
      <c r="Y143" s="766"/>
      <c r="Z143" s="768">
        <v>2766.5604999999996</v>
      </c>
      <c r="AA143" s="765"/>
      <c r="AB143" s="766"/>
      <c r="AC143" s="768">
        <v>2766.5604999999996</v>
      </c>
      <c r="AD143" s="765"/>
      <c r="AE143" s="766"/>
      <c r="AF143" s="768">
        <v>2766.5604999999996</v>
      </c>
      <c r="AG143" s="765"/>
      <c r="AH143" s="766"/>
      <c r="AI143" s="768">
        <v>2934.5604999999996</v>
      </c>
      <c r="AJ143" s="765"/>
      <c r="AK143" s="766"/>
      <c r="AL143" s="768">
        <v>2934.5604999999996</v>
      </c>
      <c r="AM143" s="765"/>
      <c r="AN143" s="766"/>
      <c r="AO143" s="768">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v>81.351246619967213</v>
      </c>
      <c r="I144" s="711"/>
      <c r="J144" s="733"/>
      <c r="K144" s="749">
        <v>102.83390465646092</v>
      </c>
      <c r="L144" s="711"/>
      <c r="M144" s="733"/>
      <c r="N144" s="749">
        <v>96.278748908808325</v>
      </c>
      <c r="O144" s="711"/>
      <c r="P144" s="733"/>
      <c r="Q144" s="749">
        <v>126.25349713628719</v>
      </c>
      <c r="R144" s="711"/>
      <c r="S144" s="733"/>
      <c r="T144" s="749">
        <v>157.41273660229524</v>
      </c>
      <c r="U144" s="711"/>
      <c r="V144" s="733"/>
      <c r="W144" s="749">
        <v>143.06777098814061</v>
      </c>
      <c r="X144" s="711"/>
      <c r="Y144" s="733"/>
      <c r="Z144" s="749">
        <v>145.56782421700345</v>
      </c>
      <c r="AA144" s="711"/>
      <c r="AB144" s="733"/>
      <c r="AC144" s="749">
        <v>149.92390401771453</v>
      </c>
      <c r="AD144" s="711"/>
      <c r="AE144" s="733"/>
      <c r="AF144" s="749">
        <v>120.83266974684352</v>
      </c>
      <c r="AG144" s="711"/>
      <c r="AH144" s="733"/>
      <c r="AI144" s="749">
        <v>163.08437839334002</v>
      </c>
      <c r="AJ144" s="711"/>
      <c r="AK144" s="733"/>
      <c r="AL144" s="749">
        <v>147.85589882257756</v>
      </c>
      <c r="AM144" s="711"/>
      <c r="AN144" s="733"/>
      <c r="AO144" s="749">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v>10</v>
      </c>
      <c r="I145" s="711"/>
      <c r="J145" s="733"/>
      <c r="K145" s="749">
        <v>10</v>
      </c>
      <c r="L145" s="711"/>
      <c r="M145" s="733"/>
      <c r="N145" s="749">
        <v>10</v>
      </c>
      <c r="O145" s="711"/>
      <c r="P145" s="733"/>
      <c r="Q145" s="749">
        <v>10</v>
      </c>
      <c r="R145" s="711"/>
      <c r="S145" s="733"/>
      <c r="T145" s="749">
        <v>10</v>
      </c>
      <c r="U145" s="711"/>
      <c r="V145" s="733"/>
      <c r="W145" s="749">
        <v>10</v>
      </c>
      <c r="X145" s="711"/>
      <c r="Y145" s="733"/>
      <c r="Z145" s="749">
        <v>10</v>
      </c>
      <c r="AA145" s="711"/>
      <c r="AB145" s="733"/>
      <c r="AC145" s="749">
        <v>10</v>
      </c>
      <c r="AD145" s="711"/>
      <c r="AE145" s="733"/>
      <c r="AF145" s="749">
        <v>10</v>
      </c>
      <c r="AG145" s="711"/>
      <c r="AH145" s="733"/>
      <c r="AI145" s="749">
        <v>10</v>
      </c>
      <c r="AJ145" s="711"/>
      <c r="AK145" s="733"/>
      <c r="AL145" s="749">
        <v>10</v>
      </c>
      <c r="AM145" s="711"/>
      <c r="AN145" s="733"/>
      <c r="AO145" s="749">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v>261.59999999999997</v>
      </c>
      <c r="I146" s="711"/>
      <c r="J146" s="733"/>
      <c r="K146" s="749">
        <v>261.59999999999997</v>
      </c>
      <c r="L146" s="711"/>
      <c r="M146" s="733"/>
      <c r="N146" s="749">
        <v>261.59999999999997</v>
      </c>
      <c r="O146" s="711"/>
      <c r="P146" s="733"/>
      <c r="Q146" s="749">
        <v>261.59999999999997</v>
      </c>
      <c r="R146" s="711"/>
      <c r="S146" s="733"/>
      <c r="T146" s="749">
        <v>261.59999999999997</v>
      </c>
      <c r="U146" s="711"/>
      <c r="V146" s="733"/>
      <c r="W146" s="749">
        <v>261.59999999999997</v>
      </c>
      <c r="X146" s="711"/>
      <c r="Y146" s="733"/>
      <c r="Z146" s="749">
        <v>261.59999999999997</v>
      </c>
      <c r="AA146" s="711"/>
      <c r="AB146" s="733"/>
      <c r="AC146" s="749">
        <v>261.59999999999997</v>
      </c>
      <c r="AD146" s="711"/>
      <c r="AE146" s="733"/>
      <c r="AF146" s="749">
        <v>261.59999999999997</v>
      </c>
      <c r="AG146" s="711"/>
      <c r="AH146" s="733"/>
      <c r="AI146" s="749">
        <v>261.59999999999997</v>
      </c>
      <c r="AJ146" s="711"/>
      <c r="AK146" s="733"/>
      <c r="AL146" s="749">
        <v>261.59999999999997</v>
      </c>
      <c r="AM146" s="711"/>
      <c r="AN146" s="733"/>
      <c r="AO146" s="749">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v>268.09199999999998</v>
      </c>
      <c r="I147" s="711"/>
      <c r="J147" s="733"/>
      <c r="K147" s="749">
        <v>268.09199999999998</v>
      </c>
      <c r="L147" s="711"/>
      <c r="M147" s="733"/>
      <c r="N147" s="749">
        <v>268.09199999999998</v>
      </c>
      <c r="O147" s="711"/>
      <c r="P147" s="733"/>
      <c r="Q147" s="749">
        <v>268.09199999999998</v>
      </c>
      <c r="R147" s="711"/>
      <c r="S147" s="733"/>
      <c r="T147" s="749">
        <v>268.09199999999998</v>
      </c>
      <c r="U147" s="711"/>
      <c r="V147" s="733"/>
      <c r="W147" s="749">
        <v>268.09199999999998</v>
      </c>
      <c r="X147" s="711"/>
      <c r="Y147" s="733"/>
      <c r="Z147" s="749">
        <v>268.09199999999998</v>
      </c>
      <c r="AA147" s="711"/>
      <c r="AB147" s="733"/>
      <c r="AC147" s="749">
        <v>268.09199999999998</v>
      </c>
      <c r="AD147" s="711"/>
      <c r="AE147" s="733"/>
      <c r="AF147" s="749">
        <v>268.09199999999998</v>
      </c>
      <c r="AG147" s="711"/>
      <c r="AH147" s="733"/>
      <c r="AI147" s="749">
        <v>268.09199999999998</v>
      </c>
      <c r="AJ147" s="711"/>
      <c r="AK147" s="733"/>
      <c r="AL147" s="749">
        <v>268.09199999999998</v>
      </c>
      <c r="AM147" s="711"/>
      <c r="AN147" s="733"/>
      <c r="AO147" s="749">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v>103.8</v>
      </c>
      <c r="I148" s="711"/>
      <c r="J148" s="733"/>
      <c r="K148" s="749">
        <v>103.8</v>
      </c>
      <c r="L148" s="711"/>
      <c r="M148" s="733"/>
      <c r="N148" s="749">
        <v>103.8</v>
      </c>
      <c r="O148" s="711"/>
      <c r="P148" s="733"/>
      <c r="Q148" s="749">
        <v>103.8</v>
      </c>
      <c r="R148" s="711"/>
      <c r="S148" s="733"/>
      <c r="T148" s="749">
        <v>103.8</v>
      </c>
      <c r="U148" s="711"/>
      <c r="V148" s="733"/>
      <c r="W148" s="749">
        <v>103.8</v>
      </c>
      <c r="X148" s="711"/>
      <c r="Y148" s="733"/>
      <c r="Z148" s="749">
        <v>103.8</v>
      </c>
      <c r="AA148" s="711"/>
      <c r="AB148" s="733"/>
      <c r="AC148" s="749">
        <v>103.8</v>
      </c>
      <c r="AD148" s="711"/>
      <c r="AE148" s="733"/>
      <c r="AF148" s="749">
        <v>103.8</v>
      </c>
      <c r="AG148" s="711"/>
      <c r="AH148" s="733"/>
      <c r="AI148" s="749">
        <v>103.8</v>
      </c>
      <c r="AJ148" s="711"/>
      <c r="AK148" s="733"/>
      <c r="AL148" s="749">
        <v>103.8</v>
      </c>
      <c r="AM148" s="711"/>
      <c r="AN148" s="733"/>
      <c r="AO148" s="749">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v>430.91999999999996</v>
      </c>
      <c r="I149" s="711"/>
      <c r="J149" s="733"/>
      <c r="K149" s="749">
        <v>430.91999999999996</v>
      </c>
      <c r="L149" s="711"/>
      <c r="M149" s="733"/>
      <c r="N149" s="749">
        <v>430.91999999999996</v>
      </c>
      <c r="O149" s="711"/>
      <c r="P149" s="733"/>
      <c r="Q149" s="749">
        <v>430.91999999999996</v>
      </c>
      <c r="R149" s="711"/>
      <c r="S149" s="733"/>
      <c r="T149" s="749">
        <v>430.91999999999996</v>
      </c>
      <c r="U149" s="711"/>
      <c r="V149" s="733"/>
      <c r="W149" s="749">
        <v>430.91999999999996</v>
      </c>
      <c r="X149" s="711"/>
      <c r="Y149" s="733"/>
      <c r="Z149" s="749">
        <v>430.91999999999996</v>
      </c>
      <c r="AA149" s="711"/>
      <c r="AB149" s="733"/>
      <c r="AC149" s="749">
        <v>430.91999999999996</v>
      </c>
      <c r="AD149" s="711"/>
      <c r="AE149" s="733"/>
      <c r="AF149" s="749">
        <v>430.91999999999996</v>
      </c>
      <c r="AG149" s="711"/>
      <c r="AH149" s="733"/>
      <c r="AI149" s="749">
        <v>430.91999999999996</v>
      </c>
      <c r="AJ149" s="711"/>
      <c r="AK149" s="733"/>
      <c r="AL149" s="749">
        <v>430.91999999999996</v>
      </c>
      <c r="AM149" s="711"/>
      <c r="AN149" s="733"/>
      <c r="AO149" s="749">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v>70.63</v>
      </c>
      <c r="I150" s="711"/>
      <c r="J150" s="733"/>
      <c r="K150" s="749">
        <v>70.63</v>
      </c>
      <c r="L150" s="711"/>
      <c r="M150" s="733"/>
      <c r="N150" s="749">
        <v>70.63</v>
      </c>
      <c r="O150" s="711"/>
      <c r="P150" s="733"/>
      <c r="Q150" s="749">
        <v>70.63</v>
      </c>
      <c r="R150" s="711"/>
      <c r="S150" s="733"/>
      <c r="T150" s="749">
        <v>70.63</v>
      </c>
      <c r="U150" s="711"/>
      <c r="V150" s="733"/>
      <c r="W150" s="749">
        <v>70.63</v>
      </c>
      <c r="X150" s="711"/>
      <c r="Y150" s="733"/>
      <c r="Z150" s="749">
        <v>70.63</v>
      </c>
      <c r="AA150" s="711"/>
      <c r="AB150" s="733"/>
      <c r="AC150" s="749">
        <v>70.63</v>
      </c>
      <c r="AD150" s="711"/>
      <c r="AE150" s="733"/>
      <c r="AF150" s="749">
        <v>70.63</v>
      </c>
      <c r="AG150" s="711"/>
      <c r="AH150" s="733"/>
      <c r="AI150" s="749">
        <v>70.63</v>
      </c>
      <c r="AJ150" s="711"/>
      <c r="AK150" s="733"/>
      <c r="AL150" s="749">
        <v>70.63</v>
      </c>
      <c r="AM150" s="711"/>
      <c r="AN150" s="733"/>
      <c r="AO150" s="749">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v>782.87768732213056</v>
      </c>
      <c r="I151" s="711"/>
      <c r="J151" s="733"/>
      <c r="K151" s="749">
        <v>675.2802688246818</v>
      </c>
      <c r="L151" s="711"/>
      <c r="M151" s="733"/>
      <c r="N151" s="749">
        <v>781.24280904704108</v>
      </c>
      <c r="O151" s="711"/>
      <c r="P151" s="733"/>
      <c r="Q151" s="749">
        <v>1501.8697659349984</v>
      </c>
      <c r="R151" s="711"/>
      <c r="S151" s="733"/>
      <c r="T151" s="749">
        <v>1376.496525145353</v>
      </c>
      <c r="U151" s="711"/>
      <c r="V151" s="733"/>
      <c r="W151" s="749">
        <v>909.82048235324567</v>
      </c>
      <c r="X151" s="711"/>
      <c r="Y151" s="733"/>
      <c r="Z151" s="749">
        <v>857.76673390951987</v>
      </c>
      <c r="AA151" s="711"/>
      <c r="AB151" s="733"/>
      <c r="AC151" s="749">
        <v>945.44252692843224</v>
      </c>
      <c r="AD151" s="711"/>
      <c r="AE151" s="733"/>
      <c r="AF151" s="749">
        <v>715.98450716078355</v>
      </c>
      <c r="AG151" s="711"/>
      <c r="AH151" s="733"/>
      <c r="AI151" s="749">
        <v>1342.1408765660528</v>
      </c>
      <c r="AJ151" s="711"/>
      <c r="AK151" s="733"/>
      <c r="AL151" s="749">
        <v>1953.0486479255346</v>
      </c>
      <c r="AM151" s="711"/>
      <c r="AN151" s="733"/>
      <c r="AO151" s="749">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v>0</v>
      </c>
      <c r="I158" s="788"/>
      <c r="J158" s="798"/>
      <c r="K158" s="749">
        <v>0</v>
      </c>
      <c r="L158" s="788"/>
      <c r="M158" s="798"/>
      <c r="N158" s="749">
        <v>8500</v>
      </c>
      <c r="O158" s="788"/>
      <c r="P158" s="798"/>
      <c r="Q158" s="749">
        <v>0</v>
      </c>
      <c r="R158" s="788"/>
      <c r="S158" s="798"/>
      <c r="T158" s="749">
        <v>0</v>
      </c>
      <c r="U158" s="788"/>
      <c r="V158" s="798"/>
      <c r="W158" s="749">
        <v>8500</v>
      </c>
      <c r="X158" s="788"/>
      <c r="Y158" s="798"/>
      <c r="Z158" s="749">
        <v>0</v>
      </c>
      <c r="AA158" s="788"/>
      <c r="AB158" s="798"/>
      <c r="AC158" s="749">
        <v>0</v>
      </c>
      <c r="AD158" s="788"/>
      <c r="AE158" s="798"/>
      <c r="AF158" s="749">
        <v>8500</v>
      </c>
      <c r="AG158" s="788"/>
      <c r="AH158" s="798"/>
      <c r="AI158" s="749">
        <v>0</v>
      </c>
      <c r="AJ158" s="788"/>
      <c r="AK158" s="798"/>
      <c r="AL158" s="749">
        <v>0</v>
      </c>
      <c r="AM158" s="788"/>
      <c r="AN158" s="798"/>
      <c r="AO158" s="749">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v>0</v>
      </c>
      <c r="I159" s="788"/>
      <c r="J159" s="798"/>
      <c r="K159" s="749">
        <v>0</v>
      </c>
      <c r="L159" s="788"/>
      <c r="M159" s="798"/>
      <c r="N159" s="749">
        <v>0</v>
      </c>
      <c r="O159" s="788"/>
      <c r="P159" s="798"/>
      <c r="Q159" s="749">
        <v>0</v>
      </c>
      <c r="R159" s="788"/>
      <c r="S159" s="798"/>
      <c r="T159" s="749">
        <v>0</v>
      </c>
      <c r="U159" s="788"/>
      <c r="V159" s="798"/>
      <c r="W159" s="749">
        <v>0</v>
      </c>
      <c r="X159" s="788"/>
      <c r="Y159" s="798"/>
      <c r="Z159" s="749">
        <v>0</v>
      </c>
      <c r="AA159" s="788"/>
      <c r="AB159" s="798"/>
      <c r="AC159" s="749">
        <v>0</v>
      </c>
      <c r="AD159" s="788"/>
      <c r="AE159" s="798"/>
      <c r="AF159" s="749">
        <v>0</v>
      </c>
      <c r="AG159" s="788"/>
      <c r="AH159" s="798"/>
      <c r="AI159" s="749">
        <v>0</v>
      </c>
      <c r="AJ159" s="788"/>
      <c r="AK159" s="798"/>
      <c r="AL159" s="749">
        <v>0</v>
      </c>
      <c r="AM159" s="788"/>
      <c r="AN159" s="798"/>
      <c r="AO159" s="749">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v>0</v>
      </c>
      <c r="I160" s="711"/>
      <c r="J160" s="733"/>
      <c r="K160" s="749">
        <v>0</v>
      </c>
      <c r="L160" s="711"/>
      <c r="M160" s="733"/>
      <c r="N160" s="749">
        <v>0</v>
      </c>
      <c r="O160" s="711"/>
      <c r="P160" s="733"/>
      <c r="Q160" s="749">
        <v>0</v>
      </c>
      <c r="R160" s="711"/>
      <c r="S160" s="733"/>
      <c r="T160" s="749">
        <v>0</v>
      </c>
      <c r="U160" s="711"/>
      <c r="V160" s="733"/>
      <c r="W160" s="749">
        <v>0</v>
      </c>
      <c r="X160" s="711"/>
      <c r="Y160" s="733"/>
      <c r="Z160" s="749">
        <v>0</v>
      </c>
      <c r="AA160" s="711"/>
      <c r="AB160" s="733"/>
      <c r="AC160" s="749">
        <v>0</v>
      </c>
      <c r="AD160" s="711"/>
      <c r="AE160" s="733"/>
      <c r="AF160" s="749">
        <v>0</v>
      </c>
      <c r="AG160" s="711"/>
      <c r="AH160" s="733"/>
      <c r="AI160" s="749">
        <v>0</v>
      </c>
      <c r="AJ160" s="711"/>
      <c r="AK160" s="733"/>
      <c r="AL160" s="749">
        <v>0</v>
      </c>
      <c r="AM160" s="711"/>
      <c r="AN160" s="733"/>
      <c r="AO160" s="749">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v>6388.1066408329252</v>
      </c>
      <c r="I164" s="706"/>
      <c r="J164" s="764"/>
      <c r="K164" s="753">
        <v>8075.0323631485935</v>
      </c>
      <c r="L164" s="706"/>
      <c r="M164" s="764"/>
      <c r="N164" s="753">
        <v>7560.2887580641736</v>
      </c>
      <c r="O164" s="706"/>
      <c r="P164" s="764"/>
      <c r="Q164" s="753">
        <v>9914.0558626269521</v>
      </c>
      <c r="R164" s="706"/>
      <c r="S164" s="764"/>
      <c r="T164" s="753">
        <v>12360.835141695234</v>
      </c>
      <c r="U164" s="706"/>
      <c r="V164" s="764"/>
      <c r="W164" s="753">
        <v>11234.396716843741</v>
      </c>
      <c r="X164" s="706"/>
      <c r="Y164" s="764"/>
      <c r="Z164" s="753">
        <v>11430.713396640196</v>
      </c>
      <c r="AA164" s="706"/>
      <c r="AB164" s="764"/>
      <c r="AC164" s="753">
        <v>11772.774562991033</v>
      </c>
      <c r="AD164" s="706"/>
      <c r="AE164" s="764"/>
      <c r="AF164" s="753">
        <v>9488.3853918708883</v>
      </c>
      <c r="AG164" s="706"/>
      <c r="AH164" s="764"/>
      <c r="AI164" s="753">
        <v>12806.200813337025</v>
      </c>
      <c r="AJ164" s="706"/>
      <c r="AK164" s="764"/>
      <c r="AL164" s="753">
        <v>11610.384455042904</v>
      </c>
      <c r="AM164" s="706"/>
      <c r="AN164" s="764"/>
      <c r="AO164" s="753">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22" t="s">
        <v>1639</v>
      </c>
      <c r="D172" s="1123"/>
      <c r="E172" s="1124"/>
      <c r="F172" s="1122" t="s">
        <v>1934</v>
      </c>
      <c r="G172" s="1123"/>
      <c r="H172" s="1124"/>
      <c r="I172" s="1122" t="s">
        <v>1935</v>
      </c>
      <c r="J172" s="1123"/>
      <c r="K172" s="1124"/>
      <c r="L172" s="1122" t="s">
        <v>1936</v>
      </c>
      <c r="M172" s="1123"/>
      <c r="N172" s="1124"/>
      <c r="O172" s="1122" t="s">
        <v>1937</v>
      </c>
      <c r="P172" s="1123"/>
      <c r="Q172" s="1124"/>
      <c r="R172" s="1122" t="s">
        <v>1938</v>
      </c>
      <c r="S172" s="1123"/>
      <c r="T172" s="1124"/>
      <c r="U172" s="1122" t="s">
        <v>1916</v>
      </c>
      <c r="V172" s="1123"/>
      <c r="W172" s="1124"/>
      <c r="X172" s="1122" t="s">
        <v>1939</v>
      </c>
      <c r="Y172" s="1123"/>
      <c r="Z172" s="1124"/>
      <c r="AA172" s="1122" t="s">
        <v>1940</v>
      </c>
      <c r="AB172" s="1123"/>
      <c r="AC172" s="1124"/>
      <c r="AD172" s="1122" t="s">
        <v>3</v>
      </c>
      <c r="AE172" s="1123"/>
      <c r="AF172" s="1124"/>
      <c r="AG172" s="1122" t="s">
        <v>1941</v>
      </c>
      <c r="AH172" s="1123"/>
      <c r="AI172" s="1124"/>
      <c r="AJ172" s="1122" t="s">
        <v>1942</v>
      </c>
      <c r="AK172" s="1123"/>
      <c r="AL172" s="1124"/>
      <c r="AM172" s="1122" t="s">
        <v>1943</v>
      </c>
      <c r="AN172" s="1123"/>
      <c r="AO172" s="1124"/>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v>309.1242508979725</v>
      </c>
      <c r="G174" s="805">
        <v>75870.988065822879</v>
      </c>
      <c r="H174" s="749">
        <v>56941.626710577031</v>
      </c>
      <c r="I174" s="804">
        <v>302.22260338597385</v>
      </c>
      <c r="J174" s="805">
        <v>74177.058150922123</v>
      </c>
      <c r="K174" s="749">
        <v>55670.32225880849</v>
      </c>
      <c r="L174" s="804">
        <v>395.91441996095165</v>
      </c>
      <c r="M174" s="805">
        <v>97172.635743349791</v>
      </c>
      <c r="N174" s="749">
        <v>72928.639682144712</v>
      </c>
      <c r="O174" s="804">
        <v>724.39540650343611</v>
      </c>
      <c r="P174" s="805">
        <v>177794.51169587806</v>
      </c>
      <c r="Q174" s="749">
        <v>133435.83594025267</v>
      </c>
      <c r="R174" s="804">
        <v>646.98142975837663</v>
      </c>
      <c r="S174" s="805">
        <v>158794.14246347235</v>
      </c>
      <c r="T174" s="749">
        <v>119175.94609597976</v>
      </c>
      <c r="U174" s="804">
        <v>386.59597116892093</v>
      </c>
      <c r="V174" s="805">
        <v>94885.529781787787</v>
      </c>
      <c r="W174" s="749">
        <v>71212.153087851053</v>
      </c>
      <c r="X174" s="804">
        <v>369.57520889424842</v>
      </c>
      <c r="Y174" s="805">
        <v>90707.979661855235</v>
      </c>
      <c r="Z174" s="749">
        <v>68076.876936082044</v>
      </c>
      <c r="AA174" s="804">
        <v>408.25355341348234</v>
      </c>
      <c r="AB174" s="805">
        <v>100201.13397407754</v>
      </c>
      <c r="AC174" s="749">
        <v>75201.545573368028</v>
      </c>
      <c r="AD174" s="804">
        <v>301.96626227632748</v>
      </c>
      <c r="AE174" s="805">
        <v>74114.142177121088</v>
      </c>
      <c r="AF174" s="749">
        <v>55623.103447169939</v>
      </c>
      <c r="AG174" s="804">
        <v>521.01827409100156</v>
      </c>
      <c r="AH174" s="805">
        <v>127877.93626932583</v>
      </c>
      <c r="AI174" s="749">
        <v>95973.149911395405</v>
      </c>
      <c r="AJ174" s="804">
        <v>975.37451453597555</v>
      </c>
      <c r="AK174" s="805">
        <v>239394.44393992759</v>
      </c>
      <c r="AL174" s="749">
        <v>179666.95058178654</v>
      </c>
      <c r="AM174" s="804">
        <v>358.57810511333281</v>
      </c>
      <c r="AN174" s="805">
        <v>88008.867161633272</v>
      </c>
      <c r="AO174" s="749">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v>260.73056767022592</v>
      </c>
      <c r="G177" s="813">
        <v>46079.956800909669</v>
      </c>
      <c r="H177" s="762">
        <v>32171.38226530352</v>
      </c>
      <c r="I177" s="812">
        <v>262.03197676267513</v>
      </c>
      <c r="J177" s="813">
        <v>46309.960038720368</v>
      </c>
      <c r="K177" s="762">
        <v>32331.962322221443</v>
      </c>
      <c r="L177" s="812">
        <v>285.24048684205479</v>
      </c>
      <c r="M177" s="813">
        <v>50411.692917329121</v>
      </c>
      <c r="N177" s="762">
        <v>35195.645918063725</v>
      </c>
      <c r="O177" s="812">
        <v>264.50668118362398</v>
      </c>
      <c r="P177" s="813">
        <v>46747.324456062386</v>
      </c>
      <c r="Q177" s="762">
        <v>32637.314558560218</v>
      </c>
      <c r="R177" s="812">
        <v>376.76791619169114</v>
      </c>
      <c r="S177" s="813">
        <v>66587.701845687625</v>
      </c>
      <c r="T177" s="762">
        <v>46489.158388346921</v>
      </c>
      <c r="U177" s="812">
        <v>354.43283158799522</v>
      </c>
      <c r="V177" s="813">
        <v>62640.332947290139</v>
      </c>
      <c r="W177" s="762">
        <v>43733.246217656502</v>
      </c>
      <c r="X177" s="812">
        <v>430.29789831374308</v>
      </c>
      <c r="Y177" s="813">
        <v>76048.26984037504</v>
      </c>
      <c r="Z177" s="762">
        <v>53094.189524096088</v>
      </c>
      <c r="AA177" s="812">
        <v>450.56955189715893</v>
      </c>
      <c r="AB177" s="813">
        <v>79630.960315656353</v>
      </c>
      <c r="AC177" s="762">
        <v>55595.496227062911</v>
      </c>
      <c r="AD177" s="812">
        <v>346.05881956587018</v>
      </c>
      <c r="AE177" s="813">
        <v>61160.360285558061</v>
      </c>
      <c r="AF177" s="762">
        <v>42699.982092681421</v>
      </c>
      <c r="AG177" s="812">
        <v>331.69197366573701</v>
      </c>
      <c r="AH177" s="813">
        <v>58621.250106191612</v>
      </c>
      <c r="AI177" s="762">
        <v>40927.265930054535</v>
      </c>
      <c r="AJ177" s="812">
        <v>346.23706070096699</v>
      </c>
      <c r="AK177" s="813">
        <v>61191.86155477554</v>
      </c>
      <c r="AL177" s="762">
        <v>42721.975155266453</v>
      </c>
      <c r="AM177" s="812">
        <v>296.43423561825756</v>
      </c>
      <c r="AN177" s="813">
        <v>52390.008941632252</v>
      </c>
      <c r="AO177" s="762">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v>200.69466402901355</v>
      </c>
      <c r="G180" s="805">
        <v>47328.252104281775</v>
      </c>
      <c r="H180" s="749">
        <v>34702.332573736632</v>
      </c>
      <c r="I180" s="804">
        <v>233.23105368099667</v>
      </c>
      <c r="J180" s="805">
        <v>55001.054266025283</v>
      </c>
      <c r="K180" s="749">
        <v>40328.235085467459</v>
      </c>
      <c r="L180" s="804">
        <v>222.73320905479713</v>
      </c>
      <c r="M180" s="805">
        <v>52525.429717539402</v>
      </c>
      <c r="N180" s="749">
        <v>38513.041356783542</v>
      </c>
      <c r="O180" s="804">
        <v>231.4420696166658</v>
      </c>
      <c r="P180" s="805">
        <v>54579.172153629144</v>
      </c>
      <c r="Q180" s="749">
        <v>40018.899905731188</v>
      </c>
      <c r="R180" s="804">
        <v>281.57639574585056</v>
      </c>
      <c r="S180" s="805">
        <v>66401.957964104484</v>
      </c>
      <c r="T180" s="749">
        <v>48687.680748074017</v>
      </c>
      <c r="U180" s="804">
        <v>246.35764538800652</v>
      </c>
      <c r="V180" s="805">
        <v>58096.595667611946</v>
      </c>
      <c r="W180" s="749">
        <v>42597.96833014633</v>
      </c>
      <c r="X180" s="804">
        <v>240.42736984044527</v>
      </c>
      <c r="Y180" s="805">
        <v>56698.105191939605</v>
      </c>
      <c r="Z180" s="749">
        <v>41572.557937194295</v>
      </c>
      <c r="AA180" s="804">
        <v>252.06007127051322</v>
      </c>
      <c r="AB180" s="805">
        <v>59441.354139786585</v>
      </c>
      <c r="AC180" s="749">
        <v>43583.980989771517</v>
      </c>
      <c r="AD180" s="804">
        <v>248.43426877888152</v>
      </c>
      <c r="AE180" s="805">
        <v>58586.309511497566</v>
      </c>
      <c r="AF180" s="749">
        <v>42957.039538587269</v>
      </c>
      <c r="AG180" s="804">
        <v>310.98866456111728</v>
      </c>
      <c r="AH180" s="805">
        <v>73338.02315638389</v>
      </c>
      <c r="AI180" s="749">
        <v>53773.388129053397</v>
      </c>
      <c r="AJ180" s="804">
        <v>257.81050531641455</v>
      </c>
      <c r="AK180" s="805">
        <v>60797.434001452049</v>
      </c>
      <c r="AL180" s="749">
        <v>44578.294793128822</v>
      </c>
      <c r="AM180" s="804">
        <v>217.24408271729797</v>
      </c>
      <c r="AN180" s="805">
        <v>51230.972007912125</v>
      </c>
      <c r="AO180" s="749">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v>0</v>
      </c>
      <c r="G183" s="813">
        <v>270.33034111310593</v>
      </c>
      <c r="H183" s="762">
        <v>200.04445242369837</v>
      </c>
      <c r="I183" s="812">
        <v>0</v>
      </c>
      <c r="J183" s="813">
        <v>24.986890403775561</v>
      </c>
      <c r="K183" s="762">
        <v>18.490298898793917</v>
      </c>
      <c r="L183" s="812">
        <v>0</v>
      </c>
      <c r="M183" s="813">
        <v>0</v>
      </c>
      <c r="N183" s="762">
        <v>0</v>
      </c>
      <c r="O183" s="812">
        <v>0</v>
      </c>
      <c r="P183" s="813">
        <v>222.34923117043039</v>
      </c>
      <c r="Q183" s="762">
        <v>164.53843106611848</v>
      </c>
      <c r="R183" s="812">
        <v>0</v>
      </c>
      <c r="S183" s="813">
        <v>23.953321364452425</v>
      </c>
      <c r="T183" s="762">
        <v>17.725457809694795</v>
      </c>
      <c r="U183" s="812">
        <v>0</v>
      </c>
      <c r="V183" s="813">
        <v>57.469847928683798</v>
      </c>
      <c r="W183" s="762">
        <v>42.527687467226009</v>
      </c>
      <c r="X183" s="812">
        <v>0</v>
      </c>
      <c r="Y183" s="813">
        <v>49.973780807551123</v>
      </c>
      <c r="Z183" s="762">
        <v>36.980597797587833</v>
      </c>
      <c r="AA183" s="812">
        <v>0</v>
      </c>
      <c r="AB183" s="813">
        <v>240.85478239011712</v>
      </c>
      <c r="AC183" s="762">
        <v>178.23253896868667</v>
      </c>
      <c r="AD183" s="812">
        <v>0</v>
      </c>
      <c r="AE183" s="813">
        <v>106.76534905417911</v>
      </c>
      <c r="AF183" s="762">
        <v>79.006358300092543</v>
      </c>
      <c r="AG183" s="812">
        <v>0</v>
      </c>
      <c r="AH183" s="813">
        <v>295.49577339086181</v>
      </c>
      <c r="AI183" s="762">
        <v>218.66687230923773</v>
      </c>
      <c r="AJ183" s="812">
        <v>0</v>
      </c>
      <c r="AK183" s="813">
        <v>553.85214540778145</v>
      </c>
      <c r="AL183" s="762">
        <v>409.85058760175826</v>
      </c>
      <c r="AM183" s="812">
        <v>0</v>
      </c>
      <c r="AN183" s="813">
        <v>59.968536969061347</v>
      </c>
      <c r="AO183" s="762">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v>-2959.7191851556272</v>
      </c>
      <c r="I186" s="804"/>
      <c r="J186" s="805"/>
      <c r="K186" s="749">
        <v>-3065.6632097438992</v>
      </c>
      <c r="L186" s="804"/>
      <c r="M186" s="805"/>
      <c r="N186" s="749">
        <v>-3475.7080423797106</v>
      </c>
      <c r="O186" s="804"/>
      <c r="P186" s="805"/>
      <c r="Q186" s="749">
        <v>-4750.6399655734394</v>
      </c>
      <c r="R186" s="804"/>
      <c r="S186" s="805"/>
      <c r="T186" s="749">
        <v>-5033.4209187872038</v>
      </c>
      <c r="U186" s="804"/>
      <c r="V186" s="805"/>
      <c r="W186" s="749">
        <v>-3776.1121398973351</v>
      </c>
      <c r="X186" s="804"/>
      <c r="Y186" s="805"/>
      <c r="Z186" s="749">
        <v>-3947.0420261874815</v>
      </c>
      <c r="AA186" s="804"/>
      <c r="AB186" s="805"/>
      <c r="AC186" s="749">
        <v>-4222.0781123780662</v>
      </c>
      <c r="AD186" s="804"/>
      <c r="AE186" s="805"/>
      <c r="AF186" s="749">
        <v>-3419.54898262199</v>
      </c>
      <c r="AG186" s="804"/>
      <c r="AH186" s="805"/>
      <c r="AI186" s="749">
        <v>-4500.6152400611772</v>
      </c>
      <c r="AJ186" s="804"/>
      <c r="AK186" s="805"/>
      <c r="AL186" s="749">
        <v>-6146.4338340456598</v>
      </c>
      <c r="AM186" s="804"/>
      <c r="AN186" s="805"/>
      <c r="AO186" s="749">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v>0</v>
      </c>
      <c r="G190" s="831">
        <v>19187.075768751314</v>
      </c>
      <c r="H190" s="749">
        <v>4604.8981845003154</v>
      </c>
      <c r="I190" s="804">
        <v>0</v>
      </c>
      <c r="J190" s="831">
        <v>18153.058934700417</v>
      </c>
      <c r="K190" s="749">
        <v>4356.7341443281002</v>
      </c>
      <c r="L190" s="804">
        <v>0</v>
      </c>
      <c r="M190" s="831">
        <v>24221.91661324873</v>
      </c>
      <c r="N190" s="749">
        <v>5813.2599871796947</v>
      </c>
      <c r="O190" s="804">
        <v>0</v>
      </c>
      <c r="P190" s="831">
        <v>33882.618586113851</v>
      </c>
      <c r="Q190" s="749">
        <v>8131.8284606673242</v>
      </c>
      <c r="R190" s="804">
        <v>0</v>
      </c>
      <c r="S190" s="831">
        <v>38955.433881342142</v>
      </c>
      <c r="T190" s="749">
        <v>9349.3041315221144</v>
      </c>
      <c r="U190" s="804">
        <v>0</v>
      </c>
      <c r="V190" s="831">
        <v>27930.607628183541</v>
      </c>
      <c r="W190" s="749">
        <v>6703.3458307640494</v>
      </c>
      <c r="X190" s="804">
        <v>0</v>
      </c>
      <c r="Y190" s="831">
        <v>24153.7014980233</v>
      </c>
      <c r="Z190" s="749">
        <v>5796.888359525592</v>
      </c>
      <c r="AA190" s="804">
        <v>0</v>
      </c>
      <c r="AB190" s="831">
        <v>24378.890593754368</v>
      </c>
      <c r="AC190" s="749">
        <v>5850.9337425010481</v>
      </c>
      <c r="AD190" s="804">
        <v>0</v>
      </c>
      <c r="AE190" s="831">
        <v>29072.228396112863</v>
      </c>
      <c r="AF190" s="749">
        <v>6977.3348150670872</v>
      </c>
      <c r="AG190" s="804">
        <v>0</v>
      </c>
      <c r="AH190" s="831">
        <v>25843.985930584855</v>
      </c>
      <c r="AI190" s="749">
        <v>6202.5566233403651</v>
      </c>
      <c r="AJ190" s="804">
        <v>0</v>
      </c>
      <c r="AK190" s="831">
        <v>19876.874014810674</v>
      </c>
      <c r="AL190" s="749">
        <v>4770.4497635545613</v>
      </c>
      <c r="AM190" s="804">
        <v>0</v>
      </c>
      <c r="AN190" s="831">
        <v>14343.608154373955</v>
      </c>
      <c r="AO190" s="749">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v>12044.250946206896</v>
      </c>
      <c r="I200" s="711"/>
      <c r="J200" s="733"/>
      <c r="K200" s="749">
        <v>11568.334234482758</v>
      </c>
      <c r="L200" s="711"/>
      <c r="M200" s="733"/>
      <c r="N200" s="749">
        <v>12996.084369655171</v>
      </c>
      <c r="O200" s="711"/>
      <c r="P200" s="733"/>
      <c r="Q200" s="749">
        <v>12044.250946206896</v>
      </c>
      <c r="R200" s="711"/>
      <c r="S200" s="733"/>
      <c r="T200" s="749">
        <v>12520.167657931033</v>
      </c>
      <c r="U200" s="711"/>
      <c r="V200" s="733"/>
      <c r="W200" s="749">
        <v>12520.167657931033</v>
      </c>
      <c r="X200" s="711"/>
      <c r="Y200" s="733"/>
      <c r="Z200" s="749">
        <v>12520.167657931033</v>
      </c>
      <c r="AA200" s="711"/>
      <c r="AB200" s="733"/>
      <c r="AC200" s="749">
        <v>12520.167657931033</v>
      </c>
      <c r="AD200" s="711"/>
      <c r="AE200" s="733"/>
      <c r="AF200" s="749">
        <v>12520.167657931033</v>
      </c>
      <c r="AG200" s="711"/>
      <c r="AH200" s="733"/>
      <c r="AI200" s="749">
        <v>12044.250946206896</v>
      </c>
      <c r="AJ200" s="711"/>
      <c r="AK200" s="733"/>
      <c r="AL200" s="749">
        <v>12520.167657931033</v>
      </c>
      <c r="AM200" s="711"/>
      <c r="AN200" s="733"/>
      <c r="AO200" s="749">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v>8746.0360371034476</v>
      </c>
      <c r="I201" s="711"/>
      <c r="J201" s="733"/>
      <c r="K201" s="749">
        <v>8329.558130574711</v>
      </c>
      <c r="L201" s="711"/>
      <c r="M201" s="733"/>
      <c r="N201" s="749">
        <v>9578.9918501609191</v>
      </c>
      <c r="O201" s="711"/>
      <c r="P201" s="733"/>
      <c r="Q201" s="749">
        <v>8746.0360371034476</v>
      </c>
      <c r="R201" s="711"/>
      <c r="S201" s="733"/>
      <c r="T201" s="749">
        <v>9162.5139436321842</v>
      </c>
      <c r="U201" s="711"/>
      <c r="V201" s="733"/>
      <c r="W201" s="749">
        <v>9162.5139436321842</v>
      </c>
      <c r="X201" s="711"/>
      <c r="Y201" s="733"/>
      <c r="Z201" s="749">
        <v>9162.5139436321842</v>
      </c>
      <c r="AA201" s="711"/>
      <c r="AB201" s="733"/>
      <c r="AC201" s="749">
        <v>9162.5139436321842</v>
      </c>
      <c r="AD201" s="711"/>
      <c r="AE201" s="733"/>
      <c r="AF201" s="749">
        <v>9162.5139436321842</v>
      </c>
      <c r="AG201" s="711"/>
      <c r="AH201" s="733"/>
      <c r="AI201" s="749">
        <v>8746.0360371034476</v>
      </c>
      <c r="AJ201" s="711"/>
      <c r="AK201" s="733"/>
      <c r="AL201" s="749">
        <v>9162.5139436321842</v>
      </c>
      <c r="AM201" s="711"/>
      <c r="AN201" s="733"/>
      <c r="AO201" s="749">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v>11814.360328496552</v>
      </c>
      <c r="I202" s="702"/>
      <c r="J202" s="760"/>
      <c r="K202" s="762">
        <v>11251.771741425286</v>
      </c>
      <c r="L202" s="702"/>
      <c r="M202" s="760"/>
      <c r="N202" s="762">
        <v>12939.537502639081</v>
      </c>
      <c r="O202" s="702"/>
      <c r="P202" s="760"/>
      <c r="Q202" s="762">
        <v>11814.360328496552</v>
      </c>
      <c r="R202" s="702"/>
      <c r="S202" s="760"/>
      <c r="T202" s="762">
        <v>12376.948915567818</v>
      </c>
      <c r="U202" s="702"/>
      <c r="V202" s="760"/>
      <c r="W202" s="762">
        <v>12376.948915567818</v>
      </c>
      <c r="X202" s="702"/>
      <c r="Y202" s="760"/>
      <c r="Z202" s="762">
        <v>12376.948915567818</v>
      </c>
      <c r="AA202" s="702"/>
      <c r="AB202" s="760"/>
      <c r="AC202" s="762">
        <v>12376.948915567818</v>
      </c>
      <c r="AD202" s="702"/>
      <c r="AE202" s="760"/>
      <c r="AF202" s="762">
        <v>12376.948915567818</v>
      </c>
      <c r="AG202" s="702"/>
      <c r="AH202" s="760"/>
      <c r="AI202" s="762">
        <v>11814.360328496552</v>
      </c>
      <c r="AJ202" s="702"/>
      <c r="AK202" s="760"/>
      <c r="AL202" s="762">
        <v>12376.948915567818</v>
      </c>
      <c r="AM202" s="702"/>
      <c r="AN202" s="760"/>
      <c r="AO202" s="762">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v>30510.931475862068</v>
      </c>
      <c r="I203" s="711"/>
      <c r="J203" s="733"/>
      <c r="K203" s="749">
        <v>29891.36331034483</v>
      </c>
      <c r="L203" s="711"/>
      <c r="M203" s="733"/>
      <c r="N203" s="749">
        <v>31750.067806896557</v>
      </c>
      <c r="O203" s="711"/>
      <c r="P203" s="733"/>
      <c r="Q203" s="749">
        <v>30510.931475862068</v>
      </c>
      <c r="R203" s="711"/>
      <c r="S203" s="733"/>
      <c r="T203" s="749">
        <v>31130.499641379309</v>
      </c>
      <c r="U203" s="711"/>
      <c r="V203" s="733"/>
      <c r="W203" s="749">
        <v>31130.499641379309</v>
      </c>
      <c r="X203" s="711"/>
      <c r="Y203" s="733"/>
      <c r="Z203" s="749">
        <v>31130.499641379309</v>
      </c>
      <c r="AA203" s="711"/>
      <c r="AB203" s="733"/>
      <c r="AC203" s="749">
        <v>31130.499641379309</v>
      </c>
      <c r="AD203" s="711"/>
      <c r="AE203" s="733"/>
      <c r="AF203" s="749">
        <v>31130.499641379309</v>
      </c>
      <c r="AG203" s="711"/>
      <c r="AH203" s="733"/>
      <c r="AI203" s="749">
        <v>30510.931475862068</v>
      </c>
      <c r="AJ203" s="711"/>
      <c r="AK203" s="733"/>
      <c r="AL203" s="749">
        <v>31130.499641379309</v>
      </c>
      <c r="AM203" s="711"/>
      <c r="AN203" s="733"/>
      <c r="AO203" s="749">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v>16673.690254520276</v>
      </c>
      <c r="I207" s="711"/>
      <c r="J207" s="733"/>
      <c r="K207" s="749">
        <v>15991.419290019308</v>
      </c>
      <c r="L207" s="711"/>
      <c r="M207" s="733"/>
      <c r="N207" s="749">
        <v>17604.907383522208</v>
      </c>
      <c r="O207" s="711"/>
      <c r="P207" s="733"/>
      <c r="Q207" s="749">
        <v>16673.690254520276</v>
      </c>
      <c r="R207" s="711"/>
      <c r="S207" s="733"/>
      <c r="T207" s="749">
        <v>16489.311619021239</v>
      </c>
      <c r="U207" s="711"/>
      <c r="V207" s="733"/>
      <c r="W207" s="749">
        <v>16922.636419021241</v>
      </c>
      <c r="X207" s="711"/>
      <c r="Y207" s="733"/>
      <c r="Z207" s="749">
        <v>17355.961219021243</v>
      </c>
      <c r="AA207" s="711"/>
      <c r="AB207" s="733"/>
      <c r="AC207" s="749">
        <v>16922.636419021241</v>
      </c>
      <c r="AD207" s="711"/>
      <c r="AE207" s="733"/>
      <c r="AF207" s="749">
        <v>16922.636419021241</v>
      </c>
      <c r="AG207" s="711"/>
      <c r="AH207" s="733"/>
      <c r="AI207" s="749">
        <v>16673.690254520276</v>
      </c>
      <c r="AJ207" s="711"/>
      <c r="AK207" s="733"/>
      <c r="AL207" s="749">
        <v>16922.636419021241</v>
      </c>
      <c r="AM207" s="711"/>
      <c r="AN207" s="733"/>
      <c r="AO207" s="749">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v>16673.690254520276</v>
      </c>
      <c r="I208" s="702"/>
      <c r="J208" s="760"/>
      <c r="K208" s="762">
        <v>15991.419290019308</v>
      </c>
      <c r="L208" s="702"/>
      <c r="M208" s="760"/>
      <c r="N208" s="762">
        <v>17604.907383522208</v>
      </c>
      <c r="O208" s="702"/>
      <c r="P208" s="760"/>
      <c r="Q208" s="762">
        <v>16673.690254520276</v>
      </c>
      <c r="R208" s="702"/>
      <c r="S208" s="760"/>
      <c r="T208" s="762">
        <v>16489.311619021239</v>
      </c>
      <c r="U208" s="702"/>
      <c r="V208" s="760"/>
      <c r="W208" s="762">
        <v>16922.636419021241</v>
      </c>
      <c r="X208" s="702"/>
      <c r="Y208" s="760"/>
      <c r="Z208" s="762">
        <v>17355.961219021243</v>
      </c>
      <c r="AA208" s="702"/>
      <c r="AB208" s="760"/>
      <c r="AC208" s="762">
        <v>16922.636419021241</v>
      </c>
      <c r="AD208" s="702"/>
      <c r="AE208" s="760"/>
      <c r="AF208" s="762">
        <v>16922.636419021241</v>
      </c>
      <c r="AG208" s="702"/>
      <c r="AH208" s="760"/>
      <c r="AI208" s="762">
        <v>16673.690254520276</v>
      </c>
      <c r="AJ208" s="702"/>
      <c r="AK208" s="760"/>
      <c r="AL208" s="762">
        <v>16922.636419021241</v>
      </c>
      <c r="AM208" s="702"/>
      <c r="AN208" s="760"/>
      <c r="AO208" s="762">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v>11949.478015739529</v>
      </c>
      <c r="I209" s="711"/>
      <c r="J209" s="733"/>
      <c r="K209" s="749">
        <v>11460.517157847171</v>
      </c>
      <c r="L209" s="711"/>
      <c r="M209" s="733"/>
      <c r="N209" s="749">
        <v>12616.85029152425</v>
      </c>
      <c r="O209" s="711"/>
      <c r="P209" s="733"/>
      <c r="Q209" s="749">
        <v>11949.478015739529</v>
      </c>
      <c r="R209" s="711"/>
      <c r="S209" s="733"/>
      <c r="T209" s="749">
        <v>11817.339993631887</v>
      </c>
      <c r="U209" s="711"/>
      <c r="V209" s="733"/>
      <c r="W209" s="749">
        <v>12127.889433631888</v>
      </c>
      <c r="X209" s="711"/>
      <c r="Y209" s="733"/>
      <c r="Z209" s="749">
        <v>12438.438873631889</v>
      </c>
      <c r="AA209" s="711"/>
      <c r="AB209" s="733"/>
      <c r="AC209" s="749">
        <v>12127.889433631888</v>
      </c>
      <c r="AD209" s="711"/>
      <c r="AE209" s="733"/>
      <c r="AF209" s="749">
        <v>12127.889433631888</v>
      </c>
      <c r="AG209" s="711"/>
      <c r="AH209" s="733"/>
      <c r="AI209" s="749">
        <v>11949.478015739529</v>
      </c>
      <c r="AJ209" s="711"/>
      <c r="AK209" s="733"/>
      <c r="AL209" s="749">
        <v>12127.889433631888</v>
      </c>
      <c r="AM209" s="711"/>
      <c r="AN209" s="733"/>
      <c r="AO209" s="749">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v>2778.948375753379</v>
      </c>
      <c r="I210" s="711"/>
      <c r="J210" s="733"/>
      <c r="K210" s="749">
        <v>2665.2365483365516</v>
      </c>
      <c r="L210" s="711"/>
      <c r="M210" s="733"/>
      <c r="N210" s="749">
        <v>2934.1512305870351</v>
      </c>
      <c r="O210" s="711"/>
      <c r="P210" s="733"/>
      <c r="Q210" s="749">
        <v>2778.948375753379</v>
      </c>
      <c r="R210" s="711"/>
      <c r="S210" s="733"/>
      <c r="T210" s="749">
        <v>2748.2186031702067</v>
      </c>
      <c r="U210" s="711"/>
      <c r="V210" s="733"/>
      <c r="W210" s="749">
        <v>2820.4394031702068</v>
      </c>
      <c r="X210" s="711"/>
      <c r="Y210" s="733"/>
      <c r="Z210" s="749">
        <v>2892.6602031702073</v>
      </c>
      <c r="AA210" s="711"/>
      <c r="AB210" s="733"/>
      <c r="AC210" s="749">
        <v>2820.4394031702068</v>
      </c>
      <c r="AD210" s="711"/>
      <c r="AE210" s="733"/>
      <c r="AF210" s="749">
        <v>2820.4394031702068</v>
      </c>
      <c r="AG210" s="711"/>
      <c r="AH210" s="733"/>
      <c r="AI210" s="749">
        <v>2778.948375753379</v>
      </c>
      <c r="AJ210" s="711"/>
      <c r="AK210" s="733"/>
      <c r="AL210" s="749">
        <v>2820.4394031702068</v>
      </c>
      <c r="AM210" s="711"/>
      <c r="AN210" s="733"/>
      <c r="AO210" s="749">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v>7073.1916666666666</v>
      </c>
      <c r="I213" s="711"/>
      <c r="J213" s="733"/>
      <c r="K213" s="749">
        <v>7073.1916666666666</v>
      </c>
      <c r="L213" s="711"/>
      <c r="M213" s="733"/>
      <c r="N213" s="749">
        <v>7073.1916666666666</v>
      </c>
      <c r="O213" s="711"/>
      <c r="P213" s="733"/>
      <c r="Q213" s="749">
        <v>7073.1916666666666</v>
      </c>
      <c r="R213" s="711"/>
      <c r="S213" s="733"/>
      <c r="T213" s="749">
        <v>7073.1916666666666</v>
      </c>
      <c r="U213" s="711"/>
      <c r="V213" s="733"/>
      <c r="W213" s="749">
        <v>7073.1916666666666</v>
      </c>
      <c r="X213" s="711"/>
      <c r="Y213" s="733"/>
      <c r="Z213" s="749">
        <v>7073.1916666666666</v>
      </c>
      <c r="AA213" s="711"/>
      <c r="AB213" s="733"/>
      <c r="AC213" s="749">
        <v>7073.1916666666666</v>
      </c>
      <c r="AD213" s="711"/>
      <c r="AE213" s="733"/>
      <c r="AF213" s="749">
        <v>7073.1916666666666</v>
      </c>
      <c r="AG213" s="711"/>
      <c r="AH213" s="733"/>
      <c r="AI213" s="749">
        <v>7073.1916666666666</v>
      </c>
      <c r="AJ213" s="711"/>
      <c r="AK213" s="733"/>
      <c r="AL213" s="749">
        <v>7073.1916666666666</v>
      </c>
      <c r="AM213" s="711"/>
      <c r="AN213" s="733"/>
      <c r="AO213" s="749">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v>1758.9169876094636</v>
      </c>
      <c r="I214" s="711"/>
      <c r="J214" s="733"/>
      <c r="K214" s="749">
        <v>1719.6466132661913</v>
      </c>
      <c r="L214" s="711"/>
      <c r="M214" s="733"/>
      <c r="N214" s="749">
        <v>2252.7530495778146</v>
      </c>
      <c r="O214" s="711"/>
      <c r="P214" s="733"/>
      <c r="Q214" s="749">
        <v>4121.8098630045515</v>
      </c>
      <c r="R214" s="711"/>
      <c r="S214" s="733"/>
      <c r="T214" s="749">
        <v>3681.3243353251628</v>
      </c>
      <c r="U214" s="711"/>
      <c r="V214" s="733"/>
      <c r="W214" s="749">
        <v>2199.7310759511602</v>
      </c>
      <c r="X214" s="711"/>
      <c r="Y214" s="733"/>
      <c r="Z214" s="749">
        <v>2102.8829386082739</v>
      </c>
      <c r="AA214" s="711"/>
      <c r="AB214" s="733"/>
      <c r="AC214" s="749">
        <v>2322.9627189227144</v>
      </c>
      <c r="AD214" s="711"/>
      <c r="AE214" s="733"/>
      <c r="AF214" s="749">
        <v>1718.1880323523033</v>
      </c>
      <c r="AG214" s="711"/>
      <c r="AH214" s="733"/>
      <c r="AI214" s="749">
        <v>2964.593979577799</v>
      </c>
      <c r="AJ214" s="711"/>
      <c r="AK214" s="733"/>
      <c r="AL214" s="749">
        <v>5549.880987709701</v>
      </c>
      <c r="AM214" s="711"/>
      <c r="AN214" s="733"/>
      <c r="AO214" s="749">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v>16764.080000000002</v>
      </c>
      <c r="I215" s="706"/>
      <c r="J215" s="764"/>
      <c r="K215" s="753">
        <v>16764.080000000002</v>
      </c>
      <c r="L215" s="706"/>
      <c r="M215" s="764"/>
      <c r="N215" s="753">
        <v>16764.080000000002</v>
      </c>
      <c r="O215" s="706"/>
      <c r="P215" s="764"/>
      <c r="Q215" s="753">
        <v>21064.080000000002</v>
      </c>
      <c r="R215" s="706"/>
      <c r="S215" s="764"/>
      <c r="T215" s="753">
        <v>21064.080000000002</v>
      </c>
      <c r="U215" s="706"/>
      <c r="V215" s="764"/>
      <c r="W215" s="753">
        <v>16764.080000000002</v>
      </c>
      <c r="X215" s="706"/>
      <c r="Y215" s="764"/>
      <c r="Z215" s="753">
        <v>16764.080000000002</v>
      </c>
      <c r="AA215" s="706"/>
      <c r="AB215" s="764"/>
      <c r="AC215" s="753">
        <v>16764.080000000002</v>
      </c>
      <c r="AD215" s="706"/>
      <c r="AE215" s="764"/>
      <c r="AF215" s="753">
        <v>16764.080000000002</v>
      </c>
      <c r="AG215" s="706"/>
      <c r="AH215" s="764"/>
      <c r="AI215" s="753">
        <v>22784.080000000002</v>
      </c>
      <c r="AJ215" s="706"/>
      <c r="AK215" s="764"/>
      <c r="AL215" s="753">
        <v>21064.080000000002</v>
      </c>
      <c r="AM215" s="706"/>
      <c r="AN215" s="764"/>
      <c r="AO215" s="753">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v>4425.5472</v>
      </c>
      <c r="I216" s="711"/>
      <c r="J216" s="733"/>
      <c r="K216" s="749">
        <v>4425.5472</v>
      </c>
      <c r="L216" s="711"/>
      <c r="M216" s="733"/>
      <c r="N216" s="749">
        <v>4425.5472</v>
      </c>
      <c r="O216" s="711"/>
      <c r="P216" s="733"/>
      <c r="Q216" s="749">
        <v>4425.5472</v>
      </c>
      <c r="R216" s="711"/>
      <c r="S216" s="733"/>
      <c r="T216" s="749">
        <v>4425.5472</v>
      </c>
      <c r="U216" s="711"/>
      <c r="V216" s="733"/>
      <c r="W216" s="749">
        <v>4425.5472</v>
      </c>
      <c r="X216" s="711"/>
      <c r="Y216" s="733"/>
      <c r="Z216" s="749">
        <v>4425.5472</v>
      </c>
      <c r="AA216" s="711"/>
      <c r="AB216" s="733"/>
      <c r="AC216" s="749">
        <v>4425.5472</v>
      </c>
      <c r="AD216" s="711"/>
      <c r="AE216" s="733"/>
      <c r="AF216" s="749">
        <v>4425.5472</v>
      </c>
      <c r="AG216" s="711"/>
      <c r="AH216" s="733"/>
      <c r="AI216" s="749">
        <v>4425.5472</v>
      </c>
      <c r="AJ216" s="711"/>
      <c r="AK216" s="733"/>
      <c r="AL216" s="749">
        <v>4425.5472</v>
      </c>
      <c r="AM216" s="711"/>
      <c r="AN216" s="733"/>
      <c r="AO216" s="749">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v>1197.3725999999999</v>
      </c>
      <c r="I217" s="711"/>
      <c r="J217" s="733"/>
      <c r="K217" s="749">
        <v>1197.3725999999999</v>
      </c>
      <c r="L217" s="711"/>
      <c r="M217" s="733"/>
      <c r="N217" s="749">
        <v>1197.3725999999999</v>
      </c>
      <c r="O217" s="711"/>
      <c r="P217" s="733"/>
      <c r="Q217" s="749">
        <v>1197.3725999999999</v>
      </c>
      <c r="R217" s="711"/>
      <c r="S217" s="733"/>
      <c r="T217" s="749">
        <v>1197.3725999999999</v>
      </c>
      <c r="U217" s="711"/>
      <c r="V217" s="733"/>
      <c r="W217" s="749">
        <v>1197.3725999999999</v>
      </c>
      <c r="X217" s="711"/>
      <c r="Y217" s="733"/>
      <c r="Z217" s="749">
        <v>1197.3725999999999</v>
      </c>
      <c r="AA217" s="711"/>
      <c r="AB217" s="733"/>
      <c r="AC217" s="749">
        <v>1197.3725999999999</v>
      </c>
      <c r="AD217" s="711"/>
      <c r="AE217" s="733"/>
      <c r="AF217" s="749">
        <v>1197.3725999999999</v>
      </c>
      <c r="AG217" s="711"/>
      <c r="AH217" s="733"/>
      <c r="AI217" s="749">
        <v>1197.3725999999999</v>
      </c>
      <c r="AJ217" s="711"/>
      <c r="AK217" s="733"/>
      <c r="AL217" s="749">
        <v>1197.3725999999999</v>
      </c>
      <c r="AM217" s="711"/>
      <c r="AN217" s="733"/>
      <c r="AO217" s="749">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v>3513.5209999999993</v>
      </c>
      <c r="I218" s="706"/>
      <c r="J218" s="764"/>
      <c r="K218" s="753">
        <v>3513.5209999999993</v>
      </c>
      <c r="L218" s="706"/>
      <c r="M218" s="764"/>
      <c r="N218" s="753">
        <v>3513.5209999999993</v>
      </c>
      <c r="O218" s="706"/>
      <c r="P218" s="764"/>
      <c r="Q218" s="753">
        <v>3849.5209999999993</v>
      </c>
      <c r="R218" s="706"/>
      <c r="S218" s="764"/>
      <c r="T218" s="753">
        <v>3849.5209999999993</v>
      </c>
      <c r="U218" s="706"/>
      <c r="V218" s="764"/>
      <c r="W218" s="753">
        <v>3513.5209999999993</v>
      </c>
      <c r="X218" s="706"/>
      <c r="Y218" s="764"/>
      <c r="Z218" s="753">
        <v>3513.5209999999993</v>
      </c>
      <c r="AA218" s="706"/>
      <c r="AB218" s="764"/>
      <c r="AC218" s="753">
        <v>3513.5209999999993</v>
      </c>
      <c r="AD218" s="706"/>
      <c r="AE218" s="764"/>
      <c r="AF218" s="753">
        <v>3513.5209999999993</v>
      </c>
      <c r="AG218" s="706"/>
      <c r="AH218" s="764"/>
      <c r="AI218" s="753">
        <v>3849.5209999999993</v>
      </c>
      <c r="AJ218" s="706"/>
      <c r="AK218" s="764"/>
      <c r="AL218" s="753">
        <v>3849.5209999999993</v>
      </c>
      <c r="AM218" s="706"/>
      <c r="AN218" s="764"/>
      <c r="AO218" s="753">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v>546</v>
      </c>
      <c r="I219" s="711"/>
      <c r="J219" s="733"/>
      <c r="K219" s="749">
        <v>520</v>
      </c>
      <c r="L219" s="711"/>
      <c r="M219" s="733"/>
      <c r="N219" s="749">
        <v>572</v>
      </c>
      <c r="O219" s="711"/>
      <c r="P219" s="733"/>
      <c r="Q219" s="749">
        <v>546</v>
      </c>
      <c r="R219" s="711"/>
      <c r="S219" s="733"/>
      <c r="T219" s="749">
        <v>520</v>
      </c>
      <c r="U219" s="711"/>
      <c r="V219" s="733"/>
      <c r="W219" s="749">
        <v>546</v>
      </c>
      <c r="X219" s="711"/>
      <c r="Y219" s="733"/>
      <c r="Z219" s="749">
        <v>572</v>
      </c>
      <c r="AA219" s="711"/>
      <c r="AB219" s="733"/>
      <c r="AC219" s="749">
        <v>546</v>
      </c>
      <c r="AD219" s="711"/>
      <c r="AE219" s="733"/>
      <c r="AF219" s="749">
        <v>546</v>
      </c>
      <c r="AG219" s="711"/>
      <c r="AH219" s="733"/>
      <c r="AI219" s="749">
        <v>546</v>
      </c>
      <c r="AJ219" s="711"/>
      <c r="AK219" s="733"/>
      <c r="AL219" s="749">
        <v>546</v>
      </c>
      <c r="AM219" s="711"/>
      <c r="AN219" s="733"/>
      <c r="AO219" s="749">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v>1300</v>
      </c>
      <c r="I220" s="711"/>
      <c r="J220" s="733"/>
      <c r="K220" s="749">
        <v>1300</v>
      </c>
      <c r="L220" s="711"/>
      <c r="M220" s="733"/>
      <c r="N220" s="749">
        <v>1300</v>
      </c>
      <c r="O220" s="711"/>
      <c r="P220" s="733"/>
      <c r="Q220" s="749">
        <v>1300</v>
      </c>
      <c r="R220" s="711"/>
      <c r="S220" s="733"/>
      <c r="T220" s="749">
        <v>1300</v>
      </c>
      <c r="U220" s="711"/>
      <c r="V220" s="733"/>
      <c r="W220" s="749">
        <v>1300</v>
      </c>
      <c r="X220" s="711"/>
      <c r="Y220" s="733"/>
      <c r="Z220" s="749">
        <v>1300</v>
      </c>
      <c r="AA220" s="711"/>
      <c r="AB220" s="733"/>
      <c r="AC220" s="749">
        <v>1300</v>
      </c>
      <c r="AD220" s="711"/>
      <c r="AE220" s="733"/>
      <c r="AF220" s="749">
        <v>1300</v>
      </c>
      <c r="AG220" s="711"/>
      <c r="AH220" s="733"/>
      <c r="AI220" s="749">
        <v>1300</v>
      </c>
      <c r="AJ220" s="711"/>
      <c r="AK220" s="733"/>
      <c r="AL220" s="749">
        <v>1300</v>
      </c>
      <c r="AM220" s="711"/>
      <c r="AN220" s="733"/>
      <c r="AO220" s="749">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v>523.19999999999993</v>
      </c>
      <c r="I221" s="711"/>
      <c r="J221" s="733"/>
      <c r="K221" s="749">
        <v>523.19999999999993</v>
      </c>
      <c r="L221" s="711"/>
      <c r="M221" s="733"/>
      <c r="N221" s="749">
        <v>523.19999999999993</v>
      </c>
      <c r="O221" s="711"/>
      <c r="P221" s="733"/>
      <c r="Q221" s="749">
        <v>523.19999999999993</v>
      </c>
      <c r="R221" s="711"/>
      <c r="S221" s="733"/>
      <c r="T221" s="749">
        <v>523.19999999999993</v>
      </c>
      <c r="U221" s="711"/>
      <c r="V221" s="733"/>
      <c r="W221" s="749">
        <v>523.19999999999993</v>
      </c>
      <c r="X221" s="711"/>
      <c r="Y221" s="733"/>
      <c r="Z221" s="749">
        <v>523.19999999999993</v>
      </c>
      <c r="AA221" s="711"/>
      <c r="AB221" s="733"/>
      <c r="AC221" s="749">
        <v>523.19999999999993</v>
      </c>
      <c r="AD221" s="711"/>
      <c r="AE221" s="733"/>
      <c r="AF221" s="749">
        <v>523.19999999999993</v>
      </c>
      <c r="AG221" s="711"/>
      <c r="AH221" s="733"/>
      <c r="AI221" s="749">
        <v>523.19999999999993</v>
      </c>
      <c r="AJ221" s="711"/>
      <c r="AK221" s="733"/>
      <c r="AL221" s="749">
        <v>523.19999999999993</v>
      </c>
      <c r="AM221" s="711"/>
      <c r="AN221" s="733"/>
      <c r="AO221" s="749">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v>461.18399999999997</v>
      </c>
      <c r="I222" s="711"/>
      <c r="J222" s="733"/>
      <c r="K222" s="749">
        <v>461.18399999999997</v>
      </c>
      <c r="L222" s="711"/>
      <c r="M222" s="733"/>
      <c r="N222" s="749">
        <v>461.18399999999997</v>
      </c>
      <c r="O222" s="711"/>
      <c r="P222" s="733"/>
      <c r="Q222" s="749">
        <v>461.18399999999997</v>
      </c>
      <c r="R222" s="711"/>
      <c r="S222" s="733"/>
      <c r="T222" s="749">
        <v>461.18399999999997</v>
      </c>
      <c r="U222" s="711"/>
      <c r="V222" s="733"/>
      <c r="W222" s="749">
        <v>461.18399999999997</v>
      </c>
      <c r="X222" s="711"/>
      <c r="Y222" s="733"/>
      <c r="Z222" s="749">
        <v>461.18399999999997</v>
      </c>
      <c r="AA222" s="711"/>
      <c r="AB222" s="733"/>
      <c r="AC222" s="749">
        <v>461.18399999999997</v>
      </c>
      <c r="AD222" s="711"/>
      <c r="AE222" s="733"/>
      <c r="AF222" s="749">
        <v>461.18399999999997</v>
      </c>
      <c r="AG222" s="711"/>
      <c r="AH222" s="733"/>
      <c r="AI222" s="749">
        <v>461.18399999999997</v>
      </c>
      <c r="AJ222" s="711"/>
      <c r="AK222" s="733"/>
      <c r="AL222" s="749">
        <v>461.18399999999997</v>
      </c>
      <c r="AM222" s="711"/>
      <c r="AN222" s="733"/>
      <c r="AO222" s="749">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v>207.6</v>
      </c>
      <c r="I223" s="711"/>
      <c r="J223" s="733"/>
      <c r="K223" s="749">
        <v>207.6</v>
      </c>
      <c r="L223" s="711"/>
      <c r="M223" s="733"/>
      <c r="N223" s="749">
        <v>207.6</v>
      </c>
      <c r="O223" s="711"/>
      <c r="P223" s="733"/>
      <c r="Q223" s="749">
        <v>207.6</v>
      </c>
      <c r="R223" s="711"/>
      <c r="S223" s="733"/>
      <c r="T223" s="749">
        <v>207.6</v>
      </c>
      <c r="U223" s="711"/>
      <c r="V223" s="733"/>
      <c r="W223" s="749">
        <v>207.6</v>
      </c>
      <c r="X223" s="711"/>
      <c r="Y223" s="733"/>
      <c r="Z223" s="749">
        <v>207.6</v>
      </c>
      <c r="AA223" s="711"/>
      <c r="AB223" s="733"/>
      <c r="AC223" s="749">
        <v>207.6</v>
      </c>
      <c r="AD223" s="711"/>
      <c r="AE223" s="733"/>
      <c r="AF223" s="749">
        <v>207.6</v>
      </c>
      <c r="AG223" s="711"/>
      <c r="AH223" s="733"/>
      <c r="AI223" s="749">
        <v>207.6</v>
      </c>
      <c r="AJ223" s="711"/>
      <c r="AK223" s="733"/>
      <c r="AL223" s="749">
        <v>207.6</v>
      </c>
      <c r="AM223" s="711"/>
      <c r="AN223" s="733"/>
      <c r="AO223" s="749">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v>961.83999999999992</v>
      </c>
      <c r="I224" s="711"/>
      <c r="J224" s="733"/>
      <c r="K224" s="749">
        <v>961.83999999999992</v>
      </c>
      <c r="L224" s="711"/>
      <c r="M224" s="733"/>
      <c r="N224" s="749">
        <v>961.83999999999992</v>
      </c>
      <c r="O224" s="711"/>
      <c r="P224" s="733"/>
      <c r="Q224" s="749">
        <v>961.83999999999992</v>
      </c>
      <c r="R224" s="711"/>
      <c r="S224" s="733"/>
      <c r="T224" s="749">
        <v>961.83999999999992</v>
      </c>
      <c r="U224" s="711"/>
      <c r="V224" s="733"/>
      <c r="W224" s="749">
        <v>961.83999999999992</v>
      </c>
      <c r="X224" s="711"/>
      <c r="Y224" s="733"/>
      <c r="Z224" s="749">
        <v>961.83999999999992</v>
      </c>
      <c r="AA224" s="711"/>
      <c r="AB224" s="733"/>
      <c r="AC224" s="749">
        <v>961.83999999999992</v>
      </c>
      <c r="AD224" s="711"/>
      <c r="AE224" s="733"/>
      <c r="AF224" s="749">
        <v>961.83999999999992</v>
      </c>
      <c r="AG224" s="711"/>
      <c r="AH224" s="733"/>
      <c r="AI224" s="749">
        <v>961.83999999999992</v>
      </c>
      <c r="AJ224" s="711"/>
      <c r="AK224" s="733"/>
      <c r="AL224" s="749">
        <v>961.83999999999992</v>
      </c>
      <c r="AM224" s="711"/>
      <c r="AN224" s="733"/>
      <c r="AO224" s="749">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v>1391.26</v>
      </c>
      <c r="I225" s="711"/>
      <c r="J225" s="733"/>
      <c r="K225" s="749">
        <v>1391.26</v>
      </c>
      <c r="L225" s="711"/>
      <c r="M225" s="733"/>
      <c r="N225" s="749">
        <v>1391.26</v>
      </c>
      <c r="O225" s="711"/>
      <c r="P225" s="733"/>
      <c r="Q225" s="749">
        <v>1391.26</v>
      </c>
      <c r="R225" s="711"/>
      <c r="S225" s="733"/>
      <c r="T225" s="749">
        <v>1391.26</v>
      </c>
      <c r="U225" s="711"/>
      <c r="V225" s="733"/>
      <c r="W225" s="749">
        <v>1391.26</v>
      </c>
      <c r="X225" s="711"/>
      <c r="Y225" s="733"/>
      <c r="Z225" s="749">
        <v>1391.26</v>
      </c>
      <c r="AA225" s="711"/>
      <c r="AB225" s="733"/>
      <c r="AC225" s="749">
        <v>1391.26</v>
      </c>
      <c r="AD225" s="711"/>
      <c r="AE225" s="733"/>
      <c r="AF225" s="749">
        <v>1391.26</v>
      </c>
      <c r="AG225" s="711"/>
      <c r="AH225" s="733"/>
      <c r="AI225" s="749">
        <v>1391.26</v>
      </c>
      <c r="AJ225" s="711"/>
      <c r="AK225" s="733"/>
      <c r="AL225" s="749">
        <v>1391.26</v>
      </c>
      <c r="AM225" s="711"/>
      <c r="AN225" s="733"/>
      <c r="AO225" s="749">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v>1565.7553746442611</v>
      </c>
      <c r="I226" s="711"/>
      <c r="J226" s="733"/>
      <c r="K226" s="749">
        <v>1350.5605376493636</v>
      </c>
      <c r="L226" s="711"/>
      <c r="M226" s="733"/>
      <c r="N226" s="749">
        <v>1562.4856180940822</v>
      </c>
      <c r="O226" s="711"/>
      <c r="P226" s="733"/>
      <c r="Q226" s="749">
        <v>3003.7395318699969</v>
      </c>
      <c r="R226" s="711"/>
      <c r="S226" s="733"/>
      <c r="T226" s="749">
        <v>2752.9930502907059</v>
      </c>
      <c r="U226" s="711"/>
      <c r="V226" s="733"/>
      <c r="W226" s="749">
        <v>1819.6409647064913</v>
      </c>
      <c r="X226" s="711"/>
      <c r="Y226" s="733"/>
      <c r="Z226" s="749">
        <v>1715.5334678190397</v>
      </c>
      <c r="AA226" s="711"/>
      <c r="AB226" s="733"/>
      <c r="AC226" s="749">
        <v>1890.8850538568645</v>
      </c>
      <c r="AD226" s="711"/>
      <c r="AE226" s="733"/>
      <c r="AF226" s="749">
        <v>1431.9690143215671</v>
      </c>
      <c r="AG226" s="711"/>
      <c r="AH226" s="733"/>
      <c r="AI226" s="749">
        <v>2684.2817531321057</v>
      </c>
      <c r="AJ226" s="711"/>
      <c r="AK226" s="733"/>
      <c r="AL226" s="749">
        <v>3906.0972958510692</v>
      </c>
      <c r="AM226" s="711"/>
      <c r="AN226" s="733"/>
      <c r="AO226" s="749">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22" t="s">
        <v>1639</v>
      </c>
      <c r="D239" s="1123"/>
      <c r="E239" s="1124"/>
      <c r="F239" s="1122" t="s">
        <v>1934</v>
      </c>
      <c r="G239" s="1123"/>
      <c r="H239" s="1124"/>
      <c r="I239" s="1122" t="s">
        <v>1935</v>
      </c>
      <c r="J239" s="1123"/>
      <c r="K239" s="1124"/>
      <c r="L239" s="1122" t="s">
        <v>1936</v>
      </c>
      <c r="M239" s="1123"/>
      <c r="N239" s="1124"/>
      <c r="O239" s="1122" t="s">
        <v>1937</v>
      </c>
      <c r="P239" s="1123"/>
      <c r="Q239" s="1124"/>
      <c r="R239" s="1122" t="s">
        <v>1938</v>
      </c>
      <c r="S239" s="1123"/>
      <c r="T239" s="1124"/>
      <c r="U239" s="1122" t="s">
        <v>1916</v>
      </c>
      <c r="V239" s="1123"/>
      <c r="W239" s="1124"/>
      <c r="X239" s="1122" t="s">
        <v>1939</v>
      </c>
      <c r="Y239" s="1123"/>
      <c r="Z239" s="1124"/>
      <c r="AA239" s="1122" t="s">
        <v>1940</v>
      </c>
      <c r="AB239" s="1123"/>
      <c r="AC239" s="1124"/>
      <c r="AD239" s="1122" t="s">
        <v>3</v>
      </c>
      <c r="AE239" s="1123"/>
      <c r="AF239" s="1124"/>
      <c r="AG239" s="1122" t="s">
        <v>1941</v>
      </c>
      <c r="AH239" s="1123"/>
      <c r="AI239" s="1124"/>
      <c r="AJ239" s="1122" t="s">
        <v>1942</v>
      </c>
      <c r="AK239" s="1123"/>
      <c r="AL239" s="1124"/>
      <c r="AM239" s="1122" t="s">
        <v>1943</v>
      </c>
      <c r="AN239" s="1123"/>
      <c r="AO239" s="1124"/>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v>78517.102612357092</v>
      </c>
      <c r="H242" s="749">
        <v>17889.166892491088</v>
      </c>
      <c r="I242" s="804"/>
      <c r="J242" s="805">
        <v>68119.860316225822</v>
      </c>
      <c r="K242" s="749">
        <v>15520.281688264424</v>
      </c>
      <c r="L242" s="804"/>
      <c r="M242" s="805">
        <v>87475.969165700837</v>
      </c>
      <c r="N242" s="749">
        <v>19930.33567748265</v>
      </c>
      <c r="O242" s="804"/>
      <c r="P242" s="805">
        <v>75762.233575036022</v>
      </c>
      <c r="Q242" s="749">
        <v>17261.50348750145</v>
      </c>
      <c r="R242" s="804"/>
      <c r="S242" s="805">
        <v>104359.36299929337</v>
      </c>
      <c r="T242" s="749">
        <v>23777.011623893057</v>
      </c>
      <c r="U242" s="804"/>
      <c r="V242" s="805">
        <v>86548.437574332362</v>
      </c>
      <c r="W242" s="749">
        <v>19719.00888517897</v>
      </c>
      <c r="X242" s="804"/>
      <c r="Y242" s="805">
        <v>102548.37313545501</v>
      </c>
      <c r="Z242" s="749">
        <v>23364.399608969885</v>
      </c>
      <c r="AA242" s="804"/>
      <c r="AB242" s="805">
        <v>82096.522762792156</v>
      </c>
      <c r="AC242" s="749">
        <v>18704.694240279401</v>
      </c>
      <c r="AD242" s="804"/>
      <c r="AE242" s="805">
        <v>62890.384889646244</v>
      </c>
      <c r="AF242" s="749">
        <v>14328.809314046428</v>
      </c>
      <c r="AG242" s="804"/>
      <c r="AH242" s="805">
        <v>89718.951661555475</v>
      </c>
      <c r="AI242" s="749">
        <v>20441.371959646287</v>
      </c>
      <c r="AJ242" s="804"/>
      <c r="AK242" s="805">
        <v>89900.028650666252</v>
      </c>
      <c r="AL242" s="749">
        <v>20482.628149327473</v>
      </c>
      <c r="AM242" s="804"/>
      <c r="AN242" s="805">
        <v>54782.772656939349</v>
      </c>
      <c r="AO242" s="749">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v>283.27471264367819</v>
      </c>
      <c r="I255" s="711"/>
      <c r="J255" s="733"/>
      <c r="K255" s="749">
        <v>269.78544061302682</v>
      </c>
      <c r="L255" s="711"/>
      <c r="M255" s="733"/>
      <c r="N255" s="749">
        <v>310.25325670498086</v>
      </c>
      <c r="O255" s="711"/>
      <c r="P255" s="733"/>
      <c r="Q255" s="749">
        <v>283.27471264367819</v>
      </c>
      <c r="R255" s="711"/>
      <c r="S255" s="733"/>
      <c r="T255" s="749">
        <v>296.76398467432955</v>
      </c>
      <c r="U255" s="711"/>
      <c r="V255" s="733"/>
      <c r="W255" s="749">
        <v>296.76398467432955</v>
      </c>
      <c r="X255" s="711"/>
      <c r="Y255" s="733"/>
      <c r="Z255" s="749">
        <v>296.76398467432955</v>
      </c>
      <c r="AA255" s="711"/>
      <c r="AB255" s="733"/>
      <c r="AC255" s="749">
        <v>296.76398467432955</v>
      </c>
      <c r="AD255" s="711"/>
      <c r="AE255" s="733"/>
      <c r="AF255" s="749">
        <v>296.76398467432955</v>
      </c>
      <c r="AG255" s="711"/>
      <c r="AH255" s="733"/>
      <c r="AI255" s="749">
        <v>283.27471264367819</v>
      </c>
      <c r="AJ255" s="711"/>
      <c r="AK255" s="733"/>
      <c r="AL255" s="749">
        <v>296.76398467432955</v>
      </c>
      <c r="AM255" s="711"/>
      <c r="AN255" s="733"/>
      <c r="AO255" s="749">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v>531.86002864367822</v>
      </c>
      <c r="I256" s="711"/>
      <c r="J256" s="733"/>
      <c r="K256" s="749">
        <v>506.53336061302684</v>
      </c>
      <c r="L256" s="711"/>
      <c r="M256" s="733"/>
      <c r="N256" s="749">
        <v>582.51336470498097</v>
      </c>
      <c r="O256" s="711"/>
      <c r="P256" s="733"/>
      <c r="Q256" s="749">
        <v>531.86002864367822</v>
      </c>
      <c r="R256" s="711"/>
      <c r="S256" s="733"/>
      <c r="T256" s="749">
        <v>557.18669667432948</v>
      </c>
      <c r="U256" s="711"/>
      <c r="V256" s="733"/>
      <c r="W256" s="749">
        <v>557.18669667432948</v>
      </c>
      <c r="X256" s="711"/>
      <c r="Y256" s="733"/>
      <c r="Z256" s="749">
        <v>557.18669667432948</v>
      </c>
      <c r="AA256" s="711"/>
      <c r="AB256" s="733"/>
      <c r="AC256" s="749">
        <v>557.18669667432948</v>
      </c>
      <c r="AD256" s="711"/>
      <c r="AE256" s="733"/>
      <c r="AF256" s="749">
        <v>557.18669667432948</v>
      </c>
      <c r="AG256" s="711"/>
      <c r="AH256" s="733"/>
      <c r="AI256" s="749">
        <v>531.86002864367822</v>
      </c>
      <c r="AJ256" s="711"/>
      <c r="AK256" s="733"/>
      <c r="AL256" s="749">
        <v>557.18669667432948</v>
      </c>
      <c r="AM256" s="711"/>
      <c r="AN256" s="733"/>
      <c r="AO256" s="749">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v>3297.5117336643675</v>
      </c>
      <c r="I257" s="702"/>
      <c r="J257" s="760"/>
      <c r="K257" s="762">
        <v>3140.4873653946361</v>
      </c>
      <c r="L257" s="702"/>
      <c r="M257" s="760"/>
      <c r="N257" s="762">
        <v>3611.5604702038304</v>
      </c>
      <c r="O257" s="702"/>
      <c r="P257" s="760"/>
      <c r="Q257" s="762">
        <v>3297.5117336643675</v>
      </c>
      <c r="R257" s="702"/>
      <c r="S257" s="760"/>
      <c r="T257" s="762">
        <v>3454.5361019340994</v>
      </c>
      <c r="U257" s="702"/>
      <c r="V257" s="760"/>
      <c r="W257" s="762">
        <v>3454.5361019340994</v>
      </c>
      <c r="X257" s="702"/>
      <c r="Y257" s="760"/>
      <c r="Z257" s="762">
        <v>3454.5361019340994</v>
      </c>
      <c r="AA257" s="702"/>
      <c r="AB257" s="760"/>
      <c r="AC257" s="762">
        <v>3454.5361019340994</v>
      </c>
      <c r="AD257" s="702"/>
      <c r="AE257" s="760"/>
      <c r="AF257" s="762">
        <v>3454.5361019340994</v>
      </c>
      <c r="AG257" s="702"/>
      <c r="AH257" s="760"/>
      <c r="AI257" s="762">
        <v>3297.5117336643675</v>
      </c>
      <c r="AJ257" s="702"/>
      <c r="AK257" s="760"/>
      <c r="AL257" s="762">
        <v>3454.5361019340994</v>
      </c>
      <c r="AM257" s="702"/>
      <c r="AN257" s="760"/>
      <c r="AO257" s="762">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v>3462.0771724137931</v>
      </c>
      <c r="I258" s="711"/>
      <c r="J258" s="733"/>
      <c r="K258" s="749">
        <v>3344.8354022988506</v>
      </c>
      <c r="L258" s="711"/>
      <c r="M258" s="733"/>
      <c r="N258" s="749">
        <v>3696.560712643678</v>
      </c>
      <c r="O258" s="711"/>
      <c r="P258" s="733"/>
      <c r="Q258" s="749">
        <v>3462.0771724137931</v>
      </c>
      <c r="R258" s="711"/>
      <c r="S258" s="733"/>
      <c r="T258" s="749">
        <v>3579.3189425287355</v>
      </c>
      <c r="U258" s="711"/>
      <c r="V258" s="733"/>
      <c r="W258" s="749">
        <v>3579.3189425287355</v>
      </c>
      <c r="X258" s="711"/>
      <c r="Y258" s="733"/>
      <c r="Z258" s="749">
        <v>3579.3189425287355</v>
      </c>
      <c r="AA258" s="711"/>
      <c r="AB258" s="733"/>
      <c r="AC258" s="749">
        <v>3579.3189425287355</v>
      </c>
      <c r="AD258" s="711"/>
      <c r="AE258" s="733"/>
      <c r="AF258" s="749">
        <v>3579.3189425287355</v>
      </c>
      <c r="AG258" s="711"/>
      <c r="AH258" s="733"/>
      <c r="AI258" s="749">
        <v>3462.0771724137931</v>
      </c>
      <c r="AJ258" s="711"/>
      <c r="AK258" s="733"/>
      <c r="AL258" s="749">
        <v>3579.3189425287355</v>
      </c>
      <c r="AM258" s="711"/>
      <c r="AN258" s="733"/>
      <c r="AO258" s="749">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v>908.96683768386197</v>
      </c>
      <c r="I262" s="711"/>
      <c r="J262" s="733"/>
      <c r="K262" s="749">
        <v>871.39698827034476</v>
      </c>
      <c r="L262" s="711"/>
      <c r="M262" s="733"/>
      <c r="N262" s="749">
        <v>984.10653651089626</v>
      </c>
      <c r="O262" s="711"/>
      <c r="P262" s="733"/>
      <c r="Q262" s="749">
        <v>908.96683768386197</v>
      </c>
      <c r="R262" s="711"/>
      <c r="S262" s="733"/>
      <c r="T262" s="749">
        <v>946.53668709737929</v>
      </c>
      <c r="U262" s="711"/>
      <c r="V262" s="733"/>
      <c r="W262" s="749">
        <v>946.53668709737929</v>
      </c>
      <c r="X262" s="711"/>
      <c r="Y262" s="733"/>
      <c r="Z262" s="749">
        <v>946.53668709737929</v>
      </c>
      <c r="AA262" s="711"/>
      <c r="AB262" s="733"/>
      <c r="AC262" s="749">
        <v>946.53668709737929</v>
      </c>
      <c r="AD262" s="711"/>
      <c r="AE262" s="733"/>
      <c r="AF262" s="749">
        <v>946.53668709737929</v>
      </c>
      <c r="AG262" s="711"/>
      <c r="AH262" s="733"/>
      <c r="AI262" s="749">
        <v>908.96683768386197</v>
      </c>
      <c r="AJ262" s="711"/>
      <c r="AK262" s="733"/>
      <c r="AL262" s="749">
        <v>946.53668709737929</v>
      </c>
      <c r="AM262" s="711"/>
      <c r="AN262" s="733"/>
      <c r="AO262" s="749">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v>908.96683768386197</v>
      </c>
      <c r="I263" s="702"/>
      <c r="J263" s="760"/>
      <c r="K263" s="762">
        <v>871.39698827034476</v>
      </c>
      <c r="L263" s="702"/>
      <c r="M263" s="760"/>
      <c r="N263" s="762">
        <v>984.10653651089626</v>
      </c>
      <c r="O263" s="702"/>
      <c r="P263" s="760"/>
      <c r="Q263" s="762">
        <v>908.96683768386197</v>
      </c>
      <c r="R263" s="702"/>
      <c r="S263" s="760"/>
      <c r="T263" s="762">
        <v>946.53668709737929</v>
      </c>
      <c r="U263" s="702"/>
      <c r="V263" s="760"/>
      <c r="W263" s="762">
        <v>946.53668709737929</v>
      </c>
      <c r="X263" s="702"/>
      <c r="Y263" s="760"/>
      <c r="Z263" s="762">
        <v>946.53668709737929</v>
      </c>
      <c r="AA263" s="702"/>
      <c r="AB263" s="760"/>
      <c r="AC263" s="762">
        <v>946.53668709737929</v>
      </c>
      <c r="AD263" s="702"/>
      <c r="AE263" s="760"/>
      <c r="AF263" s="762">
        <v>946.53668709737929</v>
      </c>
      <c r="AG263" s="702"/>
      <c r="AH263" s="760"/>
      <c r="AI263" s="762">
        <v>908.96683768386197</v>
      </c>
      <c r="AJ263" s="702"/>
      <c r="AK263" s="760"/>
      <c r="AL263" s="762">
        <v>946.53668709737929</v>
      </c>
      <c r="AM263" s="702"/>
      <c r="AN263" s="760"/>
      <c r="AO263" s="762">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v>651.42623367343435</v>
      </c>
      <c r="I264" s="711"/>
      <c r="J264" s="733"/>
      <c r="K264" s="749">
        <v>624.50117492708034</v>
      </c>
      <c r="L264" s="711"/>
      <c r="M264" s="733"/>
      <c r="N264" s="749">
        <v>705.27635116614226</v>
      </c>
      <c r="O264" s="711"/>
      <c r="P264" s="733"/>
      <c r="Q264" s="749">
        <v>651.42623367343435</v>
      </c>
      <c r="R264" s="711"/>
      <c r="S264" s="733"/>
      <c r="T264" s="749">
        <v>678.35129241978848</v>
      </c>
      <c r="U264" s="711"/>
      <c r="V264" s="733"/>
      <c r="W264" s="749">
        <v>678.35129241978848</v>
      </c>
      <c r="X264" s="711"/>
      <c r="Y264" s="733"/>
      <c r="Z264" s="749">
        <v>678.35129241978848</v>
      </c>
      <c r="AA264" s="711"/>
      <c r="AB264" s="733"/>
      <c r="AC264" s="749">
        <v>678.35129241978848</v>
      </c>
      <c r="AD264" s="711"/>
      <c r="AE264" s="733"/>
      <c r="AF264" s="749">
        <v>678.35129241978848</v>
      </c>
      <c r="AG264" s="711"/>
      <c r="AH264" s="733"/>
      <c r="AI264" s="749">
        <v>651.42623367343435</v>
      </c>
      <c r="AJ264" s="711"/>
      <c r="AK264" s="733"/>
      <c r="AL264" s="749">
        <v>678.35129241978848</v>
      </c>
      <c r="AM264" s="711"/>
      <c r="AN264" s="733"/>
      <c r="AO264" s="749">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v>151.49447294731033</v>
      </c>
      <c r="I265" s="711"/>
      <c r="J265" s="733"/>
      <c r="K265" s="749">
        <v>145.23283137839081</v>
      </c>
      <c r="L265" s="711"/>
      <c r="M265" s="733"/>
      <c r="N265" s="749">
        <v>164.01775608514939</v>
      </c>
      <c r="O265" s="711"/>
      <c r="P265" s="733"/>
      <c r="Q265" s="749">
        <v>151.49447294731033</v>
      </c>
      <c r="R265" s="711"/>
      <c r="S265" s="733"/>
      <c r="T265" s="749">
        <v>157.75611451622987</v>
      </c>
      <c r="U265" s="711"/>
      <c r="V265" s="733"/>
      <c r="W265" s="749">
        <v>157.75611451622987</v>
      </c>
      <c r="X265" s="711"/>
      <c r="Y265" s="733"/>
      <c r="Z265" s="749">
        <v>157.75611451622987</v>
      </c>
      <c r="AA265" s="711"/>
      <c r="AB265" s="733"/>
      <c r="AC265" s="749">
        <v>157.75611451622987</v>
      </c>
      <c r="AD265" s="711"/>
      <c r="AE265" s="733"/>
      <c r="AF265" s="749">
        <v>157.75611451622987</v>
      </c>
      <c r="AG265" s="711"/>
      <c r="AH265" s="733"/>
      <c r="AI265" s="749">
        <v>151.49447294731033</v>
      </c>
      <c r="AJ265" s="711"/>
      <c r="AK265" s="733"/>
      <c r="AL265" s="749">
        <v>157.75611451622987</v>
      </c>
      <c r="AM265" s="711"/>
      <c r="AN265" s="733"/>
      <c r="AO265" s="749">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v>0</v>
      </c>
      <c r="I268" s="711"/>
      <c r="J268" s="733"/>
      <c r="K268" s="749">
        <v>0</v>
      </c>
      <c r="L268" s="711"/>
      <c r="M268" s="733"/>
      <c r="N268" s="749">
        <v>0</v>
      </c>
      <c r="O268" s="711"/>
      <c r="P268" s="733"/>
      <c r="Q268" s="749">
        <v>0</v>
      </c>
      <c r="R268" s="711"/>
      <c r="S268" s="733"/>
      <c r="T268" s="749">
        <v>0</v>
      </c>
      <c r="U268" s="711"/>
      <c r="V268" s="733"/>
      <c r="W268" s="749">
        <v>0</v>
      </c>
      <c r="X268" s="711"/>
      <c r="Y268" s="733"/>
      <c r="Z268" s="749">
        <v>0</v>
      </c>
      <c r="AA268" s="711"/>
      <c r="AB268" s="733"/>
      <c r="AC268" s="749">
        <v>0</v>
      </c>
      <c r="AD268" s="711"/>
      <c r="AE268" s="733"/>
      <c r="AF268" s="749">
        <v>0</v>
      </c>
      <c r="AG268" s="711"/>
      <c r="AH268" s="733"/>
      <c r="AI268" s="749">
        <v>0</v>
      </c>
      <c r="AJ268" s="711"/>
      <c r="AK268" s="733"/>
      <c r="AL268" s="749">
        <v>0</v>
      </c>
      <c r="AM268" s="711"/>
      <c r="AN268" s="733"/>
      <c r="AO268" s="749">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v>998.72169351846264</v>
      </c>
      <c r="I269" s="711"/>
      <c r="J269" s="733"/>
      <c r="K269" s="749">
        <v>866.47087059673436</v>
      </c>
      <c r="L269" s="711"/>
      <c r="M269" s="733"/>
      <c r="N269" s="749">
        <v>1112.6766673836501</v>
      </c>
      <c r="O269" s="711"/>
      <c r="P269" s="733"/>
      <c r="Q269" s="749">
        <v>963.68031554049003</v>
      </c>
      <c r="R269" s="711"/>
      <c r="S269" s="733"/>
      <c r="T269" s="749">
        <v>1327.4300283816012</v>
      </c>
      <c r="U269" s="711"/>
      <c r="V269" s="733"/>
      <c r="W269" s="749">
        <v>1100.8786527995303</v>
      </c>
      <c r="X269" s="711"/>
      <c r="Y269" s="733"/>
      <c r="Z269" s="749">
        <v>1304.3946029318499</v>
      </c>
      <c r="AA269" s="711"/>
      <c r="AB269" s="733"/>
      <c r="AC269" s="749">
        <v>1044.2511951877461</v>
      </c>
      <c r="AD269" s="711"/>
      <c r="AE269" s="733"/>
      <c r="AF269" s="749">
        <v>799.95299894230106</v>
      </c>
      <c r="AG269" s="711"/>
      <c r="AH269" s="733"/>
      <c r="AI269" s="749">
        <v>1141.2069518982451</v>
      </c>
      <c r="AJ269" s="711"/>
      <c r="AK269" s="733"/>
      <c r="AL269" s="749">
        <v>1143.510214642348</v>
      </c>
      <c r="AM269" s="711"/>
      <c r="AN269" s="733"/>
      <c r="AO269" s="749">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v>298.94</v>
      </c>
      <c r="I270" s="706"/>
      <c r="J270" s="764"/>
      <c r="K270" s="753">
        <v>298.94</v>
      </c>
      <c r="L270" s="706"/>
      <c r="M270" s="764"/>
      <c r="N270" s="753">
        <v>298.94</v>
      </c>
      <c r="O270" s="706"/>
      <c r="P270" s="764"/>
      <c r="Q270" s="753">
        <v>298.94</v>
      </c>
      <c r="R270" s="706"/>
      <c r="S270" s="764"/>
      <c r="T270" s="753">
        <v>298.94</v>
      </c>
      <c r="U270" s="706"/>
      <c r="V270" s="764"/>
      <c r="W270" s="753">
        <v>298.94</v>
      </c>
      <c r="X270" s="706"/>
      <c r="Y270" s="764"/>
      <c r="Z270" s="753">
        <v>298.94</v>
      </c>
      <c r="AA270" s="706"/>
      <c r="AB270" s="764"/>
      <c r="AC270" s="753">
        <v>298.94</v>
      </c>
      <c r="AD270" s="706"/>
      <c r="AE270" s="764"/>
      <c r="AF270" s="753">
        <v>298.94</v>
      </c>
      <c r="AG270" s="706"/>
      <c r="AH270" s="764"/>
      <c r="AI270" s="753">
        <v>298.94</v>
      </c>
      <c r="AJ270" s="706"/>
      <c r="AK270" s="764"/>
      <c r="AL270" s="753">
        <v>298.94</v>
      </c>
      <c r="AM270" s="706"/>
      <c r="AN270" s="764"/>
      <c r="AO270" s="753">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v>1436.6179333333334</v>
      </c>
      <c r="I271" s="711"/>
      <c r="J271" s="733"/>
      <c r="K271" s="749">
        <v>1436.6179333333334</v>
      </c>
      <c r="L271" s="711"/>
      <c r="M271" s="733"/>
      <c r="N271" s="749">
        <v>1436.6179333333334</v>
      </c>
      <c r="O271" s="711"/>
      <c r="P271" s="733"/>
      <c r="Q271" s="749">
        <v>1436.6179333333334</v>
      </c>
      <c r="R271" s="711"/>
      <c r="S271" s="733"/>
      <c r="T271" s="749">
        <v>1436.6179333333334</v>
      </c>
      <c r="U271" s="711"/>
      <c r="V271" s="733"/>
      <c r="W271" s="749">
        <v>1436.6179333333334</v>
      </c>
      <c r="X271" s="711"/>
      <c r="Y271" s="733"/>
      <c r="Z271" s="749">
        <v>1436.6179333333334</v>
      </c>
      <c r="AA271" s="711"/>
      <c r="AB271" s="733"/>
      <c r="AC271" s="749">
        <v>1436.6179333333334</v>
      </c>
      <c r="AD271" s="711"/>
      <c r="AE271" s="733"/>
      <c r="AF271" s="749">
        <v>1436.6179333333334</v>
      </c>
      <c r="AG271" s="711"/>
      <c r="AH271" s="733"/>
      <c r="AI271" s="749">
        <v>1436.6179333333334</v>
      </c>
      <c r="AJ271" s="711"/>
      <c r="AK271" s="733"/>
      <c r="AL271" s="749">
        <v>1436.6179333333334</v>
      </c>
      <c r="AM271" s="711"/>
      <c r="AN271" s="733"/>
      <c r="AO271" s="749">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v>349.23367500000001</v>
      </c>
      <c r="I272" s="711"/>
      <c r="J272" s="733"/>
      <c r="K272" s="749">
        <v>349.23367500000001</v>
      </c>
      <c r="L272" s="711"/>
      <c r="M272" s="733"/>
      <c r="N272" s="749">
        <v>349.23367500000001</v>
      </c>
      <c r="O272" s="711"/>
      <c r="P272" s="733"/>
      <c r="Q272" s="749">
        <v>349.23367500000001</v>
      </c>
      <c r="R272" s="711"/>
      <c r="S272" s="733"/>
      <c r="T272" s="749">
        <v>349.23367500000001</v>
      </c>
      <c r="U272" s="711"/>
      <c r="V272" s="733"/>
      <c r="W272" s="749">
        <v>349.23367500000001</v>
      </c>
      <c r="X272" s="711"/>
      <c r="Y272" s="733"/>
      <c r="Z272" s="749">
        <v>349.23367500000001</v>
      </c>
      <c r="AA272" s="711"/>
      <c r="AB272" s="733"/>
      <c r="AC272" s="749">
        <v>349.23367500000001</v>
      </c>
      <c r="AD272" s="711"/>
      <c r="AE272" s="733"/>
      <c r="AF272" s="749">
        <v>349.23367500000001</v>
      </c>
      <c r="AG272" s="711"/>
      <c r="AH272" s="733"/>
      <c r="AI272" s="749">
        <v>349.23367500000001</v>
      </c>
      <c r="AJ272" s="711"/>
      <c r="AK272" s="733"/>
      <c r="AL272" s="749">
        <v>349.23367500000001</v>
      </c>
      <c r="AM272" s="711"/>
      <c r="AN272" s="733"/>
      <c r="AO272" s="749">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v>1024.7769583333334</v>
      </c>
      <c r="I273" s="706"/>
      <c r="J273" s="764"/>
      <c r="K273" s="753">
        <v>1024.7769583333334</v>
      </c>
      <c r="L273" s="706"/>
      <c r="M273" s="764"/>
      <c r="N273" s="753">
        <v>1024.7769583333334</v>
      </c>
      <c r="O273" s="706"/>
      <c r="P273" s="764"/>
      <c r="Q273" s="753">
        <v>1122.7769583333334</v>
      </c>
      <c r="R273" s="706"/>
      <c r="S273" s="764"/>
      <c r="T273" s="753">
        <v>1122.7769583333334</v>
      </c>
      <c r="U273" s="706"/>
      <c r="V273" s="764"/>
      <c r="W273" s="753">
        <v>1024.7769583333334</v>
      </c>
      <c r="X273" s="706"/>
      <c r="Y273" s="764"/>
      <c r="Z273" s="753">
        <v>1024.7769583333334</v>
      </c>
      <c r="AA273" s="706"/>
      <c r="AB273" s="764"/>
      <c r="AC273" s="753">
        <v>1024.7769583333334</v>
      </c>
      <c r="AD273" s="706"/>
      <c r="AE273" s="764"/>
      <c r="AF273" s="753">
        <v>1024.7769583333334</v>
      </c>
      <c r="AG273" s="706"/>
      <c r="AH273" s="764"/>
      <c r="AI273" s="753">
        <v>1122.7769583333334</v>
      </c>
      <c r="AJ273" s="706"/>
      <c r="AK273" s="764"/>
      <c r="AL273" s="753">
        <v>1122.7769583333334</v>
      </c>
      <c r="AM273" s="706"/>
      <c r="AN273" s="764"/>
      <c r="AO273" s="753">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v>0</v>
      </c>
      <c r="I274" s="711"/>
      <c r="J274" s="733"/>
      <c r="K274" s="749">
        <v>0</v>
      </c>
      <c r="L274" s="711"/>
      <c r="M274" s="733"/>
      <c r="N274" s="749">
        <v>0</v>
      </c>
      <c r="O274" s="711"/>
      <c r="P274" s="733"/>
      <c r="Q274" s="749">
        <v>0</v>
      </c>
      <c r="R274" s="711"/>
      <c r="S274" s="733"/>
      <c r="T274" s="749">
        <v>0</v>
      </c>
      <c r="U274" s="711"/>
      <c r="V274" s="733"/>
      <c r="W274" s="749">
        <v>0</v>
      </c>
      <c r="X274" s="711"/>
      <c r="Y274" s="733"/>
      <c r="Z274" s="749">
        <v>0</v>
      </c>
      <c r="AA274" s="711"/>
      <c r="AB274" s="733"/>
      <c r="AC274" s="749">
        <v>0</v>
      </c>
      <c r="AD274" s="711"/>
      <c r="AE274" s="733"/>
      <c r="AF274" s="749">
        <v>0</v>
      </c>
      <c r="AG274" s="711"/>
      <c r="AH274" s="733"/>
      <c r="AI274" s="749">
        <v>0</v>
      </c>
      <c r="AJ274" s="711"/>
      <c r="AK274" s="733"/>
      <c r="AL274" s="749">
        <v>0</v>
      </c>
      <c r="AM274" s="711"/>
      <c r="AN274" s="733"/>
      <c r="AO274" s="749">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v>0</v>
      </c>
      <c r="I275" s="711"/>
      <c r="J275" s="733"/>
      <c r="K275" s="749">
        <v>0</v>
      </c>
      <c r="L275" s="711"/>
      <c r="M275" s="733"/>
      <c r="N275" s="749">
        <v>0</v>
      </c>
      <c r="O275" s="711"/>
      <c r="P275" s="733"/>
      <c r="Q275" s="749">
        <v>0</v>
      </c>
      <c r="R275" s="711"/>
      <c r="S275" s="733"/>
      <c r="T275" s="749">
        <v>0</v>
      </c>
      <c r="U275" s="711"/>
      <c r="V275" s="733"/>
      <c r="W275" s="749">
        <v>0</v>
      </c>
      <c r="X275" s="711"/>
      <c r="Y275" s="733"/>
      <c r="Z275" s="749">
        <v>0</v>
      </c>
      <c r="AA275" s="711"/>
      <c r="AB275" s="733"/>
      <c r="AC275" s="749">
        <v>0</v>
      </c>
      <c r="AD275" s="711"/>
      <c r="AE275" s="733"/>
      <c r="AF275" s="749">
        <v>0</v>
      </c>
      <c r="AG275" s="711"/>
      <c r="AH275" s="733"/>
      <c r="AI275" s="749">
        <v>0</v>
      </c>
      <c r="AJ275" s="711"/>
      <c r="AK275" s="733"/>
      <c r="AL275" s="749">
        <v>0</v>
      </c>
      <c r="AM275" s="711"/>
      <c r="AN275" s="733"/>
      <c r="AO275" s="749">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v>152.60000000000002</v>
      </c>
      <c r="I276" s="711"/>
      <c r="J276" s="733"/>
      <c r="K276" s="749">
        <v>152.60000000000002</v>
      </c>
      <c r="L276" s="711"/>
      <c r="M276" s="733"/>
      <c r="N276" s="749">
        <v>152.60000000000002</v>
      </c>
      <c r="O276" s="711"/>
      <c r="P276" s="733"/>
      <c r="Q276" s="749">
        <v>152.60000000000002</v>
      </c>
      <c r="R276" s="711"/>
      <c r="S276" s="733"/>
      <c r="T276" s="749">
        <v>152.60000000000002</v>
      </c>
      <c r="U276" s="711"/>
      <c r="V276" s="733"/>
      <c r="W276" s="749">
        <v>152.60000000000002</v>
      </c>
      <c r="X276" s="711"/>
      <c r="Y276" s="733"/>
      <c r="Z276" s="749">
        <v>152.60000000000002</v>
      </c>
      <c r="AA276" s="711"/>
      <c r="AB276" s="733"/>
      <c r="AC276" s="749">
        <v>152.60000000000002</v>
      </c>
      <c r="AD276" s="711"/>
      <c r="AE276" s="733"/>
      <c r="AF276" s="749">
        <v>152.60000000000002</v>
      </c>
      <c r="AG276" s="711"/>
      <c r="AH276" s="733"/>
      <c r="AI276" s="749">
        <v>152.60000000000002</v>
      </c>
      <c r="AJ276" s="711"/>
      <c r="AK276" s="733"/>
      <c r="AL276" s="749">
        <v>152.60000000000002</v>
      </c>
      <c r="AM276" s="711"/>
      <c r="AN276" s="733"/>
      <c r="AO276" s="749">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v>177.637</v>
      </c>
      <c r="I277" s="711"/>
      <c r="J277" s="733"/>
      <c r="K277" s="749">
        <v>177.637</v>
      </c>
      <c r="L277" s="711"/>
      <c r="M277" s="733"/>
      <c r="N277" s="749">
        <v>177.637</v>
      </c>
      <c r="O277" s="711"/>
      <c r="P277" s="733"/>
      <c r="Q277" s="749">
        <v>177.637</v>
      </c>
      <c r="R277" s="711"/>
      <c r="S277" s="733"/>
      <c r="T277" s="749">
        <v>177.637</v>
      </c>
      <c r="U277" s="711"/>
      <c r="V277" s="733"/>
      <c r="W277" s="749">
        <v>177.637</v>
      </c>
      <c r="X277" s="711"/>
      <c r="Y277" s="733"/>
      <c r="Z277" s="749">
        <v>177.637</v>
      </c>
      <c r="AA277" s="711"/>
      <c r="AB277" s="733"/>
      <c r="AC277" s="749">
        <v>177.637</v>
      </c>
      <c r="AD277" s="711"/>
      <c r="AE277" s="733"/>
      <c r="AF277" s="749">
        <v>177.637</v>
      </c>
      <c r="AG277" s="711"/>
      <c r="AH277" s="733"/>
      <c r="AI277" s="749">
        <v>177.637</v>
      </c>
      <c r="AJ277" s="711"/>
      <c r="AK277" s="733"/>
      <c r="AL277" s="749">
        <v>177.637</v>
      </c>
      <c r="AM277" s="711"/>
      <c r="AN277" s="733"/>
      <c r="AO277" s="749">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v>60.550000000000004</v>
      </c>
      <c r="I278" s="711"/>
      <c r="J278" s="733"/>
      <c r="K278" s="749">
        <v>60.550000000000004</v>
      </c>
      <c r="L278" s="711"/>
      <c r="M278" s="733"/>
      <c r="N278" s="749">
        <v>60.550000000000004</v>
      </c>
      <c r="O278" s="711"/>
      <c r="P278" s="733"/>
      <c r="Q278" s="749">
        <v>60.550000000000004</v>
      </c>
      <c r="R278" s="711"/>
      <c r="S278" s="733"/>
      <c r="T278" s="749">
        <v>60.550000000000004</v>
      </c>
      <c r="U278" s="711"/>
      <c r="V278" s="733"/>
      <c r="W278" s="749">
        <v>60.550000000000004</v>
      </c>
      <c r="X278" s="711"/>
      <c r="Y278" s="733"/>
      <c r="Z278" s="749">
        <v>60.550000000000004</v>
      </c>
      <c r="AA278" s="711"/>
      <c r="AB278" s="733"/>
      <c r="AC278" s="749">
        <v>60.550000000000004</v>
      </c>
      <c r="AD278" s="711"/>
      <c r="AE278" s="733"/>
      <c r="AF278" s="749">
        <v>60.550000000000004</v>
      </c>
      <c r="AG278" s="711"/>
      <c r="AH278" s="733"/>
      <c r="AI278" s="749">
        <v>60.550000000000004</v>
      </c>
      <c r="AJ278" s="711"/>
      <c r="AK278" s="733"/>
      <c r="AL278" s="749">
        <v>60.550000000000004</v>
      </c>
      <c r="AM278" s="711"/>
      <c r="AN278" s="733"/>
      <c r="AO278" s="749">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v>251.37000000000003</v>
      </c>
      <c r="I279" s="711"/>
      <c r="J279" s="733"/>
      <c r="K279" s="749">
        <v>251.37000000000003</v>
      </c>
      <c r="L279" s="711"/>
      <c r="M279" s="733"/>
      <c r="N279" s="749">
        <v>251.37000000000003</v>
      </c>
      <c r="O279" s="711"/>
      <c r="P279" s="733"/>
      <c r="Q279" s="749">
        <v>251.37000000000003</v>
      </c>
      <c r="R279" s="711"/>
      <c r="S279" s="733"/>
      <c r="T279" s="749">
        <v>251.37000000000003</v>
      </c>
      <c r="U279" s="711"/>
      <c r="V279" s="733"/>
      <c r="W279" s="749">
        <v>251.37000000000003</v>
      </c>
      <c r="X279" s="711"/>
      <c r="Y279" s="733"/>
      <c r="Z279" s="749">
        <v>251.37000000000003</v>
      </c>
      <c r="AA279" s="711"/>
      <c r="AB279" s="733"/>
      <c r="AC279" s="749">
        <v>251.37000000000003</v>
      </c>
      <c r="AD279" s="711"/>
      <c r="AE279" s="733"/>
      <c r="AF279" s="749">
        <v>251.37000000000003</v>
      </c>
      <c r="AG279" s="711"/>
      <c r="AH279" s="733"/>
      <c r="AI279" s="749">
        <v>251.37000000000003</v>
      </c>
      <c r="AJ279" s="711"/>
      <c r="AK279" s="733"/>
      <c r="AL279" s="749">
        <v>251.37000000000003</v>
      </c>
      <c r="AM279" s="711"/>
      <c r="AN279" s="733"/>
      <c r="AO279" s="749">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v>41.200833333333343</v>
      </c>
      <c r="I280" s="711"/>
      <c r="J280" s="733"/>
      <c r="K280" s="749">
        <v>41.200833333333343</v>
      </c>
      <c r="L280" s="711"/>
      <c r="M280" s="733"/>
      <c r="N280" s="749">
        <v>41.200833333333343</v>
      </c>
      <c r="O280" s="711"/>
      <c r="P280" s="733"/>
      <c r="Q280" s="749">
        <v>41.200833333333343</v>
      </c>
      <c r="R280" s="711"/>
      <c r="S280" s="733"/>
      <c r="T280" s="749">
        <v>41.200833333333343</v>
      </c>
      <c r="U280" s="711"/>
      <c r="V280" s="733"/>
      <c r="W280" s="749">
        <v>41.200833333333343</v>
      </c>
      <c r="X280" s="711"/>
      <c r="Y280" s="733"/>
      <c r="Z280" s="749">
        <v>41.200833333333343</v>
      </c>
      <c r="AA280" s="711"/>
      <c r="AB280" s="733"/>
      <c r="AC280" s="749">
        <v>41.200833333333343</v>
      </c>
      <c r="AD280" s="711"/>
      <c r="AE280" s="733"/>
      <c r="AF280" s="749">
        <v>41.200833333333343</v>
      </c>
      <c r="AG280" s="711"/>
      <c r="AH280" s="733"/>
      <c r="AI280" s="749">
        <v>41.200833333333343</v>
      </c>
      <c r="AJ280" s="711"/>
      <c r="AK280" s="733"/>
      <c r="AL280" s="749">
        <v>41.200833333333343</v>
      </c>
      <c r="AM280" s="711"/>
      <c r="AN280" s="733"/>
      <c r="AO280" s="749">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v>456.67865093790959</v>
      </c>
      <c r="I281" s="711"/>
      <c r="J281" s="733"/>
      <c r="K281" s="749">
        <v>393.91349014773107</v>
      </c>
      <c r="L281" s="711"/>
      <c r="M281" s="733"/>
      <c r="N281" s="749">
        <v>455.72497194410732</v>
      </c>
      <c r="O281" s="711"/>
      <c r="P281" s="733"/>
      <c r="Q281" s="749">
        <v>876.09069679541574</v>
      </c>
      <c r="R281" s="711"/>
      <c r="S281" s="733"/>
      <c r="T281" s="749">
        <v>802.95630633478925</v>
      </c>
      <c r="U281" s="711"/>
      <c r="V281" s="733"/>
      <c r="W281" s="749">
        <v>530.72861470605994</v>
      </c>
      <c r="X281" s="711"/>
      <c r="Y281" s="733"/>
      <c r="Z281" s="749">
        <v>500.36392811388669</v>
      </c>
      <c r="AA281" s="711"/>
      <c r="AB281" s="733"/>
      <c r="AC281" s="749">
        <v>551.50814070825209</v>
      </c>
      <c r="AD281" s="711"/>
      <c r="AE281" s="733"/>
      <c r="AF281" s="749">
        <v>417.65762917712379</v>
      </c>
      <c r="AG281" s="711"/>
      <c r="AH281" s="733"/>
      <c r="AI281" s="749">
        <v>782.91551133019755</v>
      </c>
      <c r="AJ281" s="711"/>
      <c r="AK281" s="733"/>
      <c r="AL281" s="749">
        <v>1139.2783779565621</v>
      </c>
      <c r="AM281" s="711"/>
      <c r="AN281" s="733"/>
      <c r="AO281" s="749">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22" t="s">
        <v>1639</v>
      </c>
      <c r="D293" s="1123"/>
      <c r="E293" s="1124"/>
      <c r="F293" s="1122" t="s">
        <v>1934</v>
      </c>
      <c r="G293" s="1123"/>
      <c r="H293" s="1124"/>
      <c r="I293" s="1122" t="s">
        <v>1935</v>
      </c>
      <c r="J293" s="1123"/>
      <c r="K293" s="1124"/>
      <c r="L293" s="1122" t="s">
        <v>1936</v>
      </c>
      <c r="M293" s="1123"/>
      <c r="N293" s="1124"/>
      <c r="O293" s="1122" t="s">
        <v>1937</v>
      </c>
      <c r="P293" s="1123"/>
      <c r="Q293" s="1124"/>
      <c r="R293" s="1122" t="s">
        <v>1938</v>
      </c>
      <c r="S293" s="1123"/>
      <c r="T293" s="1124"/>
      <c r="U293" s="1122" t="s">
        <v>1916</v>
      </c>
      <c r="V293" s="1123"/>
      <c r="W293" s="1124"/>
      <c r="X293" s="1122" t="s">
        <v>1939</v>
      </c>
      <c r="Y293" s="1123"/>
      <c r="Z293" s="1124"/>
      <c r="AA293" s="1122" t="s">
        <v>1940</v>
      </c>
      <c r="AB293" s="1123"/>
      <c r="AC293" s="1124"/>
      <c r="AD293" s="1122" t="s">
        <v>3</v>
      </c>
      <c r="AE293" s="1123"/>
      <c r="AF293" s="1124"/>
      <c r="AG293" s="1122" t="s">
        <v>1941</v>
      </c>
      <c r="AH293" s="1123"/>
      <c r="AI293" s="1124"/>
      <c r="AJ293" s="1122" t="s">
        <v>1942</v>
      </c>
      <c r="AK293" s="1123"/>
      <c r="AL293" s="1124"/>
      <c r="AM293" s="1122" t="s">
        <v>1943</v>
      </c>
      <c r="AN293" s="1123"/>
      <c r="AO293" s="1124"/>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v>56558.019542723647</v>
      </c>
      <c r="G295" s="798">
        <f t="shared" ref="G295:G304" si="75">IF(F295&lt;=0,0,H295/F295)</f>
        <v>0.35812717564768926</v>
      </c>
      <c r="H295" s="749">
        <v>20254.963799062432</v>
      </c>
      <c r="I295" s="804">
        <v>59119.003061909214</v>
      </c>
      <c r="J295" s="798">
        <f t="shared" ref="J295:J304" si="76">IF(I295&lt;=0,0,K295/I295)</f>
        <v>0.35812717564768926</v>
      </c>
      <c r="K295" s="749">
        <v>21172.121593668639</v>
      </c>
      <c r="L295" s="804">
        <v>59152.790459572665</v>
      </c>
      <c r="M295" s="798">
        <f t="shared" ref="M295:M304" si="77">IF(L295&lt;=0,0,N295/L295)</f>
        <v>0.35812717564768926</v>
      </c>
      <c r="N295" s="749">
        <v>21184.221778966337</v>
      </c>
      <c r="O295" s="804">
        <v>96873.973274683376</v>
      </c>
      <c r="P295" s="798">
        <f t="shared" ref="P295:P304" si="78">IF(O295&lt;=0,0,Q295/O295)</f>
        <v>0.35812717564768926</v>
      </c>
      <c r="Q295" s="749">
        <v>34693.202442632086</v>
      </c>
      <c r="R295" s="804">
        <v>79286.904101341468</v>
      </c>
      <c r="S295" s="798">
        <f t="shared" ref="S295:S304" si="79">IF(R295&lt;=0,0,T295/R295)</f>
        <v>0.35812717564768926</v>
      </c>
      <c r="T295" s="749">
        <v>28394.795031662608</v>
      </c>
      <c r="U295" s="804">
        <v>61003.734554113929</v>
      </c>
      <c r="V295" s="798">
        <f t="shared" ref="V295:V304" si="80">IF(U295&lt;=0,0,W295/U295)</f>
        <v>0.35812717564768926</v>
      </c>
      <c r="W295" s="749">
        <v>21847.095159826171</v>
      </c>
      <c r="X295" s="804">
        <v>60661.32114266479</v>
      </c>
      <c r="Y295" s="798">
        <f t="shared" ref="Y295:Y304" si="81">IF(X295&lt;=0,0,Z295/X295)</f>
        <v>0.35812717564768926</v>
      </c>
      <c r="Z295" s="749">
        <v>21724.467611879998</v>
      </c>
      <c r="AA295" s="804">
        <v>76778.723065419894</v>
      </c>
      <c r="AB295" s="798">
        <f t="shared" ref="AB295:AB304" si="82">IF(AA295&lt;=0,0,AC295/AA295)</f>
        <v>0.35812717564768926</v>
      </c>
      <c r="AC295" s="749">
        <v>27496.547241254921</v>
      </c>
      <c r="AD295" s="804">
        <v>56840.064933360416</v>
      </c>
      <c r="AE295" s="798">
        <f t="shared" ref="AE295:AE304" si="83">IF(AD295&lt;=0,0,AF295/AD295)</f>
        <v>0.35812717564768926</v>
      </c>
      <c r="AF295" s="749">
        <v>20355.97191821563</v>
      </c>
      <c r="AG295" s="804">
        <v>71715.511887715809</v>
      </c>
      <c r="AH295" s="798">
        <f t="shared" ref="AH295:AH304" si="84">IF(AG295&lt;=0,0,AI295/AG295)</f>
        <v>0.35812717564768926</v>
      </c>
      <c r="AI295" s="749">
        <v>25683.273722475948</v>
      </c>
      <c r="AJ295" s="804">
        <v>106124.16805129041</v>
      </c>
      <c r="AK295" s="798">
        <f t="shared" ref="AK295:AK304" si="85">IF(AJ295&lt;=0,0,AL295/AJ295)</f>
        <v>0.3581271756476892</v>
      </c>
      <c r="AL295" s="749">
        <v>38005.948572169371</v>
      </c>
      <c r="AM295" s="804">
        <v>55285.407376308569</v>
      </c>
      <c r="AN295" s="798">
        <f t="shared" ref="AN295:AN304" si="86">IF(AM295&lt;=0,0,AO295/AM295)</f>
        <v>0.35812717564768926</v>
      </c>
      <c r="AO295" s="749">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v>52423.803994647475</v>
      </c>
      <c r="G296" s="798">
        <f t="shared" si="75"/>
        <v>0.27367264200070923</v>
      </c>
      <c r="H296" s="749">
        <v>14346.960942942509</v>
      </c>
      <c r="I296" s="804">
        <v>49779.877688080589</v>
      </c>
      <c r="J296" s="798">
        <f t="shared" si="76"/>
        <v>0.27367264200070923</v>
      </c>
      <c r="K296" s="749">
        <v>13623.390645369172</v>
      </c>
      <c r="L296" s="804">
        <v>43344.181100867499</v>
      </c>
      <c r="M296" s="798">
        <f t="shared" si="77"/>
        <v>0.27367264200070923</v>
      </c>
      <c r="N296" s="749">
        <v>11862.116557231619</v>
      </c>
      <c r="O296" s="804">
        <v>34350.507933775058</v>
      </c>
      <c r="P296" s="798">
        <f t="shared" si="78"/>
        <v>0.27367264200070923</v>
      </c>
      <c r="Q296" s="749">
        <v>9400.794260302544</v>
      </c>
      <c r="R296" s="804">
        <v>45479.984691792146</v>
      </c>
      <c r="S296" s="798">
        <f t="shared" si="79"/>
        <v>0.27367264200070923</v>
      </c>
      <c r="T296" s="749">
        <v>12446.627568754568</v>
      </c>
      <c r="U296" s="804">
        <v>37081.656491933565</v>
      </c>
      <c r="V296" s="798">
        <f t="shared" si="80"/>
        <v>0.27367264200070923</v>
      </c>
      <c r="W296" s="749">
        <v>10148.234901910209</v>
      </c>
      <c r="X296" s="804">
        <v>56981.848119371069</v>
      </c>
      <c r="Y296" s="798">
        <f t="shared" si="81"/>
        <v>0.27367264200070923</v>
      </c>
      <c r="Z296" s="749">
        <v>15594.372920911424</v>
      </c>
      <c r="AA296" s="804">
        <v>36415.224001468006</v>
      </c>
      <c r="AB296" s="798">
        <f t="shared" si="82"/>
        <v>0.27367264200070923</v>
      </c>
      <c r="AC296" s="749">
        <v>9965.8505615293889</v>
      </c>
      <c r="AD296" s="804">
        <v>33745.96065581825</v>
      </c>
      <c r="AE296" s="798">
        <f t="shared" si="83"/>
        <v>0.27367264200070923</v>
      </c>
      <c r="AF296" s="749">
        <v>9235.3462095297673</v>
      </c>
      <c r="AG296" s="804">
        <v>41911.357513050338</v>
      </c>
      <c r="AH296" s="798">
        <f t="shared" si="84"/>
        <v>0.27367264200070923</v>
      </c>
      <c r="AI296" s="749">
        <v>11469.991940432761</v>
      </c>
      <c r="AJ296" s="804">
        <v>53003.994339095931</v>
      </c>
      <c r="AK296" s="798">
        <f t="shared" si="85"/>
        <v>0.27367264200070923</v>
      </c>
      <c r="AL296" s="749">
        <v>14505.74316737102</v>
      </c>
      <c r="AM296" s="804">
        <v>36323.203470100096</v>
      </c>
      <c r="AN296" s="798">
        <f t="shared" si="86"/>
        <v>0.27367264200070923</v>
      </c>
      <c r="AO296" s="749">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v>72277.206868378125</v>
      </c>
      <c r="G297" s="798">
        <f t="shared" si="75"/>
        <v>0.23983607715678656</v>
      </c>
      <c r="H297" s="749">
        <v>17334.681763161359</v>
      </c>
      <c r="I297" s="804">
        <v>86359.142361086677</v>
      </c>
      <c r="J297" s="798">
        <f t="shared" si="76"/>
        <v>0.23983607715678654</v>
      </c>
      <c r="K297" s="749">
        <v>20712.037930507497</v>
      </c>
      <c r="L297" s="804">
        <v>73637.814532344011</v>
      </c>
      <c r="M297" s="798">
        <f t="shared" si="77"/>
        <v>0.23983607715678656</v>
      </c>
      <c r="N297" s="749">
        <v>17661.004567836397</v>
      </c>
      <c r="O297" s="804">
        <v>54593.585542272544</v>
      </c>
      <c r="P297" s="798">
        <f t="shared" si="78"/>
        <v>0.23983607715678654</v>
      </c>
      <c r="Q297" s="749">
        <v>13093.511394382103</v>
      </c>
      <c r="R297" s="804">
        <v>87434.073358148133</v>
      </c>
      <c r="S297" s="798">
        <f t="shared" si="79"/>
        <v>0.23983607715678656</v>
      </c>
      <c r="T297" s="749">
        <v>20969.845164056951</v>
      </c>
      <c r="U297" s="804">
        <v>83010.273455644725</v>
      </c>
      <c r="V297" s="798">
        <f t="shared" si="80"/>
        <v>0.23983607715678651</v>
      </c>
      <c r="W297" s="749">
        <v>19908.858349313956</v>
      </c>
      <c r="X297" s="804">
        <v>93288.902236146867</v>
      </c>
      <c r="Y297" s="798">
        <f t="shared" si="81"/>
        <v>0.23983607715678654</v>
      </c>
      <c r="Z297" s="749">
        <v>22374.044354580437</v>
      </c>
      <c r="AA297" s="804">
        <v>128595.36795157875</v>
      </c>
      <c r="AB297" s="798">
        <f t="shared" si="82"/>
        <v>0.23983607715678654</v>
      </c>
      <c r="AC297" s="749">
        <v>30841.808590040197</v>
      </c>
      <c r="AD297" s="804">
        <v>102558.26618351226</v>
      </c>
      <c r="AE297" s="798">
        <f t="shared" si="83"/>
        <v>0.23983607715678654</v>
      </c>
      <c r="AF297" s="749">
        <v>24597.172241455097</v>
      </c>
      <c r="AG297" s="804">
        <v>81400.524187672578</v>
      </c>
      <c r="AH297" s="798">
        <f t="shared" si="84"/>
        <v>0.23983607715678651</v>
      </c>
      <c r="AI297" s="749">
        <v>19522.782399677508</v>
      </c>
      <c r="AJ297" s="804">
        <v>60828.735665644577</v>
      </c>
      <c r="AK297" s="798">
        <f t="shared" si="85"/>
        <v>0.23983607715678654</v>
      </c>
      <c r="AL297" s="749">
        <v>14588.925340455306</v>
      </c>
      <c r="AM297" s="804">
        <v>74041.85652833608</v>
      </c>
      <c r="AN297" s="798">
        <f t="shared" si="86"/>
        <v>0.23983607715678654</v>
      </c>
      <c r="AO297" s="749">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v>41032.786125816012</v>
      </c>
      <c r="G298" s="798">
        <f t="shared" si="75"/>
        <v>0.32994466198333777</v>
      </c>
      <c r="H298" s="749">
        <v>13538.548748516956</v>
      </c>
      <c r="I298" s="804">
        <v>38929.913805087061</v>
      </c>
      <c r="J298" s="798">
        <f t="shared" si="76"/>
        <v>0.32994466198333777</v>
      </c>
      <c r="K298" s="749">
        <v>12844.717251459924</v>
      </c>
      <c r="L298" s="804">
        <v>39856.178455491056</v>
      </c>
      <c r="M298" s="798">
        <f t="shared" si="77"/>
        <v>0.32994466198333777</v>
      </c>
      <c r="N298" s="749">
        <v>13150.333328444585</v>
      </c>
      <c r="O298" s="804">
        <v>46239.681459358391</v>
      </c>
      <c r="P298" s="798">
        <f t="shared" si="78"/>
        <v>0.32994466198333777</v>
      </c>
      <c r="Q298" s="749">
        <v>15256.536069325215</v>
      </c>
      <c r="R298" s="804">
        <v>69067.162508301903</v>
      </c>
      <c r="S298" s="798">
        <f t="shared" si="79"/>
        <v>0.32994466198333777</v>
      </c>
      <c r="T298" s="749">
        <v>22788.34158794993</v>
      </c>
      <c r="U298" s="804">
        <v>58798.338788738147</v>
      </c>
      <c r="V298" s="798">
        <f t="shared" si="80"/>
        <v>0.32994466198333777</v>
      </c>
      <c r="W298" s="749">
        <v>19400.198016831986</v>
      </c>
      <c r="X298" s="804">
        <v>55737.793221153479</v>
      </c>
      <c r="Y298" s="798">
        <f t="shared" si="81"/>
        <v>0.32994466198333777</v>
      </c>
      <c r="Z298" s="749">
        <v>18390.387344050661</v>
      </c>
      <c r="AA298" s="804">
        <v>63123.239019784436</v>
      </c>
      <c r="AB298" s="798">
        <f t="shared" si="82"/>
        <v>0.32994466198333772</v>
      </c>
      <c r="AC298" s="749">
        <v>20827.175761676212</v>
      </c>
      <c r="AD298" s="804">
        <v>55883.798129063332</v>
      </c>
      <c r="AE298" s="798">
        <f t="shared" si="83"/>
        <v>0.32994466198333777</v>
      </c>
      <c r="AF298" s="749">
        <v>18438.560884038885</v>
      </c>
      <c r="AG298" s="804">
        <v>75198.436561639828</v>
      </c>
      <c r="AH298" s="798">
        <f t="shared" si="84"/>
        <v>0.32994466198333777</v>
      </c>
      <c r="AI298" s="749">
        <v>24811.322733005723</v>
      </c>
      <c r="AJ298" s="804">
        <v>60582.203881613321</v>
      </c>
      <c r="AK298" s="798">
        <f t="shared" si="85"/>
        <v>0.32994466198333777</v>
      </c>
      <c r="AL298" s="749">
        <v>19988.77478192456</v>
      </c>
      <c r="AM298" s="804">
        <v>34053.155135543893</v>
      </c>
      <c r="AN298" s="798">
        <f t="shared" si="86"/>
        <v>0.32994466198333777</v>
      </c>
      <c r="AO298" s="749">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v>11548.272056930771</v>
      </c>
      <c r="G299" s="798">
        <f t="shared" si="75"/>
        <v>0.29678579936093841</v>
      </c>
      <c r="H299" s="749">
        <v>3427.3631536537873</v>
      </c>
      <c r="I299" s="804">
        <v>8846.8791380232742</v>
      </c>
      <c r="J299" s="798">
        <f t="shared" si="76"/>
        <v>0.29678579936093841</v>
      </c>
      <c r="K299" s="749">
        <v>2625.628096827847</v>
      </c>
      <c r="L299" s="804">
        <v>9578.1763980452179</v>
      </c>
      <c r="M299" s="798">
        <f t="shared" si="77"/>
        <v>0.29678579936093841</v>
      </c>
      <c r="N299" s="749">
        <v>2842.6667387139237</v>
      </c>
      <c r="O299" s="804">
        <v>12511.403821668857</v>
      </c>
      <c r="P299" s="798">
        <f t="shared" si="78"/>
        <v>0.29678579936093841</v>
      </c>
      <c r="Q299" s="749">
        <v>3713.2069843414915</v>
      </c>
      <c r="R299" s="804">
        <v>14856.011564380127</v>
      </c>
      <c r="S299" s="798">
        <f t="shared" si="79"/>
        <v>0.29678579936093841</v>
      </c>
      <c r="T299" s="749">
        <v>4409.0532674499009</v>
      </c>
      <c r="U299" s="804">
        <v>12283.166558827203</v>
      </c>
      <c r="V299" s="798">
        <f t="shared" si="80"/>
        <v>0.29678579936093841</v>
      </c>
      <c r="W299" s="749">
        <v>3645.4694058450782</v>
      </c>
      <c r="X299" s="804">
        <v>14844.440786534014</v>
      </c>
      <c r="Y299" s="798">
        <f t="shared" si="81"/>
        <v>0.29678579936093841</v>
      </c>
      <c r="Z299" s="749">
        <v>4405.6192248976149</v>
      </c>
      <c r="AA299" s="804">
        <v>13537.756635942922</v>
      </c>
      <c r="AB299" s="798">
        <f t="shared" si="82"/>
        <v>0.29678579936093841</v>
      </c>
      <c r="AC299" s="749">
        <v>4017.8139247521685</v>
      </c>
      <c r="AD299" s="804">
        <v>10057.82321221679</v>
      </c>
      <c r="AE299" s="798">
        <f t="shared" si="83"/>
        <v>0.29678579936093841</v>
      </c>
      <c r="AF299" s="749">
        <v>2985.0191018687615</v>
      </c>
      <c r="AG299" s="804">
        <v>17322.289240608017</v>
      </c>
      <c r="AH299" s="798">
        <f t="shared" si="84"/>
        <v>0.29678579936093841</v>
      </c>
      <c r="AI299" s="749">
        <v>5141.0094590352328</v>
      </c>
      <c r="AJ299" s="804">
        <v>22510.112996751133</v>
      </c>
      <c r="AK299" s="798">
        <f t="shared" si="85"/>
        <v>0.29678579936093841</v>
      </c>
      <c r="AL299" s="749">
        <v>6680.6818794458341</v>
      </c>
      <c r="AM299" s="804">
        <v>12103.667590071675</v>
      </c>
      <c r="AN299" s="798">
        <f t="shared" si="86"/>
        <v>0.29678579936093841</v>
      </c>
      <c r="AO299" s="749">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v>59510.634595705029</v>
      </c>
      <c r="G300" s="798">
        <f t="shared" si="75"/>
        <v>0.19081606757663094</v>
      </c>
      <c r="H300" s="749">
        <v>11355.585272542243</v>
      </c>
      <c r="I300" s="804">
        <v>56324.520110096171</v>
      </c>
      <c r="J300" s="798">
        <f t="shared" si="76"/>
        <v>0.19081606757663094</v>
      </c>
      <c r="K300" s="749">
        <v>10747.62343554942</v>
      </c>
      <c r="L300" s="804">
        <v>57358.521558253393</v>
      </c>
      <c r="M300" s="798">
        <f t="shared" si="77"/>
        <v>0.19081606757663094</v>
      </c>
      <c r="N300" s="749">
        <v>10944.927525755322</v>
      </c>
      <c r="O300" s="804">
        <v>43358.307457594434</v>
      </c>
      <c r="P300" s="798">
        <f t="shared" si="78"/>
        <v>0.19081606757663097</v>
      </c>
      <c r="Q300" s="749">
        <v>8273.4617258366816</v>
      </c>
      <c r="R300" s="804">
        <v>54567.944395506944</v>
      </c>
      <c r="S300" s="798">
        <f t="shared" si="79"/>
        <v>0.19081606757663097</v>
      </c>
      <c r="T300" s="749">
        <v>10412.440565290894</v>
      </c>
      <c r="U300" s="804">
        <v>54161.758987495748</v>
      </c>
      <c r="V300" s="798">
        <f t="shared" si="80"/>
        <v>0.19081606757663094</v>
      </c>
      <c r="W300" s="749">
        <v>10334.933863027187</v>
      </c>
      <c r="X300" s="804">
        <v>51653.179368916273</v>
      </c>
      <c r="Y300" s="798">
        <f t="shared" si="81"/>
        <v>0.19081606757663094</v>
      </c>
      <c r="Z300" s="749">
        <v>9856.2565650069664</v>
      </c>
      <c r="AA300" s="804">
        <v>42942.062858260448</v>
      </c>
      <c r="AB300" s="798">
        <f t="shared" si="82"/>
        <v>0.19081606757663094</v>
      </c>
      <c r="AC300" s="749">
        <v>8194.0355682417594</v>
      </c>
      <c r="AD300" s="804">
        <v>50401.259647053143</v>
      </c>
      <c r="AE300" s="798">
        <f t="shared" si="83"/>
        <v>0.19081606757663094</v>
      </c>
      <c r="AF300" s="749">
        <v>9617.3701667594141</v>
      </c>
      <c r="AG300" s="804">
        <v>53940.227900699661</v>
      </c>
      <c r="AH300" s="798">
        <f t="shared" si="84"/>
        <v>0.19081606757663097</v>
      </c>
      <c r="AI300" s="749">
        <v>10292.662172198781</v>
      </c>
      <c r="AJ300" s="804">
        <v>55523.666682395837</v>
      </c>
      <c r="AK300" s="798">
        <f t="shared" si="85"/>
        <v>0.19081606757663094</v>
      </c>
      <c r="AL300" s="749">
        <v>10594.807733770376</v>
      </c>
      <c r="AM300" s="804">
        <v>48701.81643802295</v>
      </c>
      <c r="AN300" s="798">
        <f t="shared" si="86"/>
        <v>0.19081606757663094</v>
      </c>
      <c r="AO300" s="749">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v>9299.8945100890614</v>
      </c>
      <c r="I302" s="804"/>
      <c r="J302" s="798">
        <f t="shared" si="76"/>
        <v>0</v>
      </c>
      <c r="K302" s="749">
        <v>9490.3813998439782</v>
      </c>
      <c r="L302" s="804"/>
      <c r="M302" s="798">
        <f t="shared" si="77"/>
        <v>0</v>
      </c>
      <c r="N302" s="749">
        <v>8969.4594467607076</v>
      </c>
      <c r="O302" s="804"/>
      <c r="P302" s="798">
        <f t="shared" si="78"/>
        <v>0</v>
      </c>
      <c r="Q302" s="749">
        <v>9127.9645427277192</v>
      </c>
      <c r="R302" s="804"/>
      <c r="S302" s="798">
        <f t="shared" si="79"/>
        <v>0</v>
      </c>
      <c r="T302" s="749">
        <v>11117.747793097567</v>
      </c>
      <c r="U302" s="804"/>
      <c r="V302" s="798">
        <f t="shared" si="80"/>
        <v>0</v>
      </c>
      <c r="W302" s="749">
        <v>9711.6505853186191</v>
      </c>
      <c r="X302" s="804"/>
      <c r="Y302" s="798">
        <f t="shared" si="81"/>
        <v>0</v>
      </c>
      <c r="Z302" s="749">
        <v>10562.177689201206</v>
      </c>
      <c r="AA302" s="804"/>
      <c r="AB302" s="798">
        <f t="shared" si="82"/>
        <v>0</v>
      </c>
      <c r="AC302" s="749">
        <v>11456.971757632731</v>
      </c>
      <c r="AD302" s="804"/>
      <c r="AE302" s="798">
        <f t="shared" si="83"/>
        <v>0</v>
      </c>
      <c r="AF302" s="749">
        <v>9811.4571788389731</v>
      </c>
      <c r="AG302" s="804"/>
      <c r="AH302" s="798">
        <f t="shared" si="84"/>
        <v>0</v>
      </c>
      <c r="AI302" s="749">
        <v>10825.96821907405</v>
      </c>
      <c r="AJ302" s="804"/>
      <c r="AK302" s="798">
        <f t="shared" si="85"/>
        <v>0</v>
      </c>
      <c r="AL302" s="749">
        <v>11367.587361020038</v>
      </c>
      <c r="AM302" s="804"/>
      <c r="AN302" s="798">
        <f t="shared" si="86"/>
        <v>0</v>
      </c>
      <c r="AO302" s="749">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v>100</v>
      </c>
      <c r="I303" s="804"/>
      <c r="J303" s="798">
        <f t="shared" si="76"/>
        <v>0</v>
      </c>
      <c r="K303" s="749">
        <v>100</v>
      </c>
      <c r="L303" s="804"/>
      <c r="M303" s="798">
        <f t="shared" si="77"/>
        <v>0</v>
      </c>
      <c r="N303" s="749">
        <v>100</v>
      </c>
      <c r="O303" s="804"/>
      <c r="P303" s="798">
        <f t="shared" si="78"/>
        <v>0</v>
      </c>
      <c r="Q303" s="749">
        <v>100</v>
      </c>
      <c r="R303" s="804"/>
      <c r="S303" s="798">
        <f t="shared" si="79"/>
        <v>0</v>
      </c>
      <c r="T303" s="749">
        <v>100</v>
      </c>
      <c r="U303" s="804"/>
      <c r="V303" s="798">
        <f t="shared" si="80"/>
        <v>0</v>
      </c>
      <c r="W303" s="749">
        <v>100</v>
      </c>
      <c r="X303" s="804"/>
      <c r="Y303" s="798">
        <f t="shared" si="81"/>
        <v>0</v>
      </c>
      <c r="Z303" s="749">
        <v>100</v>
      </c>
      <c r="AA303" s="804"/>
      <c r="AB303" s="798">
        <f t="shared" si="82"/>
        <v>0</v>
      </c>
      <c r="AC303" s="749">
        <v>100</v>
      </c>
      <c r="AD303" s="804"/>
      <c r="AE303" s="798">
        <f t="shared" si="83"/>
        <v>0</v>
      </c>
      <c r="AF303" s="749">
        <v>100</v>
      </c>
      <c r="AG303" s="804"/>
      <c r="AH303" s="798">
        <f t="shared" si="84"/>
        <v>0</v>
      </c>
      <c r="AI303" s="749">
        <v>100</v>
      </c>
      <c r="AJ303" s="804"/>
      <c r="AK303" s="798">
        <f t="shared" si="85"/>
        <v>0</v>
      </c>
      <c r="AL303" s="749">
        <v>100</v>
      </c>
      <c r="AM303" s="804"/>
      <c r="AN303" s="798">
        <f t="shared" si="86"/>
        <v>0</v>
      </c>
      <c r="AO303" s="749">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v>44733.070931018294</v>
      </c>
      <c r="G307" s="798">
        <f>IF(F307&lt;=0,0,H307/F307)</f>
        <v>0.19499999999999998</v>
      </c>
      <c r="H307" s="749">
        <v>8722.9488315485669</v>
      </c>
      <c r="I307" s="804">
        <v>39790.081769045617</v>
      </c>
      <c r="J307" s="798">
        <f>IF(I307&lt;=0,0,K307/I307)</f>
        <v>0.19500000000000001</v>
      </c>
      <c r="K307" s="749">
        <v>7759.0659449638952</v>
      </c>
      <c r="L307" s="804">
        <v>26460.109588023632</v>
      </c>
      <c r="M307" s="798">
        <f>IF(L307&lt;=0,0,N307/L307)</f>
        <v>0.19500000000000001</v>
      </c>
      <c r="N307" s="749">
        <v>5159.7213696646086</v>
      </c>
      <c r="O307" s="804">
        <v>24486.258868781351</v>
      </c>
      <c r="P307" s="798">
        <f>IF(O307&lt;=0,0,Q307/O307)</f>
        <v>0.19500000000000001</v>
      </c>
      <c r="Q307" s="749">
        <v>4774.820479412364</v>
      </c>
      <c r="R307" s="804">
        <v>39747.724268615071</v>
      </c>
      <c r="S307" s="798">
        <f>IF(R307&lt;=0,0,T307/R307)</f>
        <v>0.19500000000000001</v>
      </c>
      <c r="T307" s="749">
        <v>7750.8062323799395</v>
      </c>
      <c r="U307" s="804">
        <v>22830.049108010149</v>
      </c>
      <c r="V307" s="798">
        <f>IF(U307&lt;=0,0,W307/U307)</f>
        <v>0.19500000000000001</v>
      </c>
      <c r="W307" s="749">
        <v>4451.8595760619792</v>
      </c>
      <c r="X307" s="804">
        <v>18211.2175369998</v>
      </c>
      <c r="Y307" s="798">
        <f>IF(X307&lt;=0,0,Z307/X307)</f>
        <v>0.19500000000000001</v>
      </c>
      <c r="Z307" s="749">
        <v>3551.1874197149614</v>
      </c>
      <c r="AA307" s="804">
        <v>28062.427708201438</v>
      </c>
      <c r="AB307" s="798">
        <f>IF(AA307&lt;=0,0,AC307/AA307)</f>
        <v>0.19500000000000001</v>
      </c>
      <c r="AC307" s="749">
        <v>5472.1734030992802</v>
      </c>
      <c r="AD307" s="804">
        <v>33836.988060425458</v>
      </c>
      <c r="AE307" s="798">
        <f>IF(AD307&lt;=0,0,AF307/AD307)</f>
        <v>0.19500000000000001</v>
      </c>
      <c r="AF307" s="749">
        <v>6598.2126717829642</v>
      </c>
      <c r="AG307" s="804">
        <v>77297.34137505063</v>
      </c>
      <c r="AH307" s="798">
        <f>IF(AG307&lt;=0,0,AI307/AG307)</f>
        <v>0.19500000000000001</v>
      </c>
      <c r="AI307" s="749">
        <v>15072.981568134874</v>
      </c>
      <c r="AJ307" s="804">
        <v>100395.72511645118</v>
      </c>
      <c r="AK307" s="798">
        <f>IF(AJ307&lt;=0,0,AL307/AJ307)</f>
        <v>0.19500000000000001</v>
      </c>
      <c r="AL307" s="749">
        <v>19577.166397707981</v>
      </c>
      <c r="AM307" s="804">
        <v>31242.005669377369</v>
      </c>
      <c r="AN307" s="798">
        <f>IF(AM307&lt;=0,0,AO307/AM307)</f>
        <v>0.19500000000000001</v>
      </c>
      <c r="AO307" s="749">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v>13115.788065400957</v>
      </c>
      <c r="G308" s="798">
        <f>IF(F308&lt;=0,0,H308/F308)</f>
        <v>0.30006987567403659</v>
      </c>
      <c r="H308" s="749">
        <v>3935.6528941518782</v>
      </c>
      <c r="I308" s="804">
        <v>13802.65360619588</v>
      </c>
      <c r="J308" s="798">
        <f>IF(I308&lt;=0,0,K308/I308)</f>
        <v>0.30006987567403659</v>
      </c>
      <c r="K308" s="749">
        <v>4141.76055158299</v>
      </c>
      <c r="L308" s="804">
        <v>15129.102968859246</v>
      </c>
      <c r="M308" s="798">
        <f>IF(L308&lt;=0,0,N308/L308)</f>
        <v>0.30006987567403665</v>
      </c>
      <c r="N308" s="749">
        <v>4539.7880469252923</v>
      </c>
      <c r="O308" s="804">
        <v>22448.181251008446</v>
      </c>
      <c r="P308" s="798">
        <f>IF(O308&lt;=0,0,Q308/O308)</f>
        <v>0.30006987567403659</v>
      </c>
      <c r="Q308" s="749">
        <v>6736.0229570983438</v>
      </c>
      <c r="R308" s="804">
        <v>22742.311918463936</v>
      </c>
      <c r="S308" s="798">
        <f>IF(R308&lt;=0,0,T308/R308)</f>
        <v>0.30006987567403659</v>
      </c>
      <c r="T308" s="749">
        <v>6824.2827099136339</v>
      </c>
      <c r="U308" s="804">
        <v>19208.182918302584</v>
      </c>
      <c r="V308" s="798">
        <f>IF(U308&lt;=0,0,W308/U308)</f>
        <v>0.30006987567403659</v>
      </c>
      <c r="W308" s="749">
        <v>5763.7970602192099</v>
      </c>
      <c r="X308" s="804">
        <v>18914.808314957238</v>
      </c>
      <c r="Y308" s="798">
        <f>IF(X308&lt;=0,0,Z308/X308)</f>
        <v>0.30006987567403659</v>
      </c>
      <c r="Z308" s="749">
        <v>5675.7641794674519</v>
      </c>
      <c r="AA308" s="804">
        <v>18848.193513687947</v>
      </c>
      <c r="AB308" s="798">
        <f>IF(AA308&lt;=0,0,AC308/AA308)</f>
        <v>0.30006987567403659</v>
      </c>
      <c r="AC308" s="749">
        <v>5655.7750843325257</v>
      </c>
      <c r="AD308" s="804">
        <v>15947.179207228528</v>
      </c>
      <c r="AE308" s="798">
        <f>IF(AD308&lt;=0,0,AF308/AD308)</f>
        <v>0.30006987567403659</v>
      </c>
      <c r="AF308" s="749">
        <v>4785.2680820646456</v>
      </c>
      <c r="AG308" s="804">
        <v>23518.210778249882</v>
      </c>
      <c r="AH308" s="798">
        <f>IF(AG308&lt;=0,0,AI308/AG308)</f>
        <v>0.30006987567403659</v>
      </c>
      <c r="AI308" s="749">
        <v>7057.1065843052293</v>
      </c>
      <c r="AJ308" s="804">
        <v>30363.710401764107</v>
      </c>
      <c r="AK308" s="798">
        <f>IF(AJ308&lt;=0,0,AL308/AJ308)</f>
        <v>0.30006987567403659</v>
      </c>
      <c r="AL308" s="749">
        <v>9111.2348052598063</v>
      </c>
      <c r="AM308" s="804">
        <v>14301.677055881244</v>
      </c>
      <c r="AN308" s="798">
        <f>IF(AM308&lt;=0,0,AO308/AM308)</f>
        <v>0.30006987567403659</v>
      </c>
      <c r="AO308" s="749">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v>0</v>
      </c>
      <c r="D312" s="850">
        <f>IF(C312&lt;=0,0,E312/C312)</f>
        <v>0</v>
      </c>
      <c r="E312" s="767">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v>8924.8553069292284</v>
      </c>
      <c r="I318" s="711"/>
      <c r="J318" s="733"/>
      <c r="K318" s="749">
        <v>8537.2313375805697</v>
      </c>
      <c r="L318" s="711"/>
      <c r="M318" s="733"/>
      <c r="N318" s="749">
        <v>9700.1032456265475</v>
      </c>
      <c r="O318" s="711"/>
      <c r="P318" s="733"/>
      <c r="Q318" s="749">
        <v>8924.8553069292284</v>
      </c>
      <c r="R318" s="711"/>
      <c r="S318" s="733"/>
      <c r="T318" s="749">
        <v>9312.4792762778889</v>
      </c>
      <c r="U318" s="711"/>
      <c r="V318" s="733"/>
      <c r="W318" s="749">
        <v>9312.4792762778889</v>
      </c>
      <c r="X318" s="711"/>
      <c r="Y318" s="733"/>
      <c r="Z318" s="749">
        <v>9312.4792762778889</v>
      </c>
      <c r="AA318" s="711"/>
      <c r="AB318" s="733"/>
      <c r="AC318" s="749">
        <v>9312.4792762778889</v>
      </c>
      <c r="AD318" s="711"/>
      <c r="AE318" s="733"/>
      <c r="AF318" s="749">
        <v>9312.4792762778889</v>
      </c>
      <c r="AG318" s="711"/>
      <c r="AH318" s="733"/>
      <c r="AI318" s="749">
        <v>8924.8553069292284</v>
      </c>
      <c r="AJ318" s="711"/>
      <c r="AK318" s="733"/>
      <c r="AL318" s="749">
        <v>9312.4792762778889</v>
      </c>
      <c r="AM318" s="711"/>
      <c r="AN318" s="733"/>
      <c r="AO318" s="749">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v>4254.8802291494258</v>
      </c>
      <c r="I319" s="711"/>
      <c r="J319" s="733"/>
      <c r="K319" s="749">
        <v>4052.2668849042147</v>
      </c>
      <c r="L319" s="711"/>
      <c r="M319" s="733"/>
      <c r="N319" s="749">
        <v>4660.1069176398478</v>
      </c>
      <c r="O319" s="711"/>
      <c r="P319" s="733"/>
      <c r="Q319" s="749">
        <v>4254.8802291494258</v>
      </c>
      <c r="R319" s="711"/>
      <c r="S319" s="733"/>
      <c r="T319" s="749">
        <v>4457.4935733946359</v>
      </c>
      <c r="U319" s="711"/>
      <c r="V319" s="733"/>
      <c r="W319" s="749">
        <v>4457.4935733946359</v>
      </c>
      <c r="X319" s="711"/>
      <c r="Y319" s="733"/>
      <c r="Z319" s="749">
        <v>4457.4935733946359</v>
      </c>
      <c r="AA319" s="711"/>
      <c r="AB319" s="733"/>
      <c r="AC319" s="749">
        <v>4457.4935733946359</v>
      </c>
      <c r="AD319" s="711"/>
      <c r="AE319" s="733"/>
      <c r="AF319" s="749">
        <v>4457.4935733946359</v>
      </c>
      <c r="AG319" s="711"/>
      <c r="AH319" s="733"/>
      <c r="AI319" s="749">
        <v>4254.8802291494258</v>
      </c>
      <c r="AJ319" s="711"/>
      <c r="AK319" s="733"/>
      <c r="AL319" s="749">
        <v>4457.4935733946359</v>
      </c>
      <c r="AM319" s="711"/>
      <c r="AN319" s="733"/>
      <c r="AO319" s="749">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v>15813.640893866666</v>
      </c>
      <c r="I320" s="702"/>
      <c r="J320" s="760"/>
      <c r="K320" s="762">
        <v>15060.610375111111</v>
      </c>
      <c r="L320" s="702"/>
      <c r="M320" s="760"/>
      <c r="N320" s="762">
        <v>17319.701931377778</v>
      </c>
      <c r="O320" s="702"/>
      <c r="P320" s="760"/>
      <c r="Q320" s="762">
        <v>15813.640893866666</v>
      </c>
      <c r="R320" s="702"/>
      <c r="S320" s="760"/>
      <c r="T320" s="762">
        <v>16566.671412622221</v>
      </c>
      <c r="U320" s="702"/>
      <c r="V320" s="760"/>
      <c r="W320" s="762">
        <v>16566.671412622221</v>
      </c>
      <c r="X320" s="702"/>
      <c r="Y320" s="760"/>
      <c r="Z320" s="762">
        <v>16566.671412622221</v>
      </c>
      <c r="AA320" s="702"/>
      <c r="AB320" s="760"/>
      <c r="AC320" s="762">
        <v>16566.671412622221</v>
      </c>
      <c r="AD320" s="702"/>
      <c r="AE320" s="760"/>
      <c r="AF320" s="762">
        <v>16566.671412622221</v>
      </c>
      <c r="AG320" s="702"/>
      <c r="AH320" s="760"/>
      <c r="AI320" s="762">
        <v>15813.640893866666</v>
      </c>
      <c r="AJ320" s="702"/>
      <c r="AK320" s="760"/>
      <c r="AL320" s="762">
        <v>16566.671412622221</v>
      </c>
      <c r="AM320" s="702"/>
      <c r="AN320" s="760"/>
      <c r="AO320" s="762">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v>3479.2051715934381</v>
      </c>
      <c r="I325" s="711"/>
      <c r="J325" s="733"/>
      <c r="K325" s="749">
        <v>3318.0130317115072</v>
      </c>
      <c r="L325" s="711"/>
      <c r="M325" s="733"/>
      <c r="N325" s="749">
        <v>3801.5894513573007</v>
      </c>
      <c r="O325" s="711"/>
      <c r="P325" s="733"/>
      <c r="Q325" s="749">
        <v>3479.2051715934381</v>
      </c>
      <c r="R325" s="711"/>
      <c r="S325" s="733"/>
      <c r="T325" s="749">
        <v>3640.3973114753694</v>
      </c>
      <c r="U325" s="711"/>
      <c r="V325" s="733"/>
      <c r="W325" s="749">
        <v>3640.3973114753694</v>
      </c>
      <c r="X325" s="711"/>
      <c r="Y325" s="733"/>
      <c r="Z325" s="749">
        <v>3640.3973114753694</v>
      </c>
      <c r="AA325" s="711"/>
      <c r="AB325" s="733"/>
      <c r="AC325" s="749">
        <v>3640.3973114753694</v>
      </c>
      <c r="AD325" s="711"/>
      <c r="AE325" s="733"/>
      <c r="AF325" s="749">
        <v>3640.3973114753694</v>
      </c>
      <c r="AG325" s="711"/>
      <c r="AH325" s="733"/>
      <c r="AI325" s="749">
        <v>3479.2051715934381</v>
      </c>
      <c r="AJ325" s="711"/>
      <c r="AK325" s="733"/>
      <c r="AL325" s="749">
        <v>3640.3973114753694</v>
      </c>
      <c r="AM325" s="711"/>
      <c r="AN325" s="733"/>
      <c r="AO325" s="749">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v>3479.2051715934381</v>
      </c>
      <c r="I326" s="702"/>
      <c r="J326" s="760"/>
      <c r="K326" s="762">
        <v>3318.0130317115072</v>
      </c>
      <c r="L326" s="702"/>
      <c r="M326" s="760"/>
      <c r="N326" s="762">
        <v>3801.5894513573007</v>
      </c>
      <c r="O326" s="702"/>
      <c r="P326" s="760"/>
      <c r="Q326" s="762">
        <v>3479.2051715934381</v>
      </c>
      <c r="R326" s="702"/>
      <c r="S326" s="760"/>
      <c r="T326" s="762">
        <v>3640.3973114753694</v>
      </c>
      <c r="U326" s="702"/>
      <c r="V326" s="760"/>
      <c r="W326" s="762">
        <v>3640.3973114753694</v>
      </c>
      <c r="X326" s="702"/>
      <c r="Y326" s="760"/>
      <c r="Z326" s="762">
        <v>3640.3973114753694</v>
      </c>
      <c r="AA326" s="702"/>
      <c r="AB326" s="760"/>
      <c r="AC326" s="762">
        <v>3640.3973114753694</v>
      </c>
      <c r="AD326" s="702"/>
      <c r="AE326" s="760"/>
      <c r="AF326" s="762">
        <v>3640.3973114753694</v>
      </c>
      <c r="AG326" s="702"/>
      <c r="AH326" s="760"/>
      <c r="AI326" s="762">
        <v>3479.2051715934381</v>
      </c>
      <c r="AJ326" s="702"/>
      <c r="AK326" s="760"/>
      <c r="AL326" s="762">
        <v>3640.3973114753694</v>
      </c>
      <c r="AM326" s="702"/>
      <c r="AN326" s="760"/>
      <c r="AO326" s="762">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v>2493.4303729752969</v>
      </c>
      <c r="I327" s="711"/>
      <c r="J327" s="733"/>
      <c r="K327" s="749">
        <v>2377.9093393932467</v>
      </c>
      <c r="L327" s="711"/>
      <c r="M327" s="733"/>
      <c r="N327" s="749">
        <v>2724.4724401393987</v>
      </c>
      <c r="O327" s="711"/>
      <c r="P327" s="733"/>
      <c r="Q327" s="749">
        <v>2493.4303729752969</v>
      </c>
      <c r="R327" s="711"/>
      <c r="S327" s="733"/>
      <c r="T327" s="749">
        <v>2608.951406557348</v>
      </c>
      <c r="U327" s="711"/>
      <c r="V327" s="733"/>
      <c r="W327" s="749">
        <v>2608.951406557348</v>
      </c>
      <c r="X327" s="711"/>
      <c r="Y327" s="733"/>
      <c r="Z327" s="749">
        <v>2608.951406557348</v>
      </c>
      <c r="AA327" s="711"/>
      <c r="AB327" s="733"/>
      <c r="AC327" s="749">
        <v>2608.951406557348</v>
      </c>
      <c r="AD327" s="711"/>
      <c r="AE327" s="733"/>
      <c r="AF327" s="749">
        <v>2608.951406557348</v>
      </c>
      <c r="AG327" s="711"/>
      <c r="AH327" s="733"/>
      <c r="AI327" s="749">
        <v>2493.4303729752969</v>
      </c>
      <c r="AJ327" s="711"/>
      <c r="AK327" s="733"/>
      <c r="AL327" s="749">
        <v>2608.951406557348</v>
      </c>
      <c r="AM327" s="711"/>
      <c r="AN327" s="733"/>
      <c r="AO327" s="749">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v>579.86752859890635</v>
      </c>
      <c r="I328" s="711"/>
      <c r="J328" s="733"/>
      <c r="K328" s="749">
        <v>553.00217195191794</v>
      </c>
      <c r="L328" s="711"/>
      <c r="M328" s="733"/>
      <c r="N328" s="749">
        <v>633.59824189288349</v>
      </c>
      <c r="O328" s="711"/>
      <c r="P328" s="733"/>
      <c r="Q328" s="749">
        <v>579.86752859890635</v>
      </c>
      <c r="R328" s="711"/>
      <c r="S328" s="733"/>
      <c r="T328" s="749">
        <v>606.73288524589498</v>
      </c>
      <c r="U328" s="711"/>
      <c r="V328" s="733"/>
      <c r="W328" s="749">
        <v>606.73288524589498</v>
      </c>
      <c r="X328" s="711"/>
      <c r="Y328" s="733"/>
      <c r="Z328" s="749">
        <v>606.73288524589498</v>
      </c>
      <c r="AA328" s="711"/>
      <c r="AB328" s="733"/>
      <c r="AC328" s="749">
        <v>606.73288524589498</v>
      </c>
      <c r="AD328" s="711"/>
      <c r="AE328" s="733"/>
      <c r="AF328" s="749">
        <v>606.73288524589498</v>
      </c>
      <c r="AG328" s="711"/>
      <c r="AH328" s="733"/>
      <c r="AI328" s="749">
        <v>579.86752859890635</v>
      </c>
      <c r="AJ328" s="711"/>
      <c r="AK328" s="733"/>
      <c r="AL328" s="749">
        <v>606.73288524589498</v>
      </c>
      <c r="AM328" s="711"/>
      <c r="AN328" s="733"/>
      <c r="AO328" s="749">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v>3808.6416666666664</v>
      </c>
      <c r="I331" s="711"/>
      <c r="J331" s="733"/>
      <c r="K331" s="749">
        <v>3808.6416666666664</v>
      </c>
      <c r="L331" s="711"/>
      <c r="M331" s="733"/>
      <c r="N331" s="749">
        <v>3808.6416666666664</v>
      </c>
      <c r="O331" s="711"/>
      <c r="P331" s="733"/>
      <c r="Q331" s="749">
        <v>3808.6416666666664</v>
      </c>
      <c r="R331" s="711"/>
      <c r="S331" s="733"/>
      <c r="T331" s="749">
        <v>3808.6416666666664</v>
      </c>
      <c r="U331" s="711"/>
      <c r="V331" s="733"/>
      <c r="W331" s="749">
        <v>3808.6416666666664</v>
      </c>
      <c r="X331" s="711"/>
      <c r="Y331" s="733"/>
      <c r="Z331" s="749">
        <v>3808.6416666666664</v>
      </c>
      <c r="AA331" s="711"/>
      <c r="AB331" s="733"/>
      <c r="AC331" s="749">
        <v>3808.6416666666664</v>
      </c>
      <c r="AD331" s="711"/>
      <c r="AE331" s="733"/>
      <c r="AF331" s="749">
        <v>3808.6416666666664</v>
      </c>
      <c r="AG331" s="711"/>
      <c r="AH331" s="733"/>
      <c r="AI331" s="749">
        <v>3808.6416666666664</v>
      </c>
      <c r="AJ331" s="711"/>
      <c r="AK331" s="733"/>
      <c r="AL331" s="749">
        <v>3808.6416666666664</v>
      </c>
      <c r="AM331" s="711"/>
      <c r="AN331" s="733"/>
      <c r="AO331" s="749">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v>1652.6753978584377</v>
      </c>
      <c r="I332" s="711"/>
      <c r="J332" s="733"/>
      <c r="K332" s="749">
        <v>1727.5096033468692</v>
      </c>
      <c r="L332" s="711"/>
      <c r="M332" s="733"/>
      <c r="N332" s="749">
        <v>1728.4969010161922</v>
      </c>
      <c r="O332" s="711"/>
      <c r="P332" s="733"/>
      <c r="Q332" s="749">
        <v>2830.7432547726557</v>
      </c>
      <c r="R332" s="711"/>
      <c r="S332" s="733"/>
      <c r="T332" s="749">
        <v>2316.8335249374268</v>
      </c>
      <c r="U332" s="711"/>
      <c r="V332" s="733"/>
      <c r="W332" s="749">
        <v>1782.5831259687641</v>
      </c>
      <c r="X332" s="711"/>
      <c r="Y332" s="733"/>
      <c r="Z332" s="749">
        <v>1772.5775029718116</v>
      </c>
      <c r="AA332" s="711"/>
      <c r="AB332" s="733"/>
      <c r="AC332" s="749">
        <v>2243.542254752278</v>
      </c>
      <c r="AD332" s="711"/>
      <c r="AE332" s="733"/>
      <c r="AF332" s="749">
        <v>1660.9170138477077</v>
      </c>
      <c r="AG332" s="711"/>
      <c r="AH332" s="733"/>
      <c r="AI332" s="749">
        <v>2095.5907420365202</v>
      </c>
      <c r="AJ332" s="711"/>
      <c r="AK332" s="733"/>
      <c r="AL332" s="749">
        <v>3101.0421346892153</v>
      </c>
      <c r="AM332" s="711"/>
      <c r="AN332" s="733"/>
      <c r="AO332" s="749">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v>285.5</v>
      </c>
      <c r="I333" s="706"/>
      <c r="J333" s="764"/>
      <c r="K333" s="753">
        <v>285.5</v>
      </c>
      <c r="L333" s="706"/>
      <c r="M333" s="764"/>
      <c r="N333" s="753">
        <v>285.5</v>
      </c>
      <c r="O333" s="706"/>
      <c r="P333" s="764"/>
      <c r="Q333" s="753">
        <v>285.5</v>
      </c>
      <c r="R333" s="706"/>
      <c r="S333" s="764"/>
      <c r="T333" s="753">
        <v>285.5</v>
      </c>
      <c r="U333" s="706"/>
      <c r="V333" s="764"/>
      <c r="W333" s="753">
        <v>285.5</v>
      </c>
      <c r="X333" s="706"/>
      <c r="Y333" s="764"/>
      <c r="Z333" s="753">
        <v>285.5</v>
      </c>
      <c r="AA333" s="706"/>
      <c r="AB333" s="764"/>
      <c r="AC333" s="753">
        <v>285.5</v>
      </c>
      <c r="AD333" s="706"/>
      <c r="AE333" s="764"/>
      <c r="AF333" s="753">
        <v>285.5</v>
      </c>
      <c r="AG333" s="706"/>
      <c r="AH333" s="764"/>
      <c r="AI333" s="753">
        <v>285.5</v>
      </c>
      <c r="AJ333" s="706"/>
      <c r="AK333" s="764"/>
      <c r="AL333" s="753">
        <v>285.5</v>
      </c>
      <c r="AM333" s="706"/>
      <c r="AN333" s="764"/>
      <c r="AO333" s="753">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v>4280.7783333333336</v>
      </c>
      <c r="I334" s="711"/>
      <c r="J334" s="733"/>
      <c r="K334" s="749">
        <v>4280.7783333333336</v>
      </c>
      <c r="L334" s="711"/>
      <c r="M334" s="733"/>
      <c r="N334" s="749">
        <v>4280.7783333333336</v>
      </c>
      <c r="O334" s="711"/>
      <c r="P334" s="733"/>
      <c r="Q334" s="749">
        <v>4280.7783333333336</v>
      </c>
      <c r="R334" s="711"/>
      <c r="S334" s="733"/>
      <c r="T334" s="749">
        <v>4280.7783333333336</v>
      </c>
      <c r="U334" s="711"/>
      <c r="V334" s="733"/>
      <c r="W334" s="749">
        <v>4280.7783333333336</v>
      </c>
      <c r="X334" s="711"/>
      <c r="Y334" s="733"/>
      <c r="Z334" s="749">
        <v>4280.7783333333336</v>
      </c>
      <c r="AA334" s="711"/>
      <c r="AB334" s="733"/>
      <c r="AC334" s="749">
        <v>4280.7783333333336</v>
      </c>
      <c r="AD334" s="711"/>
      <c r="AE334" s="733"/>
      <c r="AF334" s="749">
        <v>4280.7783333333336</v>
      </c>
      <c r="AG334" s="711"/>
      <c r="AH334" s="733"/>
      <c r="AI334" s="749">
        <v>4280.7783333333336</v>
      </c>
      <c r="AJ334" s="711"/>
      <c r="AK334" s="733"/>
      <c r="AL334" s="749">
        <v>4280.7783333333336</v>
      </c>
      <c r="AM334" s="711"/>
      <c r="AN334" s="733"/>
      <c r="AO334" s="749">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v>1247.2631249999999</v>
      </c>
      <c r="I335" s="711"/>
      <c r="J335" s="733"/>
      <c r="K335" s="749">
        <v>1247.2631249999999</v>
      </c>
      <c r="L335" s="711"/>
      <c r="M335" s="733"/>
      <c r="N335" s="749">
        <v>1247.2631249999999</v>
      </c>
      <c r="O335" s="711"/>
      <c r="P335" s="733"/>
      <c r="Q335" s="749">
        <v>1247.2631249999999</v>
      </c>
      <c r="R335" s="711"/>
      <c r="S335" s="733"/>
      <c r="T335" s="749">
        <v>1247.2631249999999</v>
      </c>
      <c r="U335" s="711"/>
      <c r="V335" s="733"/>
      <c r="W335" s="749">
        <v>1247.2631249999999</v>
      </c>
      <c r="X335" s="711"/>
      <c r="Y335" s="733"/>
      <c r="Z335" s="749">
        <v>1247.2631249999999</v>
      </c>
      <c r="AA335" s="711"/>
      <c r="AB335" s="733"/>
      <c r="AC335" s="749">
        <v>1247.2631249999999</v>
      </c>
      <c r="AD335" s="711"/>
      <c r="AE335" s="733"/>
      <c r="AF335" s="749">
        <v>1247.2631249999999</v>
      </c>
      <c r="AG335" s="711"/>
      <c r="AH335" s="733"/>
      <c r="AI335" s="749">
        <v>1247.2631249999999</v>
      </c>
      <c r="AJ335" s="711"/>
      <c r="AK335" s="733"/>
      <c r="AL335" s="749">
        <v>1247.2631249999999</v>
      </c>
      <c r="AM335" s="711"/>
      <c r="AN335" s="733"/>
      <c r="AO335" s="749">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v>7272.824908333333</v>
      </c>
      <c r="I336" s="706"/>
      <c r="J336" s="764"/>
      <c r="K336" s="753">
        <v>7060.8431083333326</v>
      </c>
      <c r="L336" s="706"/>
      <c r="M336" s="764"/>
      <c r="N336" s="753">
        <v>7738.2632083333328</v>
      </c>
      <c r="O336" s="706"/>
      <c r="P336" s="764"/>
      <c r="Q336" s="753">
        <v>7507.6174083333326</v>
      </c>
      <c r="R336" s="706"/>
      <c r="S336" s="764"/>
      <c r="T336" s="753">
        <v>9198.8635083333338</v>
      </c>
      <c r="U336" s="706"/>
      <c r="V336" s="764"/>
      <c r="W336" s="753">
        <v>7507.8482083333329</v>
      </c>
      <c r="X336" s="706"/>
      <c r="Y336" s="764"/>
      <c r="Z336" s="753">
        <v>7507.8482083333329</v>
      </c>
      <c r="AA336" s="706"/>
      <c r="AB336" s="764"/>
      <c r="AC336" s="753">
        <v>7120.7510083333327</v>
      </c>
      <c r="AD336" s="706"/>
      <c r="AE336" s="764"/>
      <c r="AF336" s="753">
        <v>7332.7328083333323</v>
      </c>
      <c r="AG336" s="706"/>
      <c r="AH336" s="764"/>
      <c r="AI336" s="753">
        <v>7867.0648083333326</v>
      </c>
      <c r="AJ336" s="706"/>
      <c r="AK336" s="764"/>
      <c r="AL336" s="753">
        <v>8314.0699083333329</v>
      </c>
      <c r="AM336" s="706"/>
      <c r="AN336" s="764"/>
      <c r="AO336" s="753">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v>126</v>
      </c>
      <c r="I337" s="711"/>
      <c r="J337" s="733"/>
      <c r="K337" s="749">
        <v>120</v>
      </c>
      <c r="L337" s="711"/>
      <c r="M337" s="733"/>
      <c r="N337" s="749">
        <v>132</v>
      </c>
      <c r="O337" s="711"/>
      <c r="P337" s="733"/>
      <c r="Q337" s="749">
        <v>126</v>
      </c>
      <c r="R337" s="711"/>
      <c r="S337" s="733"/>
      <c r="T337" s="749">
        <v>120</v>
      </c>
      <c r="U337" s="711"/>
      <c r="V337" s="733"/>
      <c r="W337" s="749">
        <v>126</v>
      </c>
      <c r="X337" s="711"/>
      <c r="Y337" s="733"/>
      <c r="Z337" s="749">
        <v>132</v>
      </c>
      <c r="AA337" s="711"/>
      <c r="AB337" s="733"/>
      <c r="AC337" s="749">
        <v>126</v>
      </c>
      <c r="AD337" s="711"/>
      <c r="AE337" s="733"/>
      <c r="AF337" s="749">
        <v>126</v>
      </c>
      <c r="AG337" s="711"/>
      <c r="AH337" s="733"/>
      <c r="AI337" s="749">
        <v>126</v>
      </c>
      <c r="AJ337" s="711"/>
      <c r="AK337" s="733"/>
      <c r="AL337" s="749">
        <v>126</v>
      </c>
      <c r="AM337" s="711"/>
      <c r="AN337" s="733"/>
      <c r="AO337" s="749">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v>170</v>
      </c>
      <c r="I338" s="711"/>
      <c r="J338" s="733"/>
      <c r="K338" s="749">
        <v>170</v>
      </c>
      <c r="L338" s="711"/>
      <c r="M338" s="733"/>
      <c r="N338" s="749">
        <v>170</v>
      </c>
      <c r="O338" s="711"/>
      <c r="P338" s="733"/>
      <c r="Q338" s="749">
        <v>170</v>
      </c>
      <c r="R338" s="711"/>
      <c r="S338" s="733"/>
      <c r="T338" s="749">
        <v>170</v>
      </c>
      <c r="U338" s="711"/>
      <c r="V338" s="733"/>
      <c r="W338" s="749">
        <v>170</v>
      </c>
      <c r="X338" s="711"/>
      <c r="Y338" s="733"/>
      <c r="Z338" s="749">
        <v>170</v>
      </c>
      <c r="AA338" s="711"/>
      <c r="AB338" s="733"/>
      <c r="AC338" s="749">
        <v>170</v>
      </c>
      <c r="AD338" s="711"/>
      <c r="AE338" s="733"/>
      <c r="AF338" s="749">
        <v>170</v>
      </c>
      <c r="AG338" s="711"/>
      <c r="AH338" s="733"/>
      <c r="AI338" s="749">
        <v>170</v>
      </c>
      <c r="AJ338" s="711"/>
      <c r="AK338" s="733"/>
      <c r="AL338" s="749">
        <v>170</v>
      </c>
      <c r="AM338" s="711"/>
      <c r="AN338" s="733"/>
      <c r="AO338" s="749">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v>545</v>
      </c>
      <c r="I339" s="711"/>
      <c r="J339" s="733"/>
      <c r="K339" s="749">
        <v>545</v>
      </c>
      <c r="L339" s="711"/>
      <c r="M339" s="733"/>
      <c r="N339" s="749">
        <v>545</v>
      </c>
      <c r="O339" s="711"/>
      <c r="P339" s="733"/>
      <c r="Q339" s="749">
        <v>545</v>
      </c>
      <c r="R339" s="711"/>
      <c r="S339" s="733"/>
      <c r="T339" s="749">
        <v>545</v>
      </c>
      <c r="U339" s="711"/>
      <c r="V339" s="733"/>
      <c r="W339" s="749">
        <v>545</v>
      </c>
      <c r="X339" s="711"/>
      <c r="Y339" s="733"/>
      <c r="Z339" s="749">
        <v>545</v>
      </c>
      <c r="AA339" s="711"/>
      <c r="AB339" s="733"/>
      <c r="AC339" s="749">
        <v>545</v>
      </c>
      <c r="AD339" s="711"/>
      <c r="AE339" s="733"/>
      <c r="AF339" s="749">
        <v>545</v>
      </c>
      <c r="AG339" s="711"/>
      <c r="AH339" s="733"/>
      <c r="AI339" s="749">
        <v>545</v>
      </c>
      <c r="AJ339" s="711"/>
      <c r="AK339" s="733"/>
      <c r="AL339" s="749">
        <v>545</v>
      </c>
      <c r="AM339" s="711"/>
      <c r="AN339" s="733"/>
      <c r="AO339" s="749">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v>452.27499999999998</v>
      </c>
      <c r="I340" s="711"/>
      <c r="J340" s="733"/>
      <c r="K340" s="749">
        <v>452.27499999999998</v>
      </c>
      <c r="L340" s="711"/>
      <c r="M340" s="733"/>
      <c r="N340" s="749">
        <v>452.27499999999998</v>
      </c>
      <c r="O340" s="711"/>
      <c r="P340" s="733"/>
      <c r="Q340" s="749">
        <v>452.27499999999998</v>
      </c>
      <c r="R340" s="711"/>
      <c r="S340" s="733"/>
      <c r="T340" s="749">
        <v>452.27499999999998</v>
      </c>
      <c r="U340" s="711"/>
      <c r="V340" s="733"/>
      <c r="W340" s="749">
        <v>452.27499999999998</v>
      </c>
      <c r="X340" s="711"/>
      <c r="Y340" s="733"/>
      <c r="Z340" s="749">
        <v>452.27499999999998</v>
      </c>
      <c r="AA340" s="711"/>
      <c r="AB340" s="733"/>
      <c r="AC340" s="749">
        <v>452.27499999999998</v>
      </c>
      <c r="AD340" s="711"/>
      <c r="AE340" s="733"/>
      <c r="AF340" s="749">
        <v>452.27499999999998</v>
      </c>
      <c r="AG340" s="711"/>
      <c r="AH340" s="733"/>
      <c r="AI340" s="749">
        <v>452.27499999999998</v>
      </c>
      <c r="AJ340" s="711"/>
      <c r="AK340" s="733"/>
      <c r="AL340" s="749">
        <v>452.27499999999998</v>
      </c>
      <c r="AM340" s="711"/>
      <c r="AN340" s="733"/>
      <c r="AO340" s="749">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v>216.25</v>
      </c>
      <c r="I341" s="711"/>
      <c r="J341" s="733"/>
      <c r="K341" s="749">
        <v>216.25</v>
      </c>
      <c r="L341" s="711"/>
      <c r="M341" s="733"/>
      <c r="N341" s="749">
        <v>216.25</v>
      </c>
      <c r="O341" s="711"/>
      <c r="P341" s="733"/>
      <c r="Q341" s="749">
        <v>216.25</v>
      </c>
      <c r="R341" s="711"/>
      <c r="S341" s="733"/>
      <c r="T341" s="749">
        <v>216.25</v>
      </c>
      <c r="U341" s="711"/>
      <c r="V341" s="733"/>
      <c r="W341" s="749">
        <v>216.25</v>
      </c>
      <c r="X341" s="711"/>
      <c r="Y341" s="733"/>
      <c r="Z341" s="749">
        <v>216.25</v>
      </c>
      <c r="AA341" s="711"/>
      <c r="AB341" s="733"/>
      <c r="AC341" s="749">
        <v>216.25</v>
      </c>
      <c r="AD341" s="711"/>
      <c r="AE341" s="733"/>
      <c r="AF341" s="749">
        <v>216.25</v>
      </c>
      <c r="AG341" s="711"/>
      <c r="AH341" s="733"/>
      <c r="AI341" s="749">
        <v>216.25</v>
      </c>
      <c r="AJ341" s="711"/>
      <c r="AK341" s="733"/>
      <c r="AL341" s="749">
        <v>216.25</v>
      </c>
      <c r="AM341" s="711"/>
      <c r="AN341" s="733"/>
      <c r="AO341" s="749">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v>897.75</v>
      </c>
      <c r="I342" s="711"/>
      <c r="J342" s="733"/>
      <c r="K342" s="749">
        <v>897.75</v>
      </c>
      <c r="L342" s="711"/>
      <c r="M342" s="733"/>
      <c r="N342" s="749">
        <v>897.75</v>
      </c>
      <c r="O342" s="711"/>
      <c r="P342" s="733"/>
      <c r="Q342" s="749">
        <v>897.75</v>
      </c>
      <c r="R342" s="711"/>
      <c r="S342" s="733"/>
      <c r="T342" s="749">
        <v>897.75</v>
      </c>
      <c r="U342" s="711"/>
      <c r="V342" s="733"/>
      <c r="W342" s="749">
        <v>897.75</v>
      </c>
      <c r="X342" s="711"/>
      <c r="Y342" s="733"/>
      <c r="Z342" s="749">
        <v>897.75</v>
      </c>
      <c r="AA342" s="711"/>
      <c r="AB342" s="733"/>
      <c r="AC342" s="749">
        <v>897.75</v>
      </c>
      <c r="AD342" s="711"/>
      <c r="AE342" s="733"/>
      <c r="AF342" s="749">
        <v>897.75</v>
      </c>
      <c r="AG342" s="711"/>
      <c r="AH342" s="733"/>
      <c r="AI342" s="749">
        <v>897.75</v>
      </c>
      <c r="AJ342" s="711"/>
      <c r="AK342" s="733"/>
      <c r="AL342" s="749">
        <v>897.75</v>
      </c>
      <c r="AM342" s="711"/>
      <c r="AN342" s="733"/>
      <c r="AO342" s="749">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v>247.14583333333334</v>
      </c>
      <c r="I343" s="711"/>
      <c r="J343" s="733"/>
      <c r="K343" s="749">
        <v>247.14583333333334</v>
      </c>
      <c r="L343" s="711"/>
      <c r="M343" s="733"/>
      <c r="N343" s="749">
        <v>247.14583333333334</v>
      </c>
      <c r="O343" s="711"/>
      <c r="P343" s="733"/>
      <c r="Q343" s="749">
        <v>247.14583333333334</v>
      </c>
      <c r="R343" s="711"/>
      <c r="S343" s="733"/>
      <c r="T343" s="749">
        <v>247.14583333333334</v>
      </c>
      <c r="U343" s="711"/>
      <c r="V343" s="733"/>
      <c r="W343" s="749">
        <v>247.14583333333334</v>
      </c>
      <c r="X343" s="711"/>
      <c r="Y343" s="733"/>
      <c r="Z343" s="749">
        <v>247.14583333333334</v>
      </c>
      <c r="AA343" s="711"/>
      <c r="AB343" s="733"/>
      <c r="AC343" s="749">
        <v>247.14583333333334</v>
      </c>
      <c r="AD343" s="711"/>
      <c r="AE343" s="733"/>
      <c r="AF343" s="749">
        <v>247.14583333333334</v>
      </c>
      <c r="AG343" s="711"/>
      <c r="AH343" s="733"/>
      <c r="AI343" s="749">
        <v>247.14583333333334</v>
      </c>
      <c r="AJ343" s="711"/>
      <c r="AK343" s="733"/>
      <c r="AL343" s="749">
        <v>247.14583333333334</v>
      </c>
      <c r="AM343" s="711"/>
      <c r="AN343" s="733"/>
      <c r="AO343" s="749">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v>1630.9951819211053</v>
      </c>
      <c r="I344" s="711"/>
      <c r="J344" s="733"/>
      <c r="K344" s="749">
        <v>1406.8338933847535</v>
      </c>
      <c r="L344" s="711"/>
      <c r="M344" s="733"/>
      <c r="N344" s="749">
        <v>1627.5891855146688</v>
      </c>
      <c r="O344" s="711"/>
      <c r="P344" s="733"/>
      <c r="Q344" s="749">
        <v>3128.8953456979134</v>
      </c>
      <c r="R344" s="711"/>
      <c r="S344" s="733"/>
      <c r="T344" s="749">
        <v>2867.7010940528189</v>
      </c>
      <c r="U344" s="711"/>
      <c r="V344" s="733"/>
      <c r="W344" s="749">
        <v>1895.4593382359283</v>
      </c>
      <c r="X344" s="711"/>
      <c r="Y344" s="733"/>
      <c r="Z344" s="749">
        <v>1787.0140289781664</v>
      </c>
      <c r="AA344" s="711"/>
      <c r="AB344" s="733"/>
      <c r="AC344" s="749">
        <v>1969.6719311009003</v>
      </c>
      <c r="AD344" s="711"/>
      <c r="AE344" s="733"/>
      <c r="AF344" s="749">
        <v>1491.6343899182989</v>
      </c>
      <c r="AG344" s="711"/>
      <c r="AH344" s="733"/>
      <c r="AI344" s="749">
        <v>2796.126826179277</v>
      </c>
      <c r="AJ344" s="711"/>
      <c r="AK344" s="733"/>
      <c r="AL344" s="749">
        <v>4068.8513498448642</v>
      </c>
      <c r="AM344" s="711"/>
      <c r="AN344" s="733"/>
      <c r="AO344" s="749">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22" t="s">
        <v>1639</v>
      </c>
      <c r="D357" s="1123"/>
      <c r="E357" s="1124"/>
      <c r="F357" s="1122" t="s">
        <v>1934</v>
      </c>
      <c r="G357" s="1123"/>
      <c r="H357" s="1124"/>
      <c r="I357" s="1122" t="s">
        <v>1935</v>
      </c>
      <c r="J357" s="1123"/>
      <c r="K357" s="1124"/>
      <c r="L357" s="1122" t="s">
        <v>1936</v>
      </c>
      <c r="M357" s="1123"/>
      <c r="N357" s="1124"/>
      <c r="O357" s="1122" t="s">
        <v>1937</v>
      </c>
      <c r="P357" s="1123"/>
      <c r="Q357" s="1124"/>
      <c r="R357" s="1122" t="s">
        <v>1938</v>
      </c>
      <c r="S357" s="1123"/>
      <c r="T357" s="1124"/>
      <c r="U357" s="1122" t="s">
        <v>1916</v>
      </c>
      <c r="V357" s="1123"/>
      <c r="W357" s="1124"/>
      <c r="X357" s="1122" t="s">
        <v>1939</v>
      </c>
      <c r="Y357" s="1123"/>
      <c r="Z357" s="1124"/>
      <c r="AA357" s="1122" t="s">
        <v>1940</v>
      </c>
      <c r="AB357" s="1123"/>
      <c r="AC357" s="1124"/>
      <c r="AD357" s="1122" t="s">
        <v>3</v>
      </c>
      <c r="AE357" s="1123"/>
      <c r="AF357" s="1124"/>
      <c r="AG357" s="1122" t="s">
        <v>1941</v>
      </c>
      <c r="AH357" s="1123"/>
      <c r="AI357" s="1124"/>
      <c r="AJ357" s="1122" t="s">
        <v>1942</v>
      </c>
      <c r="AK357" s="1123"/>
      <c r="AL357" s="1124"/>
      <c r="AM357" s="1122" t="s">
        <v>1943</v>
      </c>
      <c r="AN357" s="1123"/>
      <c r="AO357" s="1124"/>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22" t="s">
        <v>1639</v>
      </c>
      <c r="D403" s="1123"/>
      <c r="E403" s="1124"/>
      <c r="F403" s="1122" t="s">
        <v>1934</v>
      </c>
      <c r="G403" s="1123"/>
      <c r="H403" s="1124"/>
      <c r="I403" s="1122" t="s">
        <v>1935</v>
      </c>
      <c r="J403" s="1123"/>
      <c r="K403" s="1124"/>
      <c r="L403" s="1122" t="s">
        <v>1936</v>
      </c>
      <c r="M403" s="1123"/>
      <c r="N403" s="1124"/>
      <c r="O403" s="1122" t="s">
        <v>1937</v>
      </c>
      <c r="P403" s="1123"/>
      <c r="Q403" s="1124"/>
      <c r="R403" s="1122" t="s">
        <v>1938</v>
      </c>
      <c r="S403" s="1123"/>
      <c r="T403" s="1124"/>
      <c r="U403" s="1122" t="s">
        <v>1916</v>
      </c>
      <c r="V403" s="1123"/>
      <c r="W403" s="1124"/>
      <c r="X403" s="1122" t="s">
        <v>1939</v>
      </c>
      <c r="Y403" s="1123"/>
      <c r="Z403" s="1124"/>
      <c r="AA403" s="1122" t="s">
        <v>1940</v>
      </c>
      <c r="AB403" s="1123"/>
      <c r="AC403" s="1124"/>
      <c r="AD403" s="1122" t="s">
        <v>3</v>
      </c>
      <c r="AE403" s="1123"/>
      <c r="AF403" s="1124"/>
      <c r="AG403" s="1122" t="s">
        <v>1941</v>
      </c>
      <c r="AH403" s="1123"/>
      <c r="AI403" s="1124"/>
      <c r="AJ403" s="1122" t="s">
        <v>1942</v>
      </c>
      <c r="AK403" s="1123"/>
      <c r="AL403" s="1124"/>
      <c r="AM403" s="1122" t="s">
        <v>1943</v>
      </c>
      <c r="AN403" s="1123"/>
      <c r="AO403" s="1124"/>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6096959.801147907</v>
      </c>
      <c r="F406" s="877"/>
      <c r="G406" s="878"/>
      <c r="H406" s="879">
        <f>H30+H110+H196+H251+H314+H361</f>
        <v>413280.60047496704</v>
      </c>
      <c r="I406" s="877"/>
      <c r="J406" s="878"/>
      <c r="K406" s="879">
        <f>K30+K110+K196+K251+K314+K361</f>
        <v>395245.86571865913</v>
      </c>
      <c r="L406" s="877"/>
      <c r="M406" s="878"/>
      <c r="N406" s="879">
        <f>N30+N110+N196+N251+N314+N361</f>
        <v>447448.36001540109</v>
      </c>
      <c r="O406" s="877"/>
      <c r="P406" s="878"/>
      <c r="Q406" s="879">
        <f>Q30+Q110+Q196+Q251+Q314+Q361</f>
        <v>545848.99954707432</v>
      </c>
      <c r="R406" s="877"/>
      <c r="S406" s="878"/>
      <c r="T406" s="879">
        <f>T30+T110+T196+T251+T314+T361</f>
        <v>640640.25587218278</v>
      </c>
      <c r="U406" s="877"/>
      <c r="V406" s="878"/>
      <c r="W406" s="879">
        <f>W30+W110+W196+W251+W314+W361</f>
        <v>499977.1209279109</v>
      </c>
      <c r="X406" s="877"/>
      <c r="Y406" s="878"/>
      <c r="Z406" s="879">
        <f>Z30+Z110+Z196+Z251+Z314+Z361</f>
        <v>515749.65301674046</v>
      </c>
      <c r="AA406" s="877"/>
      <c r="AB406" s="878"/>
      <c r="AC406" s="879">
        <f>AC30+AC110+AC196+AC251+AC314+AC361</f>
        <v>544131.00911837327</v>
      </c>
      <c r="AD406" s="877"/>
      <c r="AE406" s="878"/>
      <c r="AF406" s="879">
        <f>AF30+AF110+AF196+AF251+AF314+AF361</f>
        <v>484188.3246103251</v>
      </c>
      <c r="AG406" s="877"/>
      <c r="AH406" s="878"/>
      <c r="AI406" s="879">
        <f>AI30+AI110+AI196+AI251+AI314+AI361</f>
        <v>621205.09575778607</v>
      </c>
      <c r="AJ406" s="877"/>
      <c r="AK406" s="878"/>
      <c r="AL406" s="879">
        <f>AL30+AL110+AL196+AL251+AL314+AL361</f>
        <v>628835.68409121572</v>
      </c>
      <c r="AM406" s="877"/>
      <c r="AN406" s="878"/>
      <c r="AO406" s="879">
        <f>AO30+AO110+AO196+AO251+AO314+AO361</f>
        <v>360408.83199727139</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0.44829106572451843</v>
      </c>
      <c r="D408" s="886">
        <f>IF(E408=0,0,E408/(C$16+C$99+C18+C20))</f>
        <v>397.8775773195876</v>
      </c>
      <c r="E408" s="883">
        <f t="shared" ref="E408:E417" si="106">+SUM(H408,K408,N408,Q408,T408,W408,Z408,AC408,AF408,AI408,AL408,AO408)</f>
        <v>463129.5</v>
      </c>
      <c r="F408" s="884"/>
      <c r="G408" s="886">
        <f t="shared" ref="G408:G414" si="107">IF(H408=0,0,H408/(F$16+F$99))</f>
        <v>455.58860949975389</v>
      </c>
      <c r="H408" s="883">
        <f t="shared" ref="H408:H417" si="108">+SUMIF($B$4:$B$398,$B408,H$4:H$398)</f>
        <v>34467.450637893795</v>
      </c>
      <c r="I408" s="884"/>
      <c r="J408" s="886">
        <f t="shared" ref="J408:J414" si="109">IF(K408=0,0,K408/(I$16+I$99))</f>
        <v>472.38120934786303</v>
      </c>
      <c r="K408" s="883">
        <f t="shared" ref="K408:K417" si="110">+SUMIF($B$4:$B$398,$B408,K$4:K$398)</f>
        <v>30134.362287755604</v>
      </c>
      <c r="L408" s="884"/>
      <c r="M408" s="886">
        <f t="shared" ref="M408:M414" si="111">IF(N408=0,0,N408/(L$16+L$99))</f>
        <v>447.03837620673994</v>
      </c>
      <c r="N408" s="883">
        <f t="shared" ref="N408:N417" si="112">+SUMIF($B$4:$B$398,$B408,N$4:N$398)</f>
        <v>36641.020471478783</v>
      </c>
      <c r="O408" s="884"/>
      <c r="P408" s="886">
        <f t="shared" ref="P408:P414" si="113">IF(Q408=0,0,Q408/(O$16+O$99))</f>
        <v>420.22465912639564</v>
      </c>
      <c r="Q408" s="883">
        <f t="shared" ref="Q408:Q417" si="114">+SUMIF($B$4:$B$398,$B408,Q$4:Q$398)</f>
        <v>40210.849310440237</v>
      </c>
      <c r="R408" s="884"/>
      <c r="S408" s="886">
        <f t="shared" ref="S408:S414" si="115">IF(T408=0,0,T408/(R$16+R$99))</f>
        <v>390.27675661818603</v>
      </c>
      <c r="T408" s="883">
        <f t="shared" ref="T408:T417" si="116">+SUMIF($B$4:$B$398,$B408,T$4:T$398)</f>
        <v>48061.698428145974</v>
      </c>
      <c r="U408" s="884"/>
      <c r="V408" s="886">
        <f t="shared" ref="V408:V414" si="117">IF(W408=0,0,W408/(U$16+U$99))</f>
        <v>419.16824916118219</v>
      </c>
      <c r="W408" s="883">
        <f t="shared" ref="W408:W417" si="118">+SUMIF($B$4:$B$398,$B408,W$4:W$398)</f>
        <v>39738.692223387668</v>
      </c>
      <c r="X408" s="884"/>
      <c r="Y408" s="886">
        <f t="shared" ref="Y408:Y414" si="119">IF(Z408=0,0,Z408/(X$16+X$99))</f>
        <v>422.38398706407628</v>
      </c>
      <c r="Z408" s="883">
        <f t="shared" ref="Z408:Z417" si="120">+SUMIF($B$4:$B$398,$B408,Z$4:Z$398)</f>
        <v>40197.978360782246</v>
      </c>
      <c r="AA408" s="884"/>
      <c r="AB408" s="886">
        <f t="shared" ref="AB408:AB414" si="121">IF(AC408=0,0,AC408/(AA$16+AA$99))</f>
        <v>413.12269668516979</v>
      </c>
      <c r="AC408" s="883">
        <f t="shared" ref="AC408:AC417" si="122">+SUMIF($B$4:$B$398,$B408,AC$4:AC$398)</f>
        <v>41196.041699102789</v>
      </c>
      <c r="AD408" s="884"/>
      <c r="AE408" s="886">
        <f t="shared" ref="AE408:AE414" si="123">IF(AF408=0,0,AF408/(AD$16+AD$99))</f>
        <v>417.89406053041449</v>
      </c>
      <c r="AF408" s="883">
        <f t="shared" ref="AF408:AF417" si="124">+SUMIF($B$4:$B$398,$B408,AF$4:AF$398)</f>
        <v>41124.111394242362</v>
      </c>
      <c r="AG408" s="884"/>
      <c r="AH408" s="886">
        <f t="shared" ref="AH408:AH414" si="125">IF(AI408=0,0,AI408/(AG$16+AG$99))</f>
        <v>391.36370699935725</v>
      </c>
      <c r="AI408" s="883">
        <f t="shared" ref="AI408:AI417" si="126">+SUMIF($B$4:$B$398,$B408,AI$4:AI$398)</f>
        <v>49062.70010806495</v>
      </c>
      <c r="AJ408" s="884"/>
      <c r="AK408" s="886">
        <f t="shared" ref="AK408:AK414" si="127">IF(AL408=0,0,AL408/(AJ$16+AJ$99))</f>
        <v>429.24925889758339</v>
      </c>
      <c r="AL408" s="883">
        <f t="shared" ref="AL408:AL417" si="128">+SUMIF($B$4:$B$398,$B408,AL$4:AL$398)</f>
        <v>36969.146652835443</v>
      </c>
      <c r="AM408" s="884"/>
      <c r="AN408" s="886">
        <f t="shared" ref="AN408:AN414" si="129">IF(AO408=0,0,AO408/(AM$16+AM$99))</f>
        <v>504.85296152113261</v>
      </c>
      <c r="AO408" s="883">
        <f t="shared" ref="AO408:AO417" si="130">+SUMIF($B$4:$B$398,$B408,AO$4:AO$398)</f>
        <v>25325.448425870156</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174.0878521986472</v>
      </c>
      <c r="E414" s="883">
        <f t="shared" si="106"/>
        <v>189755.75889652545</v>
      </c>
      <c r="F414" s="884"/>
      <c r="G414" s="886">
        <f t="shared" si="107"/>
        <v>197.05966590141205</v>
      </c>
      <c r="H414" s="883">
        <f t="shared" si="108"/>
        <v>14908.503341720248</v>
      </c>
      <c r="I414" s="884"/>
      <c r="J414" s="886">
        <f t="shared" si="109"/>
        <v>235.50011068263615</v>
      </c>
      <c r="K414" s="883">
        <f t="shared" si="110"/>
        <v>15023.132829339766</v>
      </c>
      <c r="L414" s="884"/>
      <c r="M414" s="886">
        <f t="shared" si="111"/>
        <v>193.25422354483004</v>
      </c>
      <c r="N414" s="883">
        <f t="shared" si="112"/>
        <v>15839.874914522146</v>
      </c>
      <c r="O414" s="884"/>
      <c r="P414" s="886">
        <f t="shared" si="113"/>
        <v>175.05617999055076</v>
      </c>
      <c r="Q414" s="883">
        <f t="shared" si="114"/>
        <v>16750.939102657692</v>
      </c>
      <c r="R414" s="884"/>
      <c r="S414" s="886">
        <f t="shared" si="115"/>
        <v>135.18711698183972</v>
      </c>
      <c r="T414" s="883">
        <f t="shared" si="116"/>
        <v>16647.987197731345</v>
      </c>
      <c r="U414" s="884"/>
      <c r="V414" s="886">
        <f t="shared" si="117"/>
        <v>167.59274863875387</v>
      </c>
      <c r="W414" s="883">
        <f t="shared" si="118"/>
        <v>15888.409177828937</v>
      </c>
      <c r="X414" s="884"/>
      <c r="Y414" s="886">
        <f t="shared" si="119"/>
        <v>168.11237327265729</v>
      </c>
      <c r="Z414" s="883">
        <f t="shared" si="120"/>
        <v>15999.132897926031</v>
      </c>
      <c r="AA414" s="884"/>
      <c r="AB414" s="886">
        <f t="shared" si="121"/>
        <v>162.57190167148033</v>
      </c>
      <c r="AC414" s="883">
        <f t="shared" si="122"/>
        <v>16211.452176554214</v>
      </c>
      <c r="AD414" s="884"/>
      <c r="AE414" s="886">
        <f t="shared" si="123"/>
        <v>171.66232233858355</v>
      </c>
      <c r="AF414" s="883">
        <f t="shared" si="124"/>
        <v>16892.942812075355</v>
      </c>
      <c r="AG414" s="884"/>
      <c r="AH414" s="886">
        <f t="shared" si="125"/>
        <v>130.90402016627124</v>
      </c>
      <c r="AI414" s="883">
        <f t="shared" si="126"/>
        <v>16410.578113131989</v>
      </c>
      <c r="AJ414" s="884"/>
      <c r="AK414" s="886">
        <f t="shared" si="127"/>
        <v>169.38705614726231</v>
      </c>
      <c r="AL414" s="883">
        <f t="shared" si="128"/>
        <v>14588.481610621289</v>
      </c>
      <c r="AM414" s="884"/>
      <c r="AN414" s="886">
        <f t="shared" si="129"/>
        <v>290.93218542920567</v>
      </c>
      <c r="AO414" s="883">
        <f t="shared" si="130"/>
        <v>14594.324722416479</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0.24107585786859678</v>
      </c>
      <c r="D418" s="938">
        <f>SUM(D408:D414)</f>
        <v>1321.4558474591113</v>
      </c>
      <c r="E418" s="893">
        <f>SUM(E408:E414)</f>
        <v>1469829.814452081</v>
      </c>
      <c r="F418" s="891">
        <f>IFERROR(H418/H406,0)</f>
        <v>0.25639299652245567</v>
      </c>
      <c r="G418" s="892"/>
      <c r="H418" s="893">
        <f>SUM(H408:H414)</f>
        <v>105962.25156037661</v>
      </c>
      <c r="I418" s="891">
        <f>IFERROR(K418/K406,0)</f>
        <v>0.23538796213031091</v>
      </c>
      <c r="J418" s="892"/>
      <c r="K418" s="893">
        <f>SUM(K408:K414)</f>
        <v>93036.118871945684</v>
      </c>
      <c r="L418" s="891">
        <f>IFERROR(N418/N406,0)</f>
        <v>0.25438767185717603</v>
      </c>
      <c r="M418" s="892"/>
      <c r="N418" s="893">
        <f>SUM(N408:N414)</f>
        <v>113825.34658062943</v>
      </c>
      <c r="O418" s="891">
        <f>IFERROR(Q418/Q406,0)</f>
        <v>0.23567900627868238</v>
      </c>
      <c r="P418" s="892"/>
      <c r="Q418" s="893">
        <f>SUM(Q408:Q414)</f>
        <v>128645.14979146743</v>
      </c>
      <c r="R418" s="891">
        <f>IFERROR(T418/T406,0)</f>
        <v>0.24497185269000951</v>
      </c>
      <c r="S418" s="892"/>
      <c r="T418" s="893">
        <f>SUM(T408:T414)</f>
        <v>156938.83038881037</v>
      </c>
      <c r="U418" s="891">
        <f>IFERROR(W418/W406,0)</f>
        <v>0.25347927875103177</v>
      </c>
      <c r="V418" s="892"/>
      <c r="W418" s="893">
        <f>SUM(W408:W414)</f>
        <v>126733.84000482425</v>
      </c>
      <c r="X418" s="891">
        <f>IFERROR(Z418/Z406,0)</f>
        <v>0.24738250306210138</v>
      </c>
      <c r="Y418" s="892"/>
      <c r="Z418" s="893">
        <f>SUM(Z408:Z414)</f>
        <v>127587.44011669152</v>
      </c>
      <c r="AA418" s="891">
        <f>IFERROR(AC418/AC406,0)</f>
        <v>0.24295247263163064</v>
      </c>
      <c r="AB418" s="892"/>
      <c r="AC418" s="893">
        <f>SUM(AC408:AC414)</f>
        <v>132197.97410085314</v>
      </c>
      <c r="AD418" s="891">
        <f>IFERROR(AF418/AF406,0)</f>
        <v>0.27198916515712301</v>
      </c>
      <c r="AE418" s="892"/>
      <c r="AF418" s="893">
        <f>SUM(AF408:AF414)</f>
        <v>131693.97818958841</v>
      </c>
      <c r="AG418" s="891">
        <f>IFERROR(AI418/AI406,0)</f>
        <v>0.2565585815113493</v>
      </c>
      <c r="AH418" s="892"/>
      <c r="AI418" s="893">
        <f>SUM(AI408:AI414)</f>
        <v>159375.49819523952</v>
      </c>
      <c r="AJ418" s="891">
        <f>IFERROR(AL418/AL406,0)</f>
        <v>0.18485141476045258</v>
      </c>
      <c r="AK418" s="892"/>
      <c r="AL418" s="893">
        <f>SUM(AL408:AL414)</f>
        <v>116241.16585611826</v>
      </c>
      <c r="AM418" s="891">
        <f>IFERROR(AO418/AO406,0)</f>
        <v>0.21528945438308178</v>
      </c>
      <c r="AN418" s="892"/>
      <c r="AO418" s="893">
        <f>SUM(AO408:AO414)</f>
        <v>77592.220795536341</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v>0</v>
      </c>
      <c r="I419" s="884"/>
      <c r="J419" s="886"/>
      <c r="K419" s="894">
        <v>0</v>
      </c>
      <c r="L419" s="884"/>
      <c r="M419" s="886"/>
      <c r="N419" s="894">
        <v>0</v>
      </c>
      <c r="O419" s="884"/>
      <c r="P419" s="886"/>
      <c r="Q419" s="894">
        <v>0</v>
      </c>
      <c r="R419" s="884"/>
      <c r="S419" s="886"/>
      <c r="T419" s="894">
        <v>0</v>
      </c>
      <c r="U419" s="884"/>
      <c r="V419" s="886"/>
      <c r="W419" s="894">
        <v>0</v>
      </c>
      <c r="X419" s="884"/>
      <c r="Y419" s="886"/>
      <c r="Z419" s="894">
        <v>0</v>
      </c>
      <c r="AA419" s="884"/>
      <c r="AB419" s="886"/>
      <c r="AC419" s="894">
        <v>0</v>
      </c>
      <c r="AD419" s="884"/>
      <c r="AE419" s="886"/>
      <c r="AF419" s="894">
        <v>0</v>
      </c>
      <c r="AG419" s="884"/>
      <c r="AH419" s="886"/>
      <c r="AI419" s="894">
        <v>0</v>
      </c>
      <c r="AJ419" s="884"/>
      <c r="AK419" s="886"/>
      <c r="AL419" s="894">
        <v>0</v>
      </c>
      <c r="AM419" s="884"/>
      <c r="AN419" s="886"/>
      <c r="AO419" s="894">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440242.52645026136</v>
      </c>
      <c r="F427" s="872"/>
      <c r="G427" s="888"/>
      <c r="H427" s="875">
        <f t="shared" si="133"/>
        <v>34942.936938664985</v>
      </c>
      <c r="I427" s="872"/>
      <c r="J427" s="888"/>
      <c r="K427" s="875">
        <f t="shared" si="134"/>
        <v>33035.833737292531</v>
      </c>
      <c r="L427" s="872"/>
      <c r="M427" s="888"/>
      <c r="N427" s="875">
        <f t="shared" si="135"/>
        <v>37360.994528538766</v>
      </c>
      <c r="O427" s="872"/>
      <c r="P427" s="888"/>
      <c r="Q427" s="875">
        <f t="shared" si="136"/>
        <v>36623.008976066805</v>
      </c>
      <c r="R427" s="872"/>
      <c r="S427" s="888"/>
      <c r="T427" s="875">
        <f t="shared" si="137"/>
        <v>38980.622451867996</v>
      </c>
      <c r="U427" s="872"/>
      <c r="V427" s="888"/>
      <c r="W427" s="875">
        <f t="shared" si="138"/>
        <v>37357.171272987172</v>
      </c>
      <c r="X427" s="872"/>
      <c r="Y427" s="888"/>
      <c r="Z427" s="875">
        <f t="shared" si="139"/>
        <v>37875.442230895795</v>
      </c>
      <c r="AA427" s="872"/>
      <c r="AB427" s="888"/>
      <c r="AC427" s="875">
        <f t="shared" si="140"/>
        <v>37746.060042308891</v>
      </c>
      <c r="AD427" s="872"/>
      <c r="AE427" s="888"/>
      <c r="AF427" s="875">
        <f t="shared" si="141"/>
        <v>37489.756790823893</v>
      </c>
      <c r="AG427" s="872"/>
      <c r="AH427" s="888"/>
      <c r="AI427" s="875">
        <f t="shared" si="142"/>
        <v>38945.406447591777</v>
      </c>
      <c r="AJ427" s="872"/>
      <c r="AK427" s="888"/>
      <c r="AL427" s="875">
        <f t="shared" si="143"/>
        <v>36765.058721711073</v>
      </c>
      <c r="AM427" s="872"/>
      <c r="AN427" s="888"/>
      <c r="AO427" s="875">
        <f t="shared" si="144"/>
        <v>33120.234311511602</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440242.52645026136</v>
      </c>
      <c r="F428" s="884"/>
      <c r="G428" s="886"/>
      <c r="H428" s="883">
        <f t="shared" si="133"/>
        <v>34942.936938664985</v>
      </c>
      <c r="I428" s="884"/>
      <c r="J428" s="886"/>
      <c r="K428" s="883">
        <f t="shared" si="134"/>
        <v>33035.833737292531</v>
      </c>
      <c r="L428" s="884"/>
      <c r="M428" s="886"/>
      <c r="N428" s="883">
        <f t="shared" si="135"/>
        <v>37360.994528538766</v>
      </c>
      <c r="O428" s="884"/>
      <c r="P428" s="886"/>
      <c r="Q428" s="883">
        <f t="shared" si="136"/>
        <v>36623.008976066805</v>
      </c>
      <c r="R428" s="884"/>
      <c r="S428" s="886"/>
      <c r="T428" s="883">
        <f t="shared" si="137"/>
        <v>38980.622451867996</v>
      </c>
      <c r="U428" s="884"/>
      <c r="V428" s="886"/>
      <c r="W428" s="883">
        <f t="shared" si="138"/>
        <v>37357.171272987172</v>
      </c>
      <c r="X428" s="884"/>
      <c r="Y428" s="886"/>
      <c r="Z428" s="883">
        <f t="shared" si="139"/>
        <v>37875.442230895795</v>
      </c>
      <c r="AA428" s="884"/>
      <c r="AB428" s="886"/>
      <c r="AC428" s="883">
        <f t="shared" si="140"/>
        <v>37746.060042308891</v>
      </c>
      <c r="AD428" s="884"/>
      <c r="AE428" s="886"/>
      <c r="AF428" s="883">
        <f t="shared" si="141"/>
        <v>37489.756790823893</v>
      </c>
      <c r="AG428" s="884"/>
      <c r="AH428" s="886"/>
      <c r="AI428" s="883">
        <f t="shared" si="142"/>
        <v>38945.406447591777</v>
      </c>
      <c r="AJ428" s="884"/>
      <c r="AK428" s="886"/>
      <c r="AL428" s="883">
        <f t="shared" si="143"/>
        <v>36765.058721711073</v>
      </c>
      <c r="AM428" s="884"/>
      <c r="AN428" s="886"/>
      <c r="AO428" s="883">
        <f t="shared" si="144"/>
        <v>33120.234311511602</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315507.14395602059</v>
      </c>
      <c r="F429" s="884"/>
      <c r="G429" s="886"/>
      <c r="H429" s="883">
        <f t="shared" si="133"/>
        <v>25042.438139376573</v>
      </c>
      <c r="I429" s="884"/>
      <c r="J429" s="886"/>
      <c r="K429" s="883">
        <f t="shared" si="134"/>
        <v>23675.680845059644</v>
      </c>
      <c r="L429" s="884"/>
      <c r="M429" s="886"/>
      <c r="N429" s="883">
        <f t="shared" si="135"/>
        <v>26775.379412119448</v>
      </c>
      <c r="O429" s="884"/>
      <c r="P429" s="886"/>
      <c r="Q429" s="883">
        <f t="shared" si="136"/>
        <v>26246.489766181214</v>
      </c>
      <c r="R429" s="884"/>
      <c r="S429" s="886"/>
      <c r="T429" s="883">
        <f t="shared" si="137"/>
        <v>27936.112757172064</v>
      </c>
      <c r="U429" s="884"/>
      <c r="V429" s="886"/>
      <c r="W429" s="883">
        <f t="shared" si="138"/>
        <v>26772.639412307479</v>
      </c>
      <c r="X429" s="884"/>
      <c r="Y429" s="886"/>
      <c r="Z429" s="883">
        <f t="shared" si="139"/>
        <v>27144.066932141985</v>
      </c>
      <c r="AA429" s="884"/>
      <c r="AB429" s="886"/>
      <c r="AC429" s="883">
        <f t="shared" si="140"/>
        <v>27051.343030321372</v>
      </c>
      <c r="AD429" s="884"/>
      <c r="AE429" s="886"/>
      <c r="AF429" s="883">
        <f t="shared" si="141"/>
        <v>26867.659033423788</v>
      </c>
      <c r="AG429" s="884"/>
      <c r="AH429" s="886"/>
      <c r="AI429" s="883">
        <f t="shared" si="142"/>
        <v>27910.87462077411</v>
      </c>
      <c r="AJ429" s="884"/>
      <c r="AK429" s="886"/>
      <c r="AL429" s="883">
        <f t="shared" si="143"/>
        <v>26348.292083892939</v>
      </c>
      <c r="AM429" s="884"/>
      <c r="AN429" s="886"/>
      <c r="AO429" s="883">
        <f t="shared" si="144"/>
        <v>23736.167923249981</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73373.754408376888</v>
      </c>
      <c r="F430" s="884"/>
      <c r="G430" s="886"/>
      <c r="H430" s="883">
        <f t="shared" si="133"/>
        <v>5823.8228231108315</v>
      </c>
      <c r="I430" s="884"/>
      <c r="J430" s="886"/>
      <c r="K430" s="883">
        <f t="shared" si="134"/>
        <v>5505.9722895487557</v>
      </c>
      <c r="L430" s="884"/>
      <c r="M430" s="886"/>
      <c r="N430" s="883">
        <f t="shared" si="135"/>
        <v>6226.8324214231288</v>
      </c>
      <c r="O430" s="884"/>
      <c r="P430" s="886"/>
      <c r="Q430" s="883">
        <f t="shared" si="136"/>
        <v>6103.8348293444678</v>
      </c>
      <c r="R430" s="884"/>
      <c r="S430" s="886"/>
      <c r="T430" s="883">
        <f t="shared" si="137"/>
        <v>6496.7704086446665</v>
      </c>
      <c r="U430" s="884"/>
      <c r="V430" s="886"/>
      <c r="W430" s="883">
        <f t="shared" si="138"/>
        <v>6226.1952121645299</v>
      </c>
      <c r="X430" s="884"/>
      <c r="Y430" s="886"/>
      <c r="Z430" s="883">
        <f t="shared" si="139"/>
        <v>6312.5737051492997</v>
      </c>
      <c r="AA430" s="884"/>
      <c r="AB430" s="886"/>
      <c r="AC430" s="883">
        <f t="shared" si="140"/>
        <v>6291.0100070514818</v>
      </c>
      <c r="AD430" s="884"/>
      <c r="AE430" s="886"/>
      <c r="AF430" s="883">
        <f t="shared" si="141"/>
        <v>6248.2927984706484</v>
      </c>
      <c r="AG430" s="884"/>
      <c r="AH430" s="886"/>
      <c r="AI430" s="883">
        <f t="shared" si="142"/>
        <v>6490.9010745986307</v>
      </c>
      <c r="AJ430" s="884"/>
      <c r="AK430" s="886"/>
      <c r="AL430" s="883">
        <f t="shared" si="143"/>
        <v>6127.5097869518459</v>
      </c>
      <c r="AM430" s="884"/>
      <c r="AN430" s="886"/>
      <c r="AO430" s="883">
        <f t="shared" si="144"/>
        <v>5520.0390519186003</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0.52162057153951336</v>
      </c>
      <c r="D432" s="896"/>
      <c r="E432" s="893">
        <f>SUM(E419:E430)</f>
        <v>3180299.6561282091</v>
      </c>
      <c r="F432" s="891">
        <f>IFERROR(H432/H406,0)</f>
        <v>0.61847019780244517</v>
      </c>
      <c r="G432" s="896"/>
      <c r="H432" s="893">
        <f>SUM(H419:H430)</f>
        <v>255601.73472366616</v>
      </c>
      <c r="I432" s="891">
        <f>IFERROR(K432/K406,0)</f>
        <v>0.6179522865353142</v>
      </c>
      <c r="J432" s="896"/>
      <c r="K432" s="893">
        <f>SUM(K419:K430)</f>
        <v>244243.08646447517</v>
      </c>
      <c r="L432" s="891">
        <f>IFERROR(N432/N406,0)</f>
        <v>0.61301703915545003</v>
      </c>
      <c r="M432" s="896"/>
      <c r="N432" s="893">
        <f>SUM(N419:N430)</f>
        <v>274293.46883160301</v>
      </c>
      <c r="O432" s="891">
        <f>IFERROR(Q432/Q406,0)</f>
        <v>0.47713917703910175</v>
      </c>
      <c r="P432" s="896"/>
      <c r="Q432" s="893">
        <f>SUM(Q419:Q430)</f>
        <v>260445.94243150807</v>
      </c>
      <c r="R432" s="891">
        <f>IFERROR(T432/T406,0)</f>
        <v>0.42629784731550929</v>
      </c>
      <c r="S432" s="896"/>
      <c r="T432" s="893">
        <f>SUM(T419:T430)</f>
        <v>273103.56198196858</v>
      </c>
      <c r="U432" s="891">
        <f>IFERROR(W432/W406,0)</f>
        <v>0.53686978833090371</v>
      </c>
      <c r="V432" s="896"/>
      <c r="W432" s="893">
        <f>SUM(W419:W430)</f>
        <v>268422.61108286219</v>
      </c>
      <c r="X432" s="891">
        <f>IFERROR(Z432/Z406,0)</f>
        <v>0.52334879419247538</v>
      </c>
      <c r="Y432" s="896"/>
      <c r="Z432" s="893">
        <f>SUM(Z419:Z430)</f>
        <v>269916.95901149866</v>
      </c>
      <c r="AA432" s="891">
        <f>IFERROR(AC432/AC406,0)</f>
        <v>0.49536582645994415</v>
      </c>
      <c r="AB432" s="896"/>
      <c r="AC432" s="893">
        <f>SUM(AC419:AC430)</f>
        <v>269543.90703440638</v>
      </c>
      <c r="AD432" s="891">
        <f>IFERROR(AF432/AF406,0)</f>
        <v>0.55516600806575067</v>
      </c>
      <c r="AE432" s="896"/>
      <c r="AF432" s="893">
        <f>SUM(AF419:AF430)</f>
        <v>268804.89932595805</v>
      </c>
      <c r="AG432" s="891">
        <f>IFERROR(AI432/AI406,0)</f>
        <v>0.43003863023455691</v>
      </c>
      <c r="AH432" s="896"/>
      <c r="AI432" s="893">
        <f>SUM(AI419:AI430)</f>
        <v>267142.18847440509</v>
      </c>
      <c r="AJ432" s="891">
        <f>IFERROR(AL432/AL406,0)</f>
        <v>0.4241415682574311</v>
      </c>
      <c r="AK432" s="896"/>
      <c r="AL432" s="893">
        <f>SUM(AL419:AL430)</f>
        <v>266715.35322668275</v>
      </c>
      <c r="AM432" s="891">
        <f>IFERROR(AO432/AO406,0)</f>
        <v>0.72713518724524129</v>
      </c>
      <c r="AN432" s="896"/>
      <c r="AO432" s="893">
        <f>SUM(AO419:AO430)</f>
        <v>262065.94353917465</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0.2320344487647181</v>
      </c>
      <c r="D450" s="892"/>
      <c r="E450" s="893">
        <f>+SUM(E433:E449)</f>
        <v>1414704.7065999999</v>
      </c>
      <c r="F450" s="891">
        <f>IFERROR(H450/H406,0)</f>
        <v>0.26982798975238226</v>
      </c>
      <c r="G450" s="892"/>
      <c r="H450" s="893">
        <f>+SUM(H433:H449)</f>
        <v>111514.67362981779</v>
      </c>
      <c r="I450" s="891">
        <f>IFERROR(K450/K406,0)</f>
        <v>0.27887129401632399</v>
      </c>
      <c r="J450" s="892"/>
      <c r="K450" s="893">
        <f>+SUM(K433:K449)</f>
        <v>110222.7260275647</v>
      </c>
      <c r="L450" s="891">
        <f>IFERROR(N450/N406,0)</f>
        <v>0.25189143968259214</v>
      </c>
      <c r="M450" s="892"/>
      <c r="N450" s="893">
        <f>+SUM(N433:N449)</f>
        <v>112708.41158789417</v>
      </c>
      <c r="O450" s="891">
        <f>IFERROR(Q450/Q406,0)</f>
        <v>0.2320802918442966</v>
      </c>
      <c r="P450" s="892"/>
      <c r="Q450" s="893">
        <f>+SUM(Q433:Q449)</f>
        <v>126680.79511780234</v>
      </c>
      <c r="R450" s="891">
        <f>IFERROR(T450/T406,0)</f>
        <v>0.1979623552220372</v>
      </c>
      <c r="S450" s="892"/>
      <c r="T450" s="893">
        <f>+SUM(T433:T449)</f>
        <v>126822.65390250584</v>
      </c>
      <c r="U450" s="891">
        <f>IFERROR(W450/W406,0)</f>
        <v>0.22712755044792912</v>
      </c>
      <c r="V450" s="892"/>
      <c r="W450" s="893">
        <f>+SUM(W433:W449)</f>
        <v>113558.57875636444</v>
      </c>
      <c r="X450" s="891">
        <f>IFERROR(Z450/Z406,0)</f>
        <v>0.21959261297415764</v>
      </c>
      <c r="Y450" s="892"/>
      <c r="Z450" s="893">
        <f>+SUM(Z433:Z449)</f>
        <v>113254.81394646117</v>
      </c>
      <c r="AA450" s="891">
        <f>IFERROR(AC450/AC406,0)</f>
        <v>0.20953940821922959</v>
      </c>
      <c r="AB450" s="892"/>
      <c r="AC450" s="893">
        <f>+SUM(AC433:AC449)</f>
        <v>114016.88964439616</v>
      </c>
      <c r="AD450" s="891">
        <f>IFERROR(AF450/AF406,0)</f>
        <v>0.2290064845250642</v>
      </c>
      <c r="AE450" s="892"/>
      <c r="AF450" s="893">
        <f>+SUM(AF433:AF449)</f>
        <v>110882.26606709117</v>
      </c>
      <c r="AG450" s="891">
        <f>IFERROR(AI450/AI406,0)</f>
        <v>0.2025765052368684</v>
      </c>
      <c r="AH450" s="892"/>
      <c r="AI450" s="893">
        <f>+SUM(AI433:AI449)</f>
        <v>125841.55733394649</v>
      </c>
      <c r="AJ450" s="891">
        <f>IFERROR(AL450/AL406,0)</f>
        <v>0.21163044813652215</v>
      </c>
      <c r="AK450" s="892"/>
      <c r="AL450" s="893">
        <f>+SUM(AL433:AL449)</f>
        <v>133080.77762846046</v>
      </c>
      <c r="AM450" s="891">
        <f>IFERROR(AO450/AO406,0)</f>
        <v>0.32219122465504529</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v>26000</v>
      </c>
      <c r="I451" s="884"/>
      <c r="J451" s="886"/>
      <c r="K451" s="894">
        <v>26000</v>
      </c>
      <c r="L451" s="884"/>
      <c r="M451" s="886"/>
      <c r="N451" s="894">
        <v>26000</v>
      </c>
      <c r="O451" s="884"/>
      <c r="P451" s="886"/>
      <c r="Q451" s="894">
        <v>26000</v>
      </c>
      <c r="R451" s="884"/>
      <c r="S451" s="886"/>
      <c r="T451" s="894">
        <v>26000</v>
      </c>
      <c r="U451" s="884"/>
      <c r="V451" s="886"/>
      <c r="W451" s="894">
        <v>26000</v>
      </c>
      <c r="X451" s="884"/>
      <c r="Y451" s="886"/>
      <c r="Z451" s="894">
        <v>26000</v>
      </c>
      <c r="AA451" s="884"/>
      <c r="AB451" s="886"/>
      <c r="AC451" s="894">
        <v>26000</v>
      </c>
      <c r="AD451" s="884"/>
      <c r="AE451" s="886"/>
      <c r="AF451" s="894">
        <v>26000</v>
      </c>
      <c r="AG451" s="884"/>
      <c r="AH451" s="886"/>
      <c r="AI451" s="894">
        <v>26000</v>
      </c>
      <c r="AJ451" s="884"/>
      <c r="AK451" s="886"/>
      <c r="AL451" s="894">
        <v>26000</v>
      </c>
      <c r="AM451" s="884"/>
      <c r="AN451" s="886"/>
      <c r="AO451" s="894">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v>4810</v>
      </c>
      <c r="I452" s="884"/>
      <c r="J452" s="886"/>
      <c r="K452" s="894">
        <v>4810</v>
      </c>
      <c r="L452" s="884"/>
      <c r="M452" s="886"/>
      <c r="N452" s="894">
        <v>4810</v>
      </c>
      <c r="O452" s="884"/>
      <c r="P452" s="886"/>
      <c r="Q452" s="894">
        <v>4810</v>
      </c>
      <c r="R452" s="884"/>
      <c r="S452" s="886"/>
      <c r="T452" s="894">
        <v>4810</v>
      </c>
      <c r="U452" s="884"/>
      <c r="V452" s="886"/>
      <c r="W452" s="894">
        <v>4810</v>
      </c>
      <c r="X452" s="884"/>
      <c r="Y452" s="886"/>
      <c r="Z452" s="894">
        <v>4810</v>
      </c>
      <c r="AA452" s="884"/>
      <c r="AB452" s="886"/>
      <c r="AC452" s="894">
        <v>4810</v>
      </c>
      <c r="AD452" s="884"/>
      <c r="AE452" s="886"/>
      <c r="AF452" s="894">
        <v>4810</v>
      </c>
      <c r="AG452" s="884"/>
      <c r="AH452" s="886"/>
      <c r="AI452" s="894">
        <v>4810</v>
      </c>
      <c r="AJ452" s="884"/>
      <c r="AK452" s="886"/>
      <c r="AL452" s="894">
        <v>4810</v>
      </c>
      <c r="AM452" s="884"/>
      <c r="AN452" s="886"/>
      <c r="AO452" s="894">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v>3200</v>
      </c>
      <c r="I453" s="872"/>
      <c r="J453" s="888"/>
      <c r="K453" s="900">
        <v>3200</v>
      </c>
      <c r="L453" s="872"/>
      <c r="M453" s="888"/>
      <c r="N453" s="900">
        <v>3200</v>
      </c>
      <c r="O453" s="872"/>
      <c r="P453" s="888"/>
      <c r="Q453" s="900">
        <v>3200</v>
      </c>
      <c r="R453" s="872"/>
      <c r="S453" s="888"/>
      <c r="T453" s="900">
        <v>3200</v>
      </c>
      <c r="U453" s="872"/>
      <c r="V453" s="888"/>
      <c r="W453" s="900">
        <v>3200</v>
      </c>
      <c r="X453" s="872"/>
      <c r="Y453" s="888"/>
      <c r="Z453" s="900">
        <v>3200</v>
      </c>
      <c r="AA453" s="872"/>
      <c r="AB453" s="888"/>
      <c r="AC453" s="900">
        <v>3200</v>
      </c>
      <c r="AD453" s="872"/>
      <c r="AE453" s="888"/>
      <c r="AF453" s="900">
        <v>3200</v>
      </c>
      <c r="AG453" s="872"/>
      <c r="AH453" s="888"/>
      <c r="AI453" s="900">
        <v>3200</v>
      </c>
      <c r="AJ453" s="872"/>
      <c r="AK453" s="888"/>
      <c r="AL453" s="900">
        <v>3200</v>
      </c>
      <c r="AM453" s="872"/>
      <c r="AN453" s="888"/>
      <c r="AO453" s="900">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v>3708.0833333333339</v>
      </c>
      <c r="I455" s="872"/>
      <c r="J455" s="888"/>
      <c r="K455" s="900">
        <v>3708.0833333333339</v>
      </c>
      <c r="L455" s="872"/>
      <c r="M455" s="888"/>
      <c r="N455" s="900">
        <v>3708.0833333333339</v>
      </c>
      <c r="O455" s="872"/>
      <c r="P455" s="888"/>
      <c r="Q455" s="900">
        <v>3708.0833333333339</v>
      </c>
      <c r="R455" s="872"/>
      <c r="S455" s="888"/>
      <c r="T455" s="900">
        <v>3708.0833333333339</v>
      </c>
      <c r="U455" s="872"/>
      <c r="V455" s="888"/>
      <c r="W455" s="900">
        <v>3708.0833333333339</v>
      </c>
      <c r="X455" s="872"/>
      <c r="Y455" s="888"/>
      <c r="Z455" s="900">
        <v>3708.0833333333339</v>
      </c>
      <c r="AA455" s="872"/>
      <c r="AB455" s="888"/>
      <c r="AC455" s="900">
        <v>3708.0833333333339</v>
      </c>
      <c r="AD455" s="872"/>
      <c r="AE455" s="888"/>
      <c r="AF455" s="900">
        <v>3708.0833333333339</v>
      </c>
      <c r="AG455" s="872"/>
      <c r="AH455" s="888"/>
      <c r="AI455" s="900">
        <v>3708.0833333333339</v>
      </c>
      <c r="AJ455" s="872"/>
      <c r="AK455" s="888"/>
      <c r="AL455" s="900">
        <v>3708.0833333333339</v>
      </c>
      <c r="AM455" s="872"/>
      <c r="AN455" s="888"/>
      <c r="AO455" s="900">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v>3810</v>
      </c>
      <c r="I456" s="884"/>
      <c r="J456" s="886"/>
      <c r="K456" s="894">
        <v>3810</v>
      </c>
      <c r="L456" s="884"/>
      <c r="M456" s="886"/>
      <c r="N456" s="894">
        <v>3810</v>
      </c>
      <c r="O456" s="884"/>
      <c r="P456" s="886"/>
      <c r="Q456" s="894">
        <v>3810</v>
      </c>
      <c r="R456" s="884"/>
      <c r="S456" s="886"/>
      <c r="T456" s="894">
        <v>3810</v>
      </c>
      <c r="U456" s="884"/>
      <c r="V456" s="886"/>
      <c r="W456" s="894">
        <v>3810</v>
      </c>
      <c r="X456" s="884"/>
      <c r="Y456" s="886"/>
      <c r="Z456" s="894">
        <v>3810</v>
      </c>
      <c r="AA456" s="884"/>
      <c r="AB456" s="886"/>
      <c r="AC456" s="894">
        <v>3810</v>
      </c>
      <c r="AD456" s="884"/>
      <c r="AE456" s="886"/>
      <c r="AF456" s="894">
        <v>3810</v>
      </c>
      <c r="AG456" s="884"/>
      <c r="AH456" s="886"/>
      <c r="AI456" s="894">
        <v>3810</v>
      </c>
      <c r="AJ456" s="884"/>
      <c r="AK456" s="886"/>
      <c r="AL456" s="894">
        <v>3810</v>
      </c>
      <c r="AM456" s="884"/>
      <c r="AN456" s="886"/>
      <c r="AO456" s="894">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v>6217.1666666666679</v>
      </c>
      <c r="I457" s="884"/>
      <c r="J457" s="886"/>
      <c r="K457" s="894">
        <v>6217.1666666666679</v>
      </c>
      <c r="L457" s="884"/>
      <c r="M457" s="886"/>
      <c r="N457" s="894">
        <v>6217.1666666666679</v>
      </c>
      <c r="O457" s="884"/>
      <c r="P457" s="886"/>
      <c r="Q457" s="894">
        <v>6217.1666666666679</v>
      </c>
      <c r="R457" s="884"/>
      <c r="S457" s="886"/>
      <c r="T457" s="894">
        <v>6217.1666666666679</v>
      </c>
      <c r="U457" s="884"/>
      <c r="V457" s="886"/>
      <c r="W457" s="894">
        <v>6217.1666666666679</v>
      </c>
      <c r="X457" s="884"/>
      <c r="Y457" s="886"/>
      <c r="Z457" s="894">
        <v>6217.1666666666679</v>
      </c>
      <c r="AA457" s="884"/>
      <c r="AB457" s="886"/>
      <c r="AC457" s="894">
        <v>6217.1666666666679</v>
      </c>
      <c r="AD457" s="884"/>
      <c r="AE457" s="886"/>
      <c r="AF457" s="894">
        <v>6217.1666666666679</v>
      </c>
      <c r="AG457" s="884"/>
      <c r="AH457" s="886"/>
      <c r="AI457" s="894">
        <v>6217.1666666666679</v>
      </c>
      <c r="AJ457" s="884"/>
      <c r="AK457" s="886"/>
      <c r="AL457" s="894">
        <v>6217.1666666666679</v>
      </c>
      <c r="AM457" s="884"/>
      <c r="AN457" s="886"/>
      <c r="AO457" s="894">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v>1000</v>
      </c>
      <c r="I458" s="872"/>
      <c r="J458" s="888"/>
      <c r="K458" s="900">
        <v>1000</v>
      </c>
      <c r="L458" s="872"/>
      <c r="M458" s="888"/>
      <c r="N458" s="900">
        <v>1000</v>
      </c>
      <c r="O458" s="872"/>
      <c r="P458" s="888"/>
      <c r="Q458" s="900">
        <v>1000</v>
      </c>
      <c r="R458" s="872"/>
      <c r="S458" s="888"/>
      <c r="T458" s="900">
        <v>1000</v>
      </c>
      <c r="U458" s="872"/>
      <c r="V458" s="888"/>
      <c r="W458" s="900">
        <v>1000</v>
      </c>
      <c r="X458" s="872"/>
      <c r="Y458" s="888"/>
      <c r="Z458" s="900">
        <v>1000</v>
      </c>
      <c r="AA458" s="872"/>
      <c r="AB458" s="888"/>
      <c r="AC458" s="900">
        <v>1000</v>
      </c>
      <c r="AD458" s="872"/>
      <c r="AE458" s="888"/>
      <c r="AF458" s="900">
        <v>1000</v>
      </c>
      <c r="AG458" s="872"/>
      <c r="AH458" s="888"/>
      <c r="AI458" s="900">
        <v>1000</v>
      </c>
      <c r="AJ458" s="872"/>
      <c r="AK458" s="888"/>
      <c r="AL458" s="900">
        <v>1000</v>
      </c>
      <c r="AM458" s="872"/>
      <c r="AN458" s="888"/>
      <c r="AO458" s="900">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v>900</v>
      </c>
      <c r="I459" s="884"/>
      <c r="J459" s="886"/>
      <c r="K459" s="894">
        <v>900</v>
      </c>
      <c r="L459" s="884"/>
      <c r="M459" s="886"/>
      <c r="N459" s="894">
        <v>900</v>
      </c>
      <c r="O459" s="884"/>
      <c r="P459" s="886"/>
      <c r="Q459" s="894">
        <v>900</v>
      </c>
      <c r="R459" s="884"/>
      <c r="S459" s="886"/>
      <c r="T459" s="894">
        <v>900</v>
      </c>
      <c r="U459" s="884"/>
      <c r="V459" s="886"/>
      <c r="W459" s="894">
        <v>900</v>
      </c>
      <c r="X459" s="884"/>
      <c r="Y459" s="886"/>
      <c r="Z459" s="894">
        <v>900</v>
      </c>
      <c r="AA459" s="884"/>
      <c r="AB459" s="886"/>
      <c r="AC459" s="894">
        <v>900</v>
      </c>
      <c r="AD459" s="884"/>
      <c r="AE459" s="886"/>
      <c r="AF459" s="894">
        <v>900</v>
      </c>
      <c r="AG459" s="884"/>
      <c r="AH459" s="886"/>
      <c r="AI459" s="894">
        <v>900</v>
      </c>
      <c r="AJ459" s="884"/>
      <c r="AK459" s="886"/>
      <c r="AL459" s="894">
        <v>900</v>
      </c>
      <c r="AM459" s="884"/>
      <c r="AN459" s="886"/>
      <c r="AO459" s="894">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9.7711485630565628E-2</v>
      </c>
      <c r="D464" s="892"/>
      <c r="E464" s="893">
        <f>SUM(E451:E463)</f>
        <v>595743</v>
      </c>
      <c r="F464" s="891">
        <f>IFERROR(H464/H406,0)</f>
        <v>0.1201248012680602</v>
      </c>
      <c r="G464" s="892"/>
      <c r="H464" s="893">
        <f>SUM(H451:H463)</f>
        <v>49645.25</v>
      </c>
      <c r="I464" s="891">
        <f>IFERROR(K464/K406,0)</f>
        <v>0.12560599440991521</v>
      </c>
      <c r="J464" s="892"/>
      <c r="K464" s="893">
        <f>SUM(K451:K463)</f>
        <v>49645.25</v>
      </c>
      <c r="L464" s="891">
        <f>IFERROR(N464/N406,0)</f>
        <v>0.11095190961989719</v>
      </c>
      <c r="M464" s="892"/>
      <c r="N464" s="893">
        <f>SUM(N451:N463)</f>
        <v>49645.25</v>
      </c>
      <c r="O464" s="891">
        <f>IFERROR(Q464/Q406,0)</f>
        <v>9.0950519358272752E-2</v>
      </c>
      <c r="P464" s="892"/>
      <c r="Q464" s="893">
        <f>SUM(Q451:Q463)</f>
        <v>49645.25</v>
      </c>
      <c r="R464" s="891">
        <f>IFERROR(T464/T406,0)</f>
        <v>7.7493178964240683E-2</v>
      </c>
      <c r="S464" s="892"/>
      <c r="T464" s="893">
        <f>SUM(T451:T463)</f>
        <v>49645.25</v>
      </c>
      <c r="U464" s="891">
        <f>IFERROR(W464/W406,0)</f>
        <v>9.929504355691926E-2</v>
      </c>
      <c r="V464" s="892"/>
      <c r="W464" s="893">
        <f>SUM(W451:W463)</f>
        <v>49645.25</v>
      </c>
      <c r="X464" s="891">
        <f>IFERROR(Z464/Z406,0)</f>
        <v>9.6258426369486269E-2</v>
      </c>
      <c r="Y464" s="892"/>
      <c r="Z464" s="893">
        <f>SUM(Z451:Z463)</f>
        <v>49645.25</v>
      </c>
      <c r="AA464" s="891">
        <f>IFERROR(AC464/AC406,0)</f>
        <v>9.1237678368004754E-2</v>
      </c>
      <c r="AB464" s="892"/>
      <c r="AC464" s="893">
        <f>SUM(AC451:AC463)</f>
        <v>49645.25</v>
      </c>
      <c r="AD464" s="891">
        <f>IFERROR(AF464/AF406,0)</f>
        <v>0.10253293496895967</v>
      </c>
      <c r="AE464" s="892"/>
      <c r="AF464" s="893">
        <f>SUM(AF451:AF463)</f>
        <v>49645.25</v>
      </c>
      <c r="AG464" s="891">
        <f>IFERROR(AI464/AI406,0)</f>
        <v>7.9917647712531265E-2</v>
      </c>
      <c r="AH464" s="892"/>
      <c r="AI464" s="893">
        <f>SUM(AI451:AI463)</f>
        <v>49645.25</v>
      </c>
      <c r="AJ464" s="891">
        <f>IFERROR(AL464/AL406,0)</f>
        <v>7.8947889338924201E-2</v>
      </c>
      <c r="AK464" s="892"/>
      <c r="AL464" s="893">
        <f>SUM(AL451:AL463)</f>
        <v>49645.25</v>
      </c>
      <c r="AM464" s="891">
        <f>IFERROR(AO464/AO406,0)</f>
        <v>0.13774704056191348</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
        <v>1.2578175370918643</v>
      </c>
      <c r="J466" s="892"/>
      <c r="K466" s="893">
        <f>K418+K432+K450+K464</f>
        <v>497147.18136398552</v>
      </c>
      <c r="L466" s="891">
        <f>IFERROR(N466/N406,0)</f>
        <v>1.2302480603151154</v>
      </c>
      <c r="M466" s="892"/>
      <c r="N466" s="893">
        <f>N418+N432+N450+N464</f>
        <v>550472.47700012662</v>
      </c>
      <c r="O466" s="891">
        <f>IFERROR(Q466/Q406,0)</f>
        <v>1.0358489945203535</v>
      </c>
      <c r="P466" s="892"/>
      <c r="Q466" s="893">
        <f>Q418+Q432+Q450+Q464</f>
        <v>565417.13734077779</v>
      </c>
      <c r="R466" s="891">
        <f>IFERROR(T466/T406,0)</f>
        <v>0.94672523419179677</v>
      </c>
      <c r="S466" s="892"/>
      <c r="T466" s="893">
        <f>T418+T432+T450+T464</f>
        <v>606510.29627328482</v>
      </c>
      <c r="U466" s="891">
        <f>IFERROR(W466/W406,0)</f>
        <v>1.1167716610867839</v>
      </c>
      <c r="V466" s="892"/>
      <c r="W466" s="893">
        <f>W418+W432+W450+W464</f>
        <v>558360.27984405088</v>
      </c>
      <c r="X466" s="891">
        <f>IFERROR(Z466/Z406,0)</f>
        <v>1.0865823365982206</v>
      </c>
      <c r="Y466" s="892"/>
      <c r="Z466" s="893">
        <f>Z418+Z432+Z450+Z464</f>
        <v>560404.46307465131</v>
      </c>
      <c r="AA466" s="891">
        <f>IFERROR(AC466/AC406,0)</f>
        <v>1.039095385678809</v>
      </c>
      <c r="AB466" s="892"/>
      <c r="AC466" s="893">
        <f>AC418+AC432+AC450+AC464</f>
        <v>565404.02077965566</v>
      </c>
      <c r="AD466" s="891">
        <f>IFERROR(AF466/AF406,0)</f>
        <v>1.1586945927168977</v>
      </c>
      <c r="AE466" s="892"/>
      <c r="AF466" s="893">
        <f>AF418+AF432+AF450+AF464</f>
        <v>561026.39358263765</v>
      </c>
      <c r="AG466" s="891">
        <f>IFERROR(AI466/AI406,0)</f>
        <v>0.96909136469530599</v>
      </c>
      <c r="AH466" s="892"/>
      <c r="AI466" s="893">
        <f>AI418+AI432+AI450+AI464</f>
        <v>602004.49400359113</v>
      </c>
      <c r="AJ466" s="891">
        <f>IFERROR(AL466/AL406,0)</f>
        <v>0.89957132049333011</v>
      </c>
      <c r="AK466" s="892"/>
      <c r="AL466" s="893">
        <f>AL418+AL432+AL450+AL464</f>
        <v>565682.5467112615</v>
      </c>
      <c r="AM466" s="891">
        <f>IFERROR(AO466/AO406,0)</f>
        <v>1.4023629068452819</v>
      </c>
      <c r="AN466" s="892"/>
      <c r="AO466" s="893">
        <f>AO418+AO432+AO450+AO464</f>
        <v>505423.97729240631</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727755.67499999993</v>
      </c>
      <c r="F468" s="905"/>
      <c r="G468" s="906"/>
      <c r="H468" s="883">
        <f>H81</f>
        <v>36387.783750000002</v>
      </c>
      <c r="I468" s="905"/>
      <c r="J468" s="906"/>
      <c r="K468" s="883">
        <f>K81</f>
        <v>36387.783750000002</v>
      </c>
      <c r="L468" s="905"/>
      <c r="M468" s="906"/>
      <c r="N468" s="883">
        <f>N81</f>
        <v>72775.567500000005</v>
      </c>
      <c r="O468" s="905"/>
      <c r="P468" s="906"/>
      <c r="Q468" s="883">
        <f>Q81</f>
        <v>72775.567500000005</v>
      </c>
      <c r="R468" s="905"/>
      <c r="S468" s="906"/>
      <c r="T468" s="883">
        <f>T81</f>
        <v>80053.124249999993</v>
      </c>
      <c r="U468" s="905"/>
      <c r="V468" s="906"/>
      <c r="W468" s="883">
        <f>W81</f>
        <v>58220.453999999991</v>
      </c>
      <c r="X468" s="905"/>
      <c r="Y468" s="906"/>
      <c r="Z468" s="883">
        <f>Z81</f>
        <v>50942.897249999995</v>
      </c>
      <c r="AA468" s="905"/>
      <c r="AB468" s="906"/>
      <c r="AC468" s="883">
        <f>AC81</f>
        <v>72775.567500000005</v>
      </c>
      <c r="AD468" s="905"/>
      <c r="AE468" s="906"/>
      <c r="AF468" s="883">
        <f>AF81</f>
        <v>72775.567500000005</v>
      </c>
      <c r="AG468" s="905"/>
      <c r="AH468" s="906"/>
      <c r="AI468" s="883">
        <f>AI81</f>
        <v>80053.124249999993</v>
      </c>
      <c r="AJ468" s="905"/>
      <c r="AK468" s="906"/>
      <c r="AL468" s="883">
        <f>AL81</f>
        <v>72775.567500000005</v>
      </c>
      <c r="AM468" s="905"/>
      <c r="AN468" s="906"/>
      <c r="AO468" s="883">
        <f>AO81</f>
        <v>21832.670249999999</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453576.37500000012</v>
      </c>
      <c r="F469" s="905"/>
      <c r="G469" s="906"/>
      <c r="H469" s="883">
        <f>H78</f>
        <v>22678.818750000006</v>
      </c>
      <c r="I469" s="905"/>
      <c r="J469" s="906"/>
      <c r="K469" s="883">
        <f>K78</f>
        <v>22678.818750000006</v>
      </c>
      <c r="L469" s="905"/>
      <c r="M469" s="906"/>
      <c r="N469" s="883">
        <f>N78</f>
        <v>45357.637500000012</v>
      </c>
      <c r="O469" s="905"/>
      <c r="P469" s="906"/>
      <c r="Q469" s="883">
        <f>Q78</f>
        <v>45357.637500000012</v>
      </c>
      <c r="R469" s="905"/>
      <c r="S469" s="906"/>
      <c r="T469" s="883">
        <f>T78</f>
        <v>49893.40125000001</v>
      </c>
      <c r="U469" s="905"/>
      <c r="V469" s="906"/>
      <c r="W469" s="883">
        <f>W78</f>
        <v>36286.110000000008</v>
      </c>
      <c r="X469" s="905"/>
      <c r="Y469" s="906"/>
      <c r="Z469" s="883">
        <f>Z78</f>
        <v>31750.346250000006</v>
      </c>
      <c r="AA469" s="905"/>
      <c r="AB469" s="906"/>
      <c r="AC469" s="883">
        <f>AC78</f>
        <v>45357.637500000012</v>
      </c>
      <c r="AD469" s="905"/>
      <c r="AE469" s="906"/>
      <c r="AF469" s="883">
        <f>AF78</f>
        <v>45357.637500000012</v>
      </c>
      <c r="AG469" s="905"/>
      <c r="AH469" s="906"/>
      <c r="AI469" s="883">
        <f>AI78</f>
        <v>49893.40125000001</v>
      </c>
      <c r="AJ469" s="905"/>
      <c r="AK469" s="906"/>
      <c r="AL469" s="883">
        <f>AL78</f>
        <v>45357.637500000012</v>
      </c>
      <c r="AM469" s="905"/>
      <c r="AN469" s="906"/>
      <c r="AO469" s="883">
        <f>AO78</f>
        <v>13607.291250000002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27640.163517536079</v>
      </c>
      <c r="O478" s="907"/>
      <c r="P478" s="906"/>
      <c r="Q478" s="883">
        <f>Q85+Q164</f>
        <v>32155.184060439959</v>
      </c>
      <c r="R478" s="907"/>
      <c r="S478" s="906"/>
      <c r="T478" s="883">
        <f>T85+T164</f>
        <v>41423.900963995373</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0.25930045490907572</v>
      </c>
      <c r="D479" s="908"/>
      <c r="E479" s="893">
        <f>SUM(E467:E478)</f>
        <v>1580944.4500000002</v>
      </c>
      <c r="F479" s="891">
        <f>IFERROR(H479/+H406,0)</f>
        <v>0.20480198301794045</v>
      </c>
      <c r="G479" s="908"/>
      <c r="H479" s="893">
        <f>SUM(H467:H478)</f>
        <v>84640.686520118426</v>
      </c>
      <c r="I479" s="891">
        <f>IFERROR(K479/+K406,0)</f>
        <v>0.20329264800940711</v>
      </c>
      <c r="J479" s="908"/>
      <c r="K479" s="893">
        <f>SUM(K467:K478)</f>
        <v>80350.578656716752</v>
      </c>
      <c r="L479" s="891">
        <f>IFERROR(N479/+N406,0)</f>
        <v>0.34478474457304087</v>
      </c>
      <c r="M479" s="908"/>
      <c r="N479" s="893">
        <f>SUM(N467:N478)</f>
        <v>154273.36851753609</v>
      </c>
      <c r="O479" s="891">
        <f>IFERROR(Q479/+Q406,0)</f>
        <v>0.27532960431391068</v>
      </c>
      <c r="P479" s="908"/>
      <c r="Q479" s="893">
        <f>SUM(Q467:Q478)</f>
        <v>150288.38906043998</v>
      </c>
      <c r="R479" s="891">
        <f>IFERROR(T479/+T406,0)</f>
        <v>0.26749868571822361</v>
      </c>
      <c r="S479" s="908"/>
      <c r="T479" s="893">
        <f>SUM(T467:T478)</f>
        <v>171370.42646399536</v>
      </c>
      <c r="U479" s="891">
        <f>IFERROR(W479/+W406,0)</f>
        <v>0.26944652154631549</v>
      </c>
      <c r="V479" s="908"/>
      <c r="W479" s="893">
        <f>SUM(W467:W478)</f>
        <v>134717.09608676712</v>
      </c>
      <c r="X479" s="891">
        <f>IFERROR(Z479/+Z406,0)</f>
        <v>0.22202655184298281</v>
      </c>
      <c r="Y479" s="908"/>
      <c r="Z479" s="893">
        <f>SUM(Z467:Z478)</f>
        <v>114510.11707352172</v>
      </c>
      <c r="AA479" s="891">
        <f>IFERROR(AC479/+AC406,0)</f>
        <v>0.27841148546730243</v>
      </c>
      <c r="AB479" s="908"/>
      <c r="AC479" s="893">
        <f>SUM(AC467:AC478)</f>
        <v>151492.3225374686</v>
      </c>
      <c r="AD479" s="891">
        <f>IFERROR(AF479/+AF406,0)</f>
        <v>0.32998693692952041</v>
      </c>
      <c r="AE479" s="908"/>
      <c r="AF479" s="893">
        <f>SUM(AF467:AF478)</f>
        <v>159775.82213519749</v>
      </c>
      <c r="AG479" s="891">
        <f>IFERROR(AI479/+AI406,0)</f>
        <v>0.27703007886265585</v>
      </c>
      <c r="AH479" s="908"/>
      <c r="AI479" s="893">
        <f>SUM(AI467:AI478)</f>
        <v>172092.49666766316</v>
      </c>
      <c r="AJ479" s="891">
        <f>IFERROR(AL479/+AL406,0)</f>
        <v>0.233438573094124</v>
      </c>
      <c r="AK479" s="908"/>
      <c r="AL479" s="893">
        <f>SUM(AL467:AL478)</f>
        <v>146794.50480492073</v>
      </c>
      <c r="AM479" s="891">
        <f>IFERROR(AO479/+AO406,0)</f>
        <v>0.16824959904454767</v>
      </c>
      <c r="AN479" s="908"/>
      <c r="AO479" s="893">
        <f>SUM(AO467:AO478)</f>
        <v>60638.641475654658</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3.377843205514805E-2</v>
      </c>
      <c r="E481" s="914">
        <f>E406-E466+E479</f>
        <v>1017327.073967617</v>
      </c>
      <c r="F481" s="915" t="s">
        <v>258</v>
      </c>
      <c r="G481" s="916">
        <f>IFERROR(H481/H405,0)</f>
        <v>-7.8936138579930749E-3</v>
      </c>
      <c r="H481" s="917">
        <f>H406-H466+H479</f>
        <v>-24802.622918775087</v>
      </c>
      <c r="I481" s="915" t="s">
        <v>258</v>
      </c>
      <c r="J481" s="916">
        <f>IFERROR(K481/K405,0)</f>
        <v>-1.1516263357331247E-2</v>
      </c>
      <c r="K481" s="917">
        <f>K406-K466+K479</f>
        <v>-21550.736988609642</v>
      </c>
      <c r="L481" s="915" t="s">
        <v>258</v>
      </c>
      <c r="M481" s="916">
        <f>IFERROR(N481/N405,0)</f>
        <v>2.4717841919552896E-2</v>
      </c>
      <c r="N481" s="917">
        <f>N406-N466+N479</f>
        <v>51249.251532810566</v>
      </c>
      <c r="O481" s="915" t="s">
        <v>258</v>
      </c>
      <c r="P481" s="916">
        <f>IFERROR(Q481/Q405,0)</f>
        <v>5.2920600726871762E-2</v>
      </c>
      <c r="Q481" s="917">
        <f>Q406-Q466+Q479</f>
        <v>130720.25126673651</v>
      </c>
      <c r="R481" s="915" t="s">
        <v>258</v>
      </c>
      <c r="S481" s="916">
        <f>IFERROR(T481/T405,0)</f>
        <v>6.6925627107895791E-2</v>
      </c>
      <c r="T481" s="917">
        <f>T406-T466+T479</f>
        <v>205500.38606289332</v>
      </c>
      <c r="U481" s="915" t="s">
        <v>258</v>
      </c>
      <c r="V481" s="916">
        <f>IFERROR(W481/W405,0)</f>
        <v>3.0561869215419486E-2</v>
      </c>
      <c r="W481" s="917">
        <f>W406-W466+W479</f>
        <v>76333.937170627149</v>
      </c>
      <c r="X481" s="915" t="s">
        <v>258</v>
      </c>
      <c r="Y481" s="916">
        <f>IFERROR(Z481/Z405,0)</f>
        <v>2.7326605128623439E-2</v>
      </c>
      <c r="Z481" s="917">
        <f>Z406-Z466+Z479</f>
        <v>69855.307015610859</v>
      </c>
      <c r="AA481" s="915" t="s">
        <v>258</v>
      </c>
      <c r="AB481" s="916">
        <f>IFERROR(AC481/AC405,0)</f>
        <v>4.8863224666086259E-2</v>
      </c>
      <c r="AC481" s="917">
        <f>AC406-AC466+AC479</f>
        <v>130219.31087618621</v>
      </c>
      <c r="AD481" s="915" t="s">
        <v>258</v>
      </c>
      <c r="AE481" s="916">
        <f>IFERROR(AF481/AF405,0)</f>
        <v>3.4608007414015214E-2</v>
      </c>
      <c r="AF481" s="917">
        <f>AF406-AF466+AF479</f>
        <v>82937.753162884939</v>
      </c>
      <c r="AG481" s="915" t="s">
        <v>258</v>
      </c>
      <c r="AH481" s="916">
        <f>IFERROR(AI481/AI405,0)</f>
        <v>6.1820808912430664E-2</v>
      </c>
      <c r="AI481" s="917">
        <f>AI406-AI466+AI479</f>
        <v>191293.0984218581</v>
      </c>
      <c r="AJ481" s="915" t="s">
        <v>258</v>
      </c>
      <c r="AK481" s="916">
        <f>IFERROR(AL481/AL405,0)</f>
        <v>7.7694526655778862E-2</v>
      </c>
      <c r="AL481" s="917">
        <f>AL406-AL466+AL479</f>
        <v>209947.64218487495</v>
      </c>
      <c r="AM481" s="915" t="s">
        <v>258</v>
      </c>
      <c r="AN481" s="916">
        <f>IFERROR(AO481/AO405,0)</f>
        <v>-5.3465724242771732E-2</v>
      </c>
      <c r="AO481" s="917">
        <f>AO406-AO466+AO479</f>
        <v>-84376.503819480262</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3.377843205514805E-2</v>
      </c>
      <c r="E487" s="940">
        <f>E481</f>
        <v>1017327.073967617</v>
      </c>
      <c r="F487" s="920" t="s">
        <v>258</v>
      </c>
      <c r="G487" s="921">
        <f>IFERROR(H487/H405,0)</f>
        <v>-7.8936138579930749E-3</v>
      </c>
      <c r="H487" s="922">
        <f>H481</f>
        <v>-24802.622918775087</v>
      </c>
      <c r="I487" s="920" t="s">
        <v>258</v>
      </c>
      <c r="J487" s="921">
        <f>IFERROR(K487/K405,0)</f>
        <v>-1.1516263357331247E-2</v>
      </c>
      <c r="K487" s="922">
        <f>K481</f>
        <v>-21550.736988609642</v>
      </c>
      <c r="L487" s="920" t="s">
        <v>258</v>
      </c>
      <c r="M487" s="921">
        <f>IFERROR(N487/N405,0)</f>
        <v>2.4717841919552896E-2</v>
      </c>
      <c r="N487" s="922">
        <f>N481</f>
        <v>51249.251532810566</v>
      </c>
      <c r="O487" s="920" t="s">
        <v>258</v>
      </c>
      <c r="P487" s="921">
        <f>IFERROR(Q487/Q405,0)</f>
        <v>5.2920600726871762E-2</v>
      </c>
      <c r="Q487" s="922">
        <f>Q481</f>
        <v>130720.25126673651</v>
      </c>
      <c r="R487" s="920" t="s">
        <v>258</v>
      </c>
      <c r="S487" s="921">
        <f>IFERROR(T487/T405,0)</f>
        <v>6.6925627107895791E-2</v>
      </c>
      <c r="T487" s="922">
        <f>T481</f>
        <v>205500.38606289332</v>
      </c>
      <c r="U487" s="920" t="s">
        <v>258</v>
      </c>
      <c r="V487" s="921">
        <f>IFERROR(W487/W405,0)</f>
        <v>3.0561869215419486E-2</v>
      </c>
      <c r="W487" s="922">
        <f>W481</f>
        <v>76333.937170627149</v>
      </c>
      <c r="X487" s="920" t="s">
        <v>258</v>
      </c>
      <c r="Y487" s="921">
        <f>IFERROR(Z487/Z405,0)</f>
        <v>2.7326605128623439E-2</v>
      </c>
      <c r="Z487" s="922">
        <f>Z481</f>
        <v>69855.307015610859</v>
      </c>
      <c r="AA487" s="920" t="s">
        <v>258</v>
      </c>
      <c r="AB487" s="921">
        <f>IFERROR(AC487/AC405,0)</f>
        <v>4.8863224666086259E-2</v>
      </c>
      <c r="AC487" s="922">
        <f>AC481</f>
        <v>130219.31087618621</v>
      </c>
      <c r="AD487" s="920" t="s">
        <v>258</v>
      </c>
      <c r="AE487" s="921">
        <f>IFERROR(AF487/AF405,0)</f>
        <v>3.4608007414015214E-2</v>
      </c>
      <c r="AF487" s="922">
        <f>AF481</f>
        <v>82937.753162884939</v>
      </c>
      <c r="AG487" s="920" t="s">
        <v>258</v>
      </c>
      <c r="AH487" s="921">
        <f>IFERROR(AI487/AI405,0)</f>
        <v>6.1820808912430664E-2</v>
      </c>
      <c r="AI487" s="922">
        <f>AI481</f>
        <v>191293.0984218581</v>
      </c>
      <c r="AJ487" s="920" t="s">
        <v>258</v>
      </c>
      <c r="AK487" s="921">
        <f>IFERROR(AL487/AL405,0)</f>
        <v>7.7694526655778862E-2</v>
      </c>
      <c r="AL487" s="922">
        <f>AL481</f>
        <v>209947.64218487495</v>
      </c>
      <c r="AM487" s="920" t="s">
        <v>258</v>
      </c>
      <c r="AN487" s="921">
        <f>IFERROR(AO487/AO405,0)</f>
        <v>-5.3465724242771732E-2</v>
      </c>
      <c r="AO487" s="922">
        <f>AO481</f>
        <v>-84376.503819480262</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v>9167</v>
      </c>
      <c r="I489" s="884"/>
      <c r="J489" s="886"/>
      <c r="K489" s="894">
        <v>9167</v>
      </c>
      <c r="L489" s="884"/>
      <c r="M489" s="886"/>
      <c r="N489" s="894">
        <v>9167</v>
      </c>
      <c r="O489" s="884"/>
      <c r="P489" s="886"/>
      <c r="Q489" s="894">
        <v>9167</v>
      </c>
      <c r="R489" s="884"/>
      <c r="S489" s="886"/>
      <c r="T489" s="894">
        <v>9167</v>
      </c>
      <c r="U489" s="884"/>
      <c r="V489" s="886"/>
      <c r="W489" s="894">
        <v>9167</v>
      </c>
      <c r="X489" s="884"/>
      <c r="Y489" s="886"/>
      <c r="Z489" s="894">
        <v>9167</v>
      </c>
      <c r="AA489" s="884"/>
      <c r="AB489" s="886"/>
      <c r="AC489" s="894">
        <v>9167</v>
      </c>
      <c r="AD489" s="884"/>
      <c r="AE489" s="886"/>
      <c r="AF489" s="894">
        <v>9167</v>
      </c>
      <c r="AG489" s="884"/>
      <c r="AH489" s="886"/>
      <c r="AI489" s="894">
        <v>9167</v>
      </c>
      <c r="AJ489" s="884"/>
      <c r="AK489" s="886"/>
      <c r="AL489" s="894">
        <v>9167</v>
      </c>
      <c r="AM489" s="884"/>
      <c r="AN489" s="886"/>
      <c r="AO489" s="894">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v>456.25</v>
      </c>
      <c r="I490" s="928"/>
      <c r="J490" s="929"/>
      <c r="K490" s="894">
        <v>456.25</v>
      </c>
      <c r="L490" s="928"/>
      <c r="M490" s="929"/>
      <c r="N490" s="894">
        <v>456.25</v>
      </c>
      <c r="O490" s="928"/>
      <c r="P490" s="929"/>
      <c r="Q490" s="894">
        <v>456.25</v>
      </c>
      <c r="R490" s="928"/>
      <c r="S490" s="929"/>
      <c r="T490" s="894">
        <v>456.25</v>
      </c>
      <c r="U490" s="928"/>
      <c r="V490" s="929"/>
      <c r="W490" s="894">
        <v>456.25</v>
      </c>
      <c r="X490" s="928"/>
      <c r="Y490" s="929"/>
      <c r="Z490" s="894">
        <v>456.25</v>
      </c>
      <c r="AA490" s="928"/>
      <c r="AB490" s="929"/>
      <c r="AC490" s="894">
        <v>456.25</v>
      </c>
      <c r="AD490" s="928"/>
      <c r="AE490" s="929"/>
      <c r="AF490" s="894">
        <v>456.25</v>
      </c>
      <c r="AG490" s="928"/>
      <c r="AH490" s="929"/>
      <c r="AI490" s="894">
        <v>456.25</v>
      </c>
      <c r="AJ490" s="928"/>
      <c r="AK490" s="929"/>
      <c r="AL490" s="894">
        <v>456.25</v>
      </c>
      <c r="AM490" s="928"/>
      <c r="AN490" s="929"/>
      <c r="AO490" s="894">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v>594.88319947675336</v>
      </c>
      <c r="I491" s="889"/>
      <c r="J491" s="929"/>
      <c r="K491" s="894">
        <v>572.34312279002734</v>
      </c>
      <c r="L491" s="889"/>
      <c r="M491" s="929"/>
      <c r="N491" s="894">
        <v>587.16228670116425</v>
      </c>
      <c r="O491" s="889"/>
      <c r="P491" s="929"/>
      <c r="Q491" s="894">
        <v>577.32435191616423</v>
      </c>
      <c r="R491" s="889"/>
      <c r="S491" s="929"/>
      <c r="T491" s="894">
        <v>579.44137392557525</v>
      </c>
      <c r="U491" s="889"/>
      <c r="V491" s="929"/>
      <c r="W491" s="894">
        <v>569.85250084301356</v>
      </c>
      <c r="X491" s="889"/>
      <c r="Y491" s="929"/>
      <c r="Z491" s="894">
        <v>571.72046114998614</v>
      </c>
      <c r="AA491" s="889"/>
      <c r="AB491" s="929"/>
      <c r="AC491" s="894">
        <v>567.86000476219169</v>
      </c>
      <c r="AD491" s="889"/>
      <c r="AE491" s="929"/>
      <c r="AF491" s="894">
        <v>558.64472423328755</v>
      </c>
      <c r="AG491" s="889"/>
      <c r="AH491" s="929"/>
      <c r="AI491" s="894">
        <v>560.13909198660258</v>
      </c>
      <c r="AJ491" s="889"/>
      <c r="AK491" s="929"/>
      <c r="AL491" s="894">
        <v>551.17287316013676</v>
      </c>
      <c r="AM491" s="889"/>
      <c r="AN491" s="929"/>
      <c r="AO491" s="894">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2.9716961370108045E-2</v>
      </c>
      <c r="E496" s="944">
        <f>E487-E489-E490-E491-E492</f>
        <v>895005.11179746105</v>
      </c>
      <c r="F496" s="935" t="s">
        <v>258</v>
      </c>
      <c r="G496" s="936">
        <f>IFERROR(H496/H405,0)</f>
        <v>-1.1145608539779424E-2</v>
      </c>
      <c r="H496" s="937">
        <f>H487-H489-H490-H491-H492</f>
        <v>-35020.75611825184</v>
      </c>
      <c r="I496" s="935" t="s">
        <v>258</v>
      </c>
      <c r="J496" s="936">
        <f>IFERROR(K496/K405,0)</f>
        <v>-1.6964575196889379E-2</v>
      </c>
      <c r="K496" s="937">
        <f>K487-K489-K490-K491-K492</f>
        <v>-31746.330111399671</v>
      </c>
      <c r="L496" s="935" t="s">
        <v>258</v>
      </c>
      <c r="M496" s="936">
        <f>IFERROR(N496/N405,0)</f>
        <v>1.9793294744955378E-2</v>
      </c>
      <c r="N496" s="937">
        <f>N487-N489-N490-N491-N492</f>
        <v>41038.839246109404</v>
      </c>
      <c r="O496" s="935" t="s">
        <v>258</v>
      </c>
      <c r="P496" s="936">
        <f>IFERROR(Q496/Q405,0)</f>
        <v>4.8791014704572797E-2</v>
      </c>
      <c r="Q496" s="937">
        <f>Q487-Q489-Q490-Q491-Q492</f>
        <v>120519.67691482035</v>
      </c>
      <c r="R496" s="935" t="s">
        <v>258</v>
      </c>
      <c r="S496" s="936">
        <f>IFERROR(T496/T405,0)</f>
        <v>6.360290090056249E-2</v>
      </c>
      <c r="T496" s="937">
        <f>T487-T489-T490-T491-T492</f>
        <v>195297.69468896775</v>
      </c>
      <c r="U496" s="935" t="s">
        <v>258</v>
      </c>
      <c r="V496" s="936">
        <f>IFERROR(W496/W405,0)</f>
        <v>2.6480849984958508E-2</v>
      </c>
      <c r="W496" s="937">
        <f>W487-W489-W490-W491-W492</f>
        <v>66140.834669784133</v>
      </c>
      <c r="X496" s="935" t="s">
        <v>258</v>
      </c>
      <c r="Y496" s="936">
        <f>IFERROR(Z496/Z405,0)</f>
        <v>2.333844812249122E-2</v>
      </c>
      <c r="Z496" s="937">
        <f>Z487-Z489-Z490-Z491-Z492</f>
        <v>59660.336554460875</v>
      </c>
      <c r="AA496" s="935" t="s">
        <v>258</v>
      </c>
      <c r="AB496" s="936">
        <f>IFERROR(AC496/AC405,0)</f>
        <v>4.5039133642958598E-2</v>
      </c>
      <c r="AC496" s="937">
        <f>AC487-AC489-AC490-AC491-AC492</f>
        <v>120028.20087142402</v>
      </c>
      <c r="AD496" s="935" t="s">
        <v>258</v>
      </c>
      <c r="AE496" s="936">
        <f>IFERROR(AF496/AF405,0)</f>
        <v>3.0359338084705749E-2</v>
      </c>
      <c r="AF496" s="937">
        <f>AF487-AF489-AF490-AF491-AF492</f>
        <v>72755.858438651645</v>
      </c>
      <c r="AG496" s="935" t="s">
        <v>258</v>
      </c>
      <c r="AH496" s="936">
        <f>IFERROR(AI496/AI405,0)</f>
        <v>5.8529810144935662E-2</v>
      </c>
      <c r="AI496" s="937">
        <f>AI487-AI489-AI490-AI491-AI492</f>
        <v>181109.70932987149</v>
      </c>
      <c r="AJ496" s="935" t="s">
        <v>258</v>
      </c>
      <c r="AK496" s="936">
        <f>IFERROR(AL496/AL405,0)</f>
        <v>7.3929316621032137E-2</v>
      </c>
      <c r="AL496" s="937">
        <f>AL487-AL489-AL490-AL491-AL492</f>
        <v>199773.21931171481</v>
      </c>
      <c r="AM496" s="935" t="s">
        <v>258</v>
      </c>
      <c r="AN496" s="936">
        <f>IFERROR(AO496/AO405,0)</f>
        <v>-5.991360302688932E-2</v>
      </c>
      <c r="AO496" s="937">
        <f>AO487-AO489-AO490-AO491-AO492</f>
        <v>-94552.171998691279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3">
    <mergeCell ref="AA403:AC403"/>
    <mergeCell ref="AD403:AF403"/>
    <mergeCell ref="AG403:AI403"/>
    <mergeCell ref="AJ403:AL403"/>
    <mergeCell ref="AM403:AO403"/>
    <mergeCell ref="AM357:AO357"/>
    <mergeCell ref="C403:E403"/>
    <mergeCell ref="F403:H403"/>
    <mergeCell ref="I403:K403"/>
    <mergeCell ref="L403:N403"/>
    <mergeCell ref="O403:Q403"/>
    <mergeCell ref="R403:T403"/>
    <mergeCell ref="U403:W403"/>
    <mergeCell ref="X403:Z403"/>
    <mergeCell ref="U357:W357"/>
    <mergeCell ref="X357:Z357"/>
    <mergeCell ref="AA357:AC357"/>
    <mergeCell ref="AD357:AF357"/>
    <mergeCell ref="AG357:AI357"/>
    <mergeCell ref="AJ357:AL357"/>
    <mergeCell ref="C357:E357"/>
    <mergeCell ref="F357:H357"/>
    <mergeCell ref="I357:K357"/>
    <mergeCell ref="L357:N357"/>
    <mergeCell ref="O357:Q357"/>
    <mergeCell ref="R357:T357"/>
    <mergeCell ref="AA293:AC293"/>
    <mergeCell ref="AD293:AF293"/>
    <mergeCell ref="AG293:AI293"/>
    <mergeCell ref="AJ293:AL293"/>
    <mergeCell ref="AM293:AO293"/>
    <mergeCell ref="AM239:AO239"/>
    <mergeCell ref="C293:E293"/>
    <mergeCell ref="F293:H293"/>
    <mergeCell ref="I293:K293"/>
    <mergeCell ref="L293:N293"/>
    <mergeCell ref="O293:Q293"/>
    <mergeCell ref="R293:T293"/>
    <mergeCell ref="U293:W293"/>
    <mergeCell ref="X293:Z293"/>
    <mergeCell ref="U239:W239"/>
    <mergeCell ref="X239:Z239"/>
    <mergeCell ref="AA239:AC239"/>
    <mergeCell ref="AD239:AF239"/>
    <mergeCell ref="AG239:AI239"/>
    <mergeCell ref="AJ239:AL239"/>
    <mergeCell ref="C239:E239"/>
    <mergeCell ref="F239:H239"/>
    <mergeCell ref="I239:K239"/>
    <mergeCell ref="L239:N239"/>
    <mergeCell ref="O239:Q239"/>
    <mergeCell ref="R239:T239"/>
    <mergeCell ref="AA172:AC172"/>
    <mergeCell ref="AD172:AF172"/>
    <mergeCell ref="AG172:AI172"/>
    <mergeCell ref="AJ172:AL172"/>
    <mergeCell ref="AM172:AO172"/>
    <mergeCell ref="AM94:AO94"/>
    <mergeCell ref="C172:E172"/>
    <mergeCell ref="F172:H172"/>
    <mergeCell ref="I172:K172"/>
    <mergeCell ref="L172:N172"/>
    <mergeCell ref="O172:Q172"/>
    <mergeCell ref="R172:T172"/>
    <mergeCell ref="U172:W172"/>
    <mergeCell ref="X172:Z172"/>
    <mergeCell ref="U94:W94"/>
    <mergeCell ref="X94:Z94"/>
    <mergeCell ref="AA94:AC94"/>
    <mergeCell ref="AD94:AF94"/>
    <mergeCell ref="AG94:AI94"/>
    <mergeCell ref="AJ94:AL94"/>
    <mergeCell ref="C94:E94"/>
    <mergeCell ref="F94:H94"/>
    <mergeCell ref="I94:K94"/>
    <mergeCell ref="L94:N94"/>
    <mergeCell ref="O94:Q94"/>
    <mergeCell ref="R94:T94"/>
    <mergeCell ref="B1:AO1"/>
    <mergeCell ref="C4:AO4"/>
    <mergeCell ref="C6:E6"/>
    <mergeCell ref="F6:H6"/>
    <mergeCell ref="I6:K6"/>
    <mergeCell ref="L6:N6"/>
    <mergeCell ref="O6:Q6"/>
    <mergeCell ref="R6:T6"/>
    <mergeCell ref="U6:W6"/>
    <mergeCell ref="X6:Z6"/>
    <mergeCell ref="AA6:AC6"/>
    <mergeCell ref="AD6:AF6"/>
    <mergeCell ref="AG6:AI6"/>
    <mergeCell ref="AJ6:AL6"/>
    <mergeCell ref="AM6:AO6"/>
  </mergeCells>
  <conditionalFormatting sqref="F352:G354 F399:G399 F330:G330 F267:G267 F230:G230 F212:G212 F167:G169 F234:G236 F289:G290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7" stopIfTrue="1">
      <formula>"esterreur(reference)"</formula>
    </cfRule>
  </conditionalFormatting>
  <conditionalFormatting sqref="G394">
    <cfRule type="expression" priority="176" stopIfTrue="1">
      <formula>"esterreur(reference)"</formula>
    </cfRule>
  </conditionalFormatting>
  <conditionalFormatting sqref="E191 E252 C191:D192 C252:D253 F191:G192 F252:G253 C194:D194 C255:D255 F194:G194 F255:G255">
    <cfRule type="expression" priority="175" stopIfTrue="1">
      <formula>"esterreur(reference)"</formula>
    </cfRule>
  </conditionalFormatting>
  <conditionalFormatting sqref="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4" stopIfTrue="1">
      <formula>"esterreur(reference)"</formula>
    </cfRule>
  </conditionalFormatting>
  <conditionalFormatting sqref="C283:E284">
    <cfRule type="expression" priority="173" stopIfTrue="1">
      <formula>"esterreur(reference)"</formula>
    </cfRule>
  </conditionalFormatting>
  <conditionalFormatting sqref="C346:E347">
    <cfRule type="expression" priority="172" stopIfTrue="1">
      <formula>"esterreur(reference)"</formula>
    </cfRule>
  </conditionalFormatting>
  <conditionalFormatting sqref="C356:E356">
    <cfRule type="expression" priority="171" stopIfTrue="1">
      <formula>"esterreur(reference)"</formula>
    </cfRule>
  </conditionalFormatting>
  <conditionalFormatting sqref="C393:E393">
    <cfRule type="expression" priority="170" stopIfTrue="1">
      <formula>"esterreur(reference)"</formula>
    </cfRule>
  </conditionalFormatting>
  <conditionalFormatting sqref="D394">
    <cfRule type="expression" priority="169" stopIfTrue="1">
      <formula>"esterreur(reference)"</formula>
    </cfRule>
  </conditionalFormatting>
  <conditionalFormatting sqref="E191 C189:E189 C190:D192 C194:D194">
    <cfRule type="expression" priority="168" stopIfTrue="1">
      <formula>"esterreur(reference)"</formula>
    </cfRule>
  </conditionalFormatting>
  <conditionalFormatting sqref="E190">
    <cfRule type="expression" priority="167" stopIfTrue="1">
      <formula>"esterreur(reference)"</formula>
    </cfRule>
  </conditionalFormatting>
  <conditionalFormatting sqref="C190:D190 C251:D251 F190:G190 F251:G251">
    <cfRule type="expression" priority="166" stopIfTrue="1">
      <formula>"esterreur(reference)"</formula>
    </cfRule>
  </conditionalFormatting>
  <conditionalFormatting sqref="E190 E251">
    <cfRule type="expression" priority="165" stopIfTrue="1">
      <formula>"esterreur(reference)"</formula>
    </cfRule>
  </conditionalFormatting>
  <conditionalFormatting sqref="C193:D193">
    <cfRule type="expression" priority="164" stopIfTrue="1">
      <formula>"esterreur(reference)"</formula>
    </cfRule>
  </conditionalFormatting>
  <conditionalFormatting sqref="E193">
    <cfRule type="expression" priority="163" stopIfTrue="1">
      <formula>"esterreur(reference)"</formula>
    </cfRule>
  </conditionalFormatting>
  <conditionalFormatting sqref="C193:D193 C254:D254 F193:G193 F254:G254">
    <cfRule type="expression" priority="162" stopIfTrue="1">
      <formula>"esterreur(reference)"</formula>
    </cfRule>
  </conditionalFormatting>
  <conditionalFormatting sqref="E193 E254">
    <cfRule type="expression" priority="161" stopIfTrue="1">
      <formula>"esterreur(reference)"</formula>
    </cfRule>
  </conditionalFormatting>
  <conditionalFormatting sqref="C34">
    <cfRule type="expression" priority="160" stopIfTrue="1">
      <formula>"esterreur(reference)"</formula>
    </cfRule>
  </conditionalFormatting>
  <conditionalFormatting sqref="C35">
    <cfRule type="expression" priority="159"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8" stopIfTrue="1">
      <formula>"esterreur(reference)"</formula>
    </cfRule>
  </conditionalFormatting>
  <conditionalFormatting sqref="I283:K284">
    <cfRule type="expression" priority="157" stopIfTrue="1">
      <formula>"esterreur(reference)"</formula>
    </cfRule>
  </conditionalFormatting>
  <conditionalFormatting sqref="I346:K347">
    <cfRule type="expression" priority="156" stopIfTrue="1">
      <formula>"esterreur(reference)"</formula>
    </cfRule>
  </conditionalFormatting>
  <conditionalFormatting sqref="I356:K356">
    <cfRule type="expression" priority="155" stopIfTrue="1">
      <formula>"esterreur(reference)"</formula>
    </cfRule>
  </conditionalFormatting>
  <conditionalFormatting sqref="I393:K393">
    <cfRule type="expression" priority="154" stopIfTrue="1">
      <formula>"esterreur(reference)"</formula>
    </cfRule>
  </conditionalFormatting>
  <conditionalFormatting sqref="J394">
    <cfRule type="expression" priority="153" stopIfTrue="1">
      <formula>"esterreur(reference)"</formula>
    </cfRule>
  </conditionalFormatting>
  <conditionalFormatting sqref="K191 K252 I191:J192 I252:J253 I189:K189 I250:K250 I194:J194 I255:J255">
    <cfRule type="expression" priority="152" stopIfTrue="1">
      <formula>"esterreur(reference)"</formula>
    </cfRule>
  </conditionalFormatting>
  <conditionalFormatting sqref="I190:J190 I251:J251">
    <cfRule type="expression" priority="151" stopIfTrue="1">
      <formula>"esterreur(reference)"</formula>
    </cfRule>
  </conditionalFormatting>
  <conditionalFormatting sqref="K190 K251">
    <cfRule type="expression" priority="150" stopIfTrue="1">
      <formula>"esterreur(reference)"</formula>
    </cfRule>
  </conditionalFormatting>
  <conditionalFormatting sqref="I193:J193 I254:J254">
    <cfRule type="expression" priority="149" stopIfTrue="1">
      <formula>"esterreur(reference)"</formula>
    </cfRule>
  </conditionalFormatting>
  <conditionalFormatting sqref="K193 K254">
    <cfRule type="expression" priority="148"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7" stopIfTrue="1">
      <formula>"esterreur(reference)"</formula>
    </cfRule>
  </conditionalFormatting>
  <conditionalFormatting sqref="L283:N284">
    <cfRule type="expression" priority="146" stopIfTrue="1">
      <formula>"esterreur(reference)"</formula>
    </cfRule>
  </conditionalFormatting>
  <conditionalFormatting sqref="L346:N347">
    <cfRule type="expression" priority="145" stopIfTrue="1">
      <formula>"esterreur(reference)"</formula>
    </cfRule>
  </conditionalFormatting>
  <conditionalFormatting sqref="L356:N356">
    <cfRule type="expression" priority="144" stopIfTrue="1">
      <formula>"esterreur(reference)"</formula>
    </cfRule>
  </conditionalFormatting>
  <conditionalFormatting sqref="L393:N393">
    <cfRule type="expression" priority="143" stopIfTrue="1">
      <formula>"esterreur(reference)"</formula>
    </cfRule>
  </conditionalFormatting>
  <conditionalFormatting sqref="M394">
    <cfRule type="expression" priority="142" stopIfTrue="1">
      <formula>"esterreur(reference)"</formula>
    </cfRule>
  </conditionalFormatting>
  <conditionalFormatting sqref="N191 N252 L191:M192 L252:M253 L189:N189 L250:N250 L194:M194 L255:M255">
    <cfRule type="expression" priority="141" stopIfTrue="1">
      <formula>"esterreur(reference)"</formula>
    </cfRule>
  </conditionalFormatting>
  <conditionalFormatting sqref="L190:M190 L251:M251">
    <cfRule type="expression" priority="140" stopIfTrue="1">
      <formula>"esterreur(reference)"</formula>
    </cfRule>
  </conditionalFormatting>
  <conditionalFormatting sqref="N190 N251">
    <cfRule type="expression" priority="139" stopIfTrue="1">
      <formula>"esterreur(reference)"</formula>
    </cfRule>
  </conditionalFormatting>
  <conditionalFormatting sqref="L193:M193 L254:M254">
    <cfRule type="expression" priority="138" stopIfTrue="1">
      <formula>"esterreur(reference)"</formula>
    </cfRule>
  </conditionalFormatting>
  <conditionalFormatting sqref="N193 N254">
    <cfRule type="expression" priority="137"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6" stopIfTrue="1">
      <formula>"esterreur(reference)"</formula>
    </cfRule>
  </conditionalFormatting>
  <conditionalFormatting sqref="O283:Q284">
    <cfRule type="expression" priority="135" stopIfTrue="1">
      <formula>"esterreur(reference)"</formula>
    </cfRule>
  </conditionalFormatting>
  <conditionalFormatting sqref="O346:Q347">
    <cfRule type="expression" priority="134" stopIfTrue="1">
      <formula>"esterreur(reference)"</formula>
    </cfRule>
  </conditionalFormatting>
  <conditionalFormatting sqref="O356:Q356">
    <cfRule type="expression" priority="133" stopIfTrue="1">
      <formula>"esterreur(reference)"</formula>
    </cfRule>
  </conditionalFormatting>
  <conditionalFormatting sqref="O393:Q393">
    <cfRule type="expression" priority="132" stopIfTrue="1">
      <formula>"esterreur(reference)"</formula>
    </cfRule>
  </conditionalFormatting>
  <conditionalFormatting sqref="P394">
    <cfRule type="expression" priority="131" stopIfTrue="1">
      <formula>"esterreur(reference)"</formula>
    </cfRule>
  </conditionalFormatting>
  <conditionalFormatting sqref="Q191 Q252 O191:P192 O252:P253 O189:Q189 O250:Q250 O194:P194 O255:P255">
    <cfRule type="expression" priority="130" stopIfTrue="1">
      <formula>"esterreur(reference)"</formula>
    </cfRule>
  </conditionalFormatting>
  <conditionalFormatting sqref="O190:P190 O251:P251">
    <cfRule type="expression" priority="129" stopIfTrue="1">
      <formula>"esterreur(reference)"</formula>
    </cfRule>
  </conditionalFormatting>
  <conditionalFormatting sqref="Q190 Q251">
    <cfRule type="expression" priority="128" stopIfTrue="1">
      <formula>"esterreur(reference)"</formula>
    </cfRule>
  </conditionalFormatting>
  <conditionalFormatting sqref="O193:P193 O254:P254">
    <cfRule type="expression" priority="127" stopIfTrue="1">
      <formula>"esterreur(reference)"</formula>
    </cfRule>
  </conditionalFormatting>
  <conditionalFormatting sqref="Q193 Q254">
    <cfRule type="expression" priority="126"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5" stopIfTrue="1">
      <formula>"esterreur(reference)"</formula>
    </cfRule>
  </conditionalFormatting>
  <conditionalFormatting sqref="R283:T284">
    <cfRule type="expression" priority="124" stopIfTrue="1">
      <formula>"esterreur(reference)"</formula>
    </cfRule>
  </conditionalFormatting>
  <conditionalFormatting sqref="R346:T347">
    <cfRule type="expression" priority="123" stopIfTrue="1">
      <formula>"esterreur(reference)"</formula>
    </cfRule>
  </conditionalFormatting>
  <conditionalFormatting sqref="R356:T356">
    <cfRule type="expression" priority="122" stopIfTrue="1">
      <formula>"esterreur(reference)"</formula>
    </cfRule>
  </conditionalFormatting>
  <conditionalFormatting sqref="R393:T393">
    <cfRule type="expression" priority="121" stopIfTrue="1">
      <formula>"esterreur(reference)"</formula>
    </cfRule>
  </conditionalFormatting>
  <conditionalFormatting sqref="S394">
    <cfRule type="expression" priority="120" stopIfTrue="1">
      <formula>"esterreur(reference)"</formula>
    </cfRule>
  </conditionalFormatting>
  <conditionalFormatting sqref="T191 T252 R191:S192 R252:S253 R189:T189 R250:T250 R194:S194 R255:S255">
    <cfRule type="expression" priority="119" stopIfTrue="1">
      <formula>"esterreur(reference)"</formula>
    </cfRule>
  </conditionalFormatting>
  <conditionalFormatting sqref="R190:S190 R251:S251">
    <cfRule type="expression" priority="118" stopIfTrue="1">
      <formula>"esterreur(reference)"</formula>
    </cfRule>
  </conditionalFormatting>
  <conditionalFormatting sqref="T190 T251">
    <cfRule type="expression" priority="117" stopIfTrue="1">
      <formula>"esterreur(reference)"</formula>
    </cfRule>
  </conditionalFormatting>
  <conditionalFormatting sqref="R193:S193 R254:S254">
    <cfRule type="expression" priority="116" stopIfTrue="1">
      <formula>"esterreur(reference)"</formula>
    </cfRule>
  </conditionalFormatting>
  <conditionalFormatting sqref="T193 T254">
    <cfRule type="expression" priority="115"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4" stopIfTrue="1">
      <formula>"esterreur(reference)"</formula>
    </cfRule>
  </conditionalFormatting>
  <conditionalFormatting sqref="U283:W284">
    <cfRule type="expression" priority="113" stopIfTrue="1">
      <formula>"esterreur(reference)"</formula>
    </cfRule>
  </conditionalFormatting>
  <conditionalFormatting sqref="U346:W347">
    <cfRule type="expression" priority="112" stopIfTrue="1">
      <formula>"esterreur(reference)"</formula>
    </cfRule>
  </conditionalFormatting>
  <conditionalFormatting sqref="U356:W356">
    <cfRule type="expression" priority="111" stopIfTrue="1">
      <formula>"esterreur(reference)"</formula>
    </cfRule>
  </conditionalFormatting>
  <conditionalFormatting sqref="U393:W393">
    <cfRule type="expression" priority="110" stopIfTrue="1">
      <formula>"esterreur(reference)"</formula>
    </cfRule>
  </conditionalFormatting>
  <conditionalFormatting sqref="V394">
    <cfRule type="expression" priority="109" stopIfTrue="1">
      <formula>"esterreur(reference)"</formula>
    </cfRule>
  </conditionalFormatting>
  <conditionalFormatting sqref="W191 W252 U191:V192 U252:V253 U189:W189 U250:W250 U194:V194 U255:V255">
    <cfRule type="expression" priority="108" stopIfTrue="1">
      <formula>"esterreur(reference)"</formula>
    </cfRule>
  </conditionalFormatting>
  <conditionalFormatting sqref="U190:V190 U251:V251">
    <cfRule type="expression" priority="107" stopIfTrue="1">
      <formula>"esterreur(reference)"</formula>
    </cfRule>
  </conditionalFormatting>
  <conditionalFormatting sqref="W190 W251">
    <cfRule type="expression" priority="106" stopIfTrue="1">
      <formula>"esterreur(reference)"</formula>
    </cfRule>
  </conditionalFormatting>
  <conditionalFormatting sqref="U193:V193 U254:V254">
    <cfRule type="expression" priority="105" stopIfTrue="1">
      <formula>"esterreur(reference)"</formula>
    </cfRule>
  </conditionalFormatting>
  <conditionalFormatting sqref="W193 W254">
    <cfRule type="expression" priority="104"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3" stopIfTrue="1">
      <formula>"esterreur(reference)"</formula>
    </cfRule>
  </conditionalFormatting>
  <conditionalFormatting sqref="X283:Z284">
    <cfRule type="expression" priority="102" stopIfTrue="1">
      <formula>"esterreur(reference)"</formula>
    </cfRule>
  </conditionalFormatting>
  <conditionalFormatting sqref="X346:Z347">
    <cfRule type="expression" priority="101" stopIfTrue="1">
      <formula>"esterreur(reference)"</formula>
    </cfRule>
  </conditionalFormatting>
  <conditionalFormatting sqref="X356:Z356">
    <cfRule type="expression" priority="100" stopIfTrue="1">
      <formula>"esterreur(reference)"</formula>
    </cfRule>
  </conditionalFormatting>
  <conditionalFormatting sqref="X393:Z393">
    <cfRule type="expression" priority="99" stopIfTrue="1">
      <formula>"esterreur(reference)"</formula>
    </cfRule>
  </conditionalFormatting>
  <conditionalFormatting sqref="Y394">
    <cfRule type="expression" priority="98" stopIfTrue="1">
      <formula>"esterreur(reference)"</formula>
    </cfRule>
  </conditionalFormatting>
  <conditionalFormatting sqref="Z191 Z252 X191:Y192 X252:Y253 X189:Z189 X250:Z250 X194:Y194 X255:Y255">
    <cfRule type="expression" priority="97" stopIfTrue="1">
      <formula>"esterreur(reference)"</formula>
    </cfRule>
  </conditionalFormatting>
  <conditionalFormatting sqref="X190:Y190 X251:Y251">
    <cfRule type="expression" priority="96" stopIfTrue="1">
      <formula>"esterreur(reference)"</formula>
    </cfRule>
  </conditionalFormatting>
  <conditionalFormatting sqref="Z190 Z251">
    <cfRule type="expression" priority="95" stopIfTrue="1">
      <formula>"esterreur(reference)"</formula>
    </cfRule>
  </conditionalFormatting>
  <conditionalFormatting sqref="X193:Y193 X254:Y254">
    <cfRule type="expression" priority="94" stopIfTrue="1">
      <formula>"esterreur(reference)"</formula>
    </cfRule>
  </conditionalFormatting>
  <conditionalFormatting sqref="Z193 Z254">
    <cfRule type="expression" priority="93"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2" stopIfTrue="1">
      <formula>"esterreur(reference)"</formula>
    </cfRule>
  </conditionalFormatting>
  <conditionalFormatting sqref="AA283:AC284">
    <cfRule type="expression" priority="91" stopIfTrue="1">
      <formula>"esterreur(reference)"</formula>
    </cfRule>
  </conditionalFormatting>
  <conditionalFormatting sqref="AA346:AC347">
    <cfRule type="expression" priority="90" stopIfTrue="1">
      <formula>"esterreur(reference)"</formula>
    </cfRule>
  </conditionalFormatting>
  <conditionalFormatting sqref="AA356:AC356">
    <cfRule type="expression" priority="89" stopIfTrue="1">
      <formula>"esterreur(reference)"</formula>
    </cfRule>
  </conditionalFormatting>
  <conditionalFormatting sqref="AA393:AC393">
    <cfRule type="expression" priority="88" stopIfTrue="1">
      <formula>"esterreur(reference)"</formula>
    </cfRule>
  </conditionalFormatting>
  <conditionalFormatting sqref="AB394">
    <cfRule type="expression" priority="87" stopIfTrue="1">
      <formula>"esterreur(reference)"</formula>
    </cfRule>
  </conditionalFormatting>
  <conditionalFormatting sqref="AC191 AC252 AA191:AB192 AA252:AB253 AA189:AC189 AA250:AC250 AA194:AB194 AA255:AB255">
    <cfRule type="expression" priority="86" stopIfTrue="1">
      <formula>"esterreur(reference)"</formula>
    </cfRule>
  </conditionalFormatting>
  <conditionalFormatting sqref="AA190:AB190 AA251:AB251">
    <cfRule type="expression" priority="85" stopIfTrue="1">
      <formula>"esterreur(reference)"</formula>
    </cfRule>
  </conditionalFormatting>
  <conditionalFormatting sqref="AC190 AC251">
    <cfRule type="expression" priority="84" stopIfTrue="1">
      <formula>"esterreur(reference)"</formula>
    </cfRule>
  </conditionalFormatting>
  <conditionalFormatting sqref="AA193:AB193 AA254:AB254">
    <cfRule type="expression" priority="83" stopIfTrue="1">
      <formula>"esterreur(reference)"</formula>
    </cfRule>
  </conditionalFormatting>
  <conditionalFormatting sqref="AC193 AC254">
    <cfRule type="expression" priority="82"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1" stopIfTrue="1">
      <formula>"esterreur(reference)"</formula>
    </cfRule>
  </conditionalFormatting>
  <conditionalFormatting sqref="AD283:AF284">
    <cfRule type="expression" priority="80" stopIfTrue="1">
      <formula>"esterreur(reference)"</formula>
    </cfRule>
  </conditionalFormatting>
  <conditionalFormatting sqref="AD346:AF347">
    <cfRule type="expression" priority="79" stopIfTrue="1">
      <formula>"esterreur(reference)"</formula>
    </cfRule>
  </conditionalFormatting>
  <conditionalFormatting sqref="AD356:AF356">
    <cfRule type="expression" priority="78" stopIfTrue="1">
      <formula>"esterreur(reference)"</formula>
    </cfRule>
  </conditionalFormatting>
  <conditionalFormatting sqref="AD393:AF393">
    <cfRule type="expression" priority="77" stopIfTrue="1">
      <formula>"esterreur(reference)"</formula>
    </cfRule>
  </conditionalFormatting>
  <conditionalFormatting sqref="AE394">
    <cfRule type="expression" priority="76" stopIfTrue="1">
      <formula>"esterreur(reference)"</formula>
    </cfRule>
  </conditionalFormatting>
  <conditionalFormatting sqref="AF191 AF252 AD191:AE192 AD252:AE253 AD189:AF189 AD250:AF250 AD194:AE194 AD255:AE255">
    <cfRule type="expression" priority="75" stopIfTrue="1">
      <formula>"esterreur(reference)"</formula>
    </cfRule>
  </conditionalFormatting>
  <conditionalFormatting sqref="AD190:AE190 AD251:AE251">
    <cfRule type="expression" priority="74" stopIfTrue="1">
      <formula>"esterreur(reference)"</formula>
    </cfRule>
  </conditionalFormatting>
  <conditionalFormatting sqref="AF190 AF251">
    <cfRule type="expression" priority="73" stopIfTrue="1">
      <formula>"esterreur(reference)"</formula>
    </cfRule>
  </conditionalFormatting>
  <conditionalFormatting sqref="AD193:AE193 AD254:AE254">
    <cfRule type="expression" priority="72" stopIfTrue="1">
      <formula>"esterreur(reference)"</formula>
    </cfRule>
  </conditionalFormatting>
  <conditionalFormatting sqref="AF193 AF254">
    <cfRule type="expression" priority="71"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70" stopIfTrue="1">
      <formula>"esterreur(reference)"</formula>
    </cfRule>
  </conditionalFormatting>
  <conditionalFormatting sqref="AG283:AI284">
    <cfRule type="expression" priority="69" stopIfTrue="1">
      <formula>"esterreur(reference)"</formula>
    </cfRule>
  </conditionalFormatting>
  <conditionalFormatting sqref="AG346:AI347">
    <cfRule type="expression" priority="68" stopIfTrue="1">
      <formula>"esterreur(reference)"</formula>
    </cfRule>
  </conditionalFormatting>
  <conditionalFormatting sqref="AG356:AI356">
    <cfRule type="expression" priority="67" stopIfTrue="1">
      <formula>"esterreur(reference)"</formula>
    </cfRule>
  </conditionalFormatting>
  <conditionalFormatting sqref="AG393:AI393">
    <cfRule type="expression" priority="66" stopIfTrue="1">
      <formula>"esterreur(reference)"</formula>
    </cfRule>
  </conditionalFormatting>
  <conditionalFormatting sqref="AH394">
    <cfRule type="expression" priority="65" stopIfTrue="1">
      <formula>"esterreur(reference)"</formula>
    </cfRule>
  </conditionalFormatting>
  <conditionalFormatting sqref="AI191 AI252 AG191:AH192 AG252:AH253 AG189:AI189 AG250:AI250 AG194:AH194 AG255:AH255">
    <cfRule type="expression" priority="64" stopIfTrue="1">
      <formula>"esterreur(reference)"</formula>
    </cfRule>
  </conditionalFormatting>
  <conditionalFormatting sqref="AG190:AH190 AG251:AH251">
    <cfRule type="expression" priority="63" stopIfTrue="1">
      <formula>"esterreur(reference)"</formula>
    </cfRule>
  </conditionalFormatting>
  <conditionalFormatting sqref="AI190 AI251">
    <cfRule type="expression" priority="62" stopIfTrue="1">
      <formula>"esterreur(reference)"</formula>
    </cfRule>
  </conditionalFormatting>
  <conditionalFormatting sqref="AG193:AH193 AG254:AH254">
    <cfRule type="expression" priority="61" stopIfTrue="1">
      <formula>"esterreur(reference)"</formula>
    </cfRule>
  </conditionalFormatting>
  <conditionalFormatting sqref="AI193 AI254">
    <cfRule type="expression" priority="60"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9" stopIfTrue="1">
      <formula>"esterreur(reference)"</formula>
    </cfRule>
  </conditionalFormatting>
  <conditionalFormatting sqref="AJ283:AL284">
    <cfRule type="expression" priority="58" stopIfTrue="1">
      <formula>"esterreur(reference)"</formula>
    </cfRule>
  </conditionalFormatting>
  <conditionalFormatting sqref="AJ346:AL347">
    <cfRule type="expression" priority="57" stopIfTrue="1">
      <formula>"esterreur(reference)"</formula>
    </cfRule>
  </conditionalFormatting>
  <conditionalFormatting sqref="AJ356:AL356">
    <cfRule type="expression" priority="56" stopIfTrue="1">
      <formula>"esterreur(reference)"</formula>
    </cfRule>
  </conditionalFormatting>
  <conditionalFormatting sqref="AJ393:AL393">
    <cfRule type="expression" priority="55" stopIfTrue="1">
      <formula>"esterreur(reference)"</formula>
    </cfRule>
  </conditionalFormatting>
  <conditionalFormatting sqref="AK394">
    <cfRule type="expression" priority="54" stopIfTrue="1">
      <formula>"esterreur(reference)"</formula>
    </cfRule>
  </conditionalFormatting>
  <conditionalFormatting sqref="AL191 AL252 AJ191:AK192 AJ252:AK253 AJ189:AL189 AJ250:AL250 AJ194:AK194 AJ255:AK255">
    <cfRule type="expression" priority="53" stopIfTrue="1">
      <formula>"esterreur(reference)"</formula>
    </cfRule>
  </conditionalFormatting>
  <conditionalFormatting sqref="AJ190:AK190 AJ251:AK251">
    <cfRule type="expression" priority="52" stopIfTrue="1">
      <formula>"esterreur(reference)"</formula>
    </cfRule>
  </conditionalFormatting>
  <conditionalFormatting sqref="AL190 AL251">
    <cfRule type="expression" priority="51" stopIfTrue="1">
      <formula>"esterreur(reference)"</formula>
    </cfRule>
  </conditionalFormatting>
  <conditionalFormatting sqref="AJ193:AK193 AJ254:AK254">
    <cfRule type="expression" priority="50" stopIfTrue="1">
      <formula>"esterreur(reference)"</formula>
    </cfRule>
  </conditionalFormatting>
  <conditionalFormatting sqref="AL193 AL254">
    <cfRule type="expression" priority="49"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8" stopIfTrue="1">
      <formula>"esterreur(reference)"</formula>
    </cfRule>
  </conditionalFormatting>
  <conditionalFormatting sqref="AM283:AO284">
    <cfRule type="expression" priority="47" stopIfTrue="1">
      <formula>"esterreur(reference)"</formula>
    </cfRule>
  </conditionalFormatting>
  <conditionalFormatting sqref="AM346:AO347">
    <cfRule type="expression" priority="46" stopIfTrue="1">
      <formula>"esterreur(reference)"</formula>
    </cfRule>
  </conditionalFormatting>
  <conditionalFormatting sqref="AM356:AO356">
    <cfRule type="expression" priority="45" stopIfTrue="1">
      <formula>"esterreur(reference)"</formula>
    </cfRule>
  </conditionalFormatting>
  <conditionalFormatting sqref="AM393:AO393">
    <cfRule type="expression" priority="44" stopIfTrue="1">
      <formula>"esterreur(reference)"</formula>
    </cfRule>
  </conditionalFormatting>
  <conditionalFormatting sqref="AN394">
    <cfRule type="expression" priority="43" stopIfTrue="1">
      <formula>"esterreur(reference)"</formula>
    </cfRule>
  </conditionalFormatting>
  <conditionalFormatting sqref="AO191 AO252 AM191:AN192 AM252:AN253 AM189:AO189 AM250:AO250 AM194:AN194 AM255:AN255">
    <cfRule type="expression" priority="42" stopIfTrue="1">
      <formula>"esterreur(reference)"</formula>
    </cfRule>
  </conditionalFormatting>
  <conditionalFormatting sqref="AM190:AN190 AM251:AN251">
    <cfRule type="expression" priority="41" stopIfTrue="1">
      <formula>"esterreur(reference)"</formula>
    </cfRule>
  </conditionalFormatting>
  <conditionalFormatting sqref="AO190 AO251">
    <cfRule type="expression" priority="40" stopIfTrue="1">
      <formula>"esterreur(reference)"</formula>
    </cfRule>
  </conditionalFormatting>
  <conditionalFormatting sqref="AM193:AN193 AM254:AN254">
    <cfRule type="expression" priority="39" stopIfTrue="1">
      <formula>"esterreur(reference)"</formula>
    </cfRule>
  </conditionalFormatting>
  <conditionalFormatting sqref="AO193 AO254">
    <cfRule type="expression" priority="38" stopIfTrue="1">
      <formula>"esterreur(reference)"</formula>
    </cfRule>
  </conditionalFormatting>
  <conditionalFormatting sqref="K258">
    <cfRule type="expression" priority="37" stopIfTrue="1">
      <formula>"esterreur(reference)"</formula>
    </cfRule>
  </conditionalFormatting>
  <conditionalFormatting sqref="N258">
    <cfRule type="expression" priority="36" stopIfTrue="1">
      <formula>"esterreur(reference)"</formula>
    </cfRule>
  </conditionalFormatting>
  <conditionalFormatting sqref="Q258">
    <cfRule type="expression" priority="35" stopIfTrue="1">
      <formula>"esterreur(reference)"</formula>
    </cfRule>
  </conditionalFormatting>
  <conditionalFormatting sqref="T258">
    <cfRule type="expression" priority="34" stopIfTrue="1">
      <formula>"esterreur(reference)"</formula>
    </cfRule>
  </conditionalFormatting>
  <conditionalFormatting sqref="W258">
    <cfRule type="expression" priority="33" stopIfTrue="1">
      <formula>"esterreur(reference)"</formula>
    </cfRule>
  </conditionalFormatting>
  <conditionalFormatting sqref="Z258">
    <cfRule type="expression" priority="32" stopIfTrue="1">
      <formula>"esterreur(reference)"</formula>
    </cfRule>
  </conditionalFormatting>
  <conditionalFormatting sqref="AC258">
    <cfRule type="expression" priority="31" stopIfTrue="1">
      <formula>"esterreur(reference)"</formula>
    </cfRule>
  </conditionalFormatting>
  <conditionalFormatting sqref="AF258">
    <cfRule type="expression" priority="30" stopIfTrue="1">
      <formula>"esterreur(reference)"</formula>
    </cfRule>
  </conditionalFormatting>
  <conditionalFormatting sqref="AI258">
    <cfRule type="expression" priority="29" stopIfTrue="1">
      <formula>"esterreur(reference)"</formula>
    </cfRule>
  </conditionalFormatting>
  <conditionalFormatting sqref="AL258">
    <cfRule type="expression" priority="28" stopIfTrue="1">
      <formula>"esterreur(reference)"</formula>
    </cfRule>
  </conditionalFormatting>
  <conditionalFormatting sqref="AO258">
    <cfRule type="expression" priority="27" stopIfTrue="1">
      <formula>"esterreur(reference)"</formula>
    </cfRule>
  </conditionalFormatting>
  <conditionalFormatting sqref="H137">
    <cfRule type="expression" priority="26" stopIfTrue="1">
      <formula>"esterreur(reference)"</formula>
    </cfRule>
  </conditionalFormatting>
  <conditionalFormatting sqref="K137">
    <cfRule type="expression" priority="25" stopIfTrue="1">
      <formula>"esterreur(reference)"</formula>
    </cfRule>
  </conditionalFormatting>
  <conditionalFormatting sqref="N137">
    <cfRule type="expression" priority="24" stopIfTrue="1">
      <formula>"esterreur(reference)"</formula>
    </cfRule>
  </conditionalFormatting>
  <conditionalFormatting sqref="Q137">
    <cfRule type="expression" priority="23" stopIfTrue="1">
      <formula>"esterreur(reference)"</formula>
    </cfRule>
  </conditionalFormatting>
  <conditionalFormatting sqref="T137">
    <cfRule type="expression" priority="22" stopIfTrue="1">
      <formula>"esterreur(reference)"</formula>
    </cfRule>
  </conditionalFormatting>
  <conditionalFormatting sqref="W137">
    <cfRule type="expression" priority="21" stopIfTrue="1">
      <formula>"esterreur(reference)"</formula>
    </cfRule>
  </conditionalFormatting>
  <conditionalFormatting sqref="Z137">
    <cfRule type="expression" priority="20" stopIfTrue="1">
      <formula>"esterreur(reference)"</formula>
    </cfRule>
  </conditionalFormatting>
  <conditionalFormatting sqref="AC137">
    <cfRule type="expression" priority="19" stopIfTrue="1">
      <formula>"esterreur(reference)"</formula>
    </cfRule>
  </conditionalFormatting>
  <conditionalFormatting sqref="AF137">
    <cfRule type="expression" priority="18" stopIfTrue="1">
      <formula>"esterreur(reference)"</formula>
    </cfRule>
  </conditionalFormatting>
  <conditionalFormatting sqref="AI137">
    <cfRule type="expression" priority="17" stopIfTrue="1">
      <formula>"esterreur(reference)"</formula>
    </cfRule>
  </conditionalFormatting>
  <conditionalFormatting sqref="AL137">
    <cfRule type="expression" priority="16" stopIfTrue="1">
      <formula>"esterreur(reference)"</formula>
    </cfRule>
  </conditionalFormatting>
  <conditionalFormatting sqref="AO137">
    <cfRule type="expression" priority="15" stopIfTrue="1">
      <formula>"esterreur(reference)"</formula>
    </cfRule>
  </conditionalFormatting>
  <conditionalFormatting sqref="F6 I6 L6 O6 R6 U6 X6 AA6 AD6 AG6 AJ6 AM6">
    <cfRule type="expression" priority="14" stopIfTrue="1">
      <formula>"esterreur(reference)"</formula>
    </cfRule>
  </conditionalFormatting>
  <conditionalFormatting sqref="C6">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topLeftCell="A43" zoomScaleNormal="100" workbookViewId="0">
      <selection activeCell="M70" sqref="M70:M77"/>
    </sheetView>
  </sheetViews>
  <sheetFormatPr baseColWidth="10" defaultRowHeight="15"/>
  <cols>
    <col min="1" max="1" width="1.75" style="638" customWidth="1"/>
    <col min="2" max="2" width="23.25" style="638" customWidth="1"/>
    <col min="3" max="12" width="11.75" style="638" customWidth="1"/>
    <col min="13" max="13" width="58.625" style="638" customWidth="1"/>
    <col min="14" max="16" width="3.125" style="638" customWidth="1"/>
    <col min="17" max="16384" width="11" style="638"/>
  </cols>
  <sheetData>
    <row r="1" spans="2:13" ht="15.75">
      <c r="B1" s="1128" t="str">
        <f>Parametres!$B$1&amp;" "&amp;"2 pager"&amp;" "&amp;Parametres!$B$3&amp;" "&amp;Parametres!$B$4</f>
        <v>Volks 2 pager Mars 2021</v>
      </c>
      <c r="C1" s="1128"/>
      <c r="D1" s="1128"/>
      <c r="E1" s="1128"/>
      <c r="F1" s="1128"/>
      <c r="G1" s="1128"/>
      <c r="H1" s="1128"/>
      <c r="I1" s="1128"/>
      <c r="J1" s="1128"/>
      <c r="K1" s="1128"/>
      <c r="L1" s="1128"/>
      <c r="M1" s="1128"/>
    </row>
    <row r="2" spans="2:13">
      <c r="B2" s="654"/>
    </row>
    <row r="3" spans="2:13">
      <c r="B3" s="648" t="s">
        <v>1951</v>
      </c>
      <c r="C3" s="649" t="s">
        <v>1952</v>
      </c>
      <c r="D3" s="650" t="s">
        <v>1975</v>
      </c>
      <c r="E3" s="650" t="s">
        <v>6</v>
      </c>
      <c r="F3" s="651">
        <v>2019</v>
      </c>
      <c r="G3" s="652" t="s">
        <v>1978</v>
      </c>
      <c r="H3" s="650" t="s">
        <v>1976</v>
      </c>
      <c r="I3" s="653" t="s">
        <v>1953</v>
      </c>
      <c r="J3" s="652" t="s">
        <v>1979</v>
      </c>
      <c r="K3" s="650" t="s">
        <v>1977</v>
      </c>
      <c r="L3" s="653" t="s">
        <v>1954</v>
      </c>
      <c r="M3" s="648" t="s">
        <v>1972</v>
      </c>
    </row>
    <row r="4" spans="2:13">
      <c r="B4" s="639" t="s">
        <v>1955</v>
      </c>
      <c r="C4" s="660">
        <f>+Print_Mois!$J$13+Print_Mois!$J$15</f>
        <v>78</v>
      </c>
      <c r="D4" s="660">
        <f>+Print_Mois!$G$13+Print_Mois!$G$15</f>
        <v>63.928286403922016</v>
      </c>
      <c r="E4" s="660">
        <f>+Print_Mois!$D$13+Print_Mois!$D$15</f>
        <v>63.928286403922016</v>
      </c>
      <c r="F4" s="660">
        <f>+Print_Mois!$O$13+Print_Mois!$O$15</f>
        <v>78</v>
      </c>
      <c r="G4" s="662">
        <f>+IFERROR($C4-D4,"")</f>
        <v>14.071713596077984</v>
      </c>
      <c r="H4" s="661">
        <f>+IFERROR($C4-E4,"")</f>
        <v>14.071713596077984</v>
      </c>
      <c r="I4" s="663">
        <f>+IFERROR($C4-F4,"")</f>
        <v>0</v>
      </c>
      <c r="J4" s="675">
        <f t="shared" ref="J4:J15" si="0">+IFERROR(G4/ABS($D4),"")</f>
        <v>0.22011717171906992</v>
      </c>
      <c r="K4" s="676">
        <f t="shared" ref="K4:K15" si="1">+IFERROR(H4/ABS($E4),"")</f>
        <v>0.22011717171906992</v>
      </c>
      <c r="L4" s="677">
        <f t="shared" ref="L4:L15" si="2">+IFERROR(I4/ABS($F4),"")</f>
        <v>0</v>
      </c>
      <c r="M4" s="1125" t="s">
        <v>2954</v>
      </c>
    </row>
    <row r="5" spans="2:13">
      <c r="B5" s="640" t="s">
        <v>1956</v>
      </c>
      <c r="C5" s="1042">
        <f>+Print_Mois!$L$13+Print_Mois!$L$15</f>
        <v>122247.04999999984</v>
      </c>
      <c r="D5" s="1042">
        <f>+Print_Mois!$I$13+Print_Mois!$I$15</f>
        <v>84870.50440627546</v>
      </c>
      <c r="E5" s="1042">
        <f>+Print_Mois!$F$13+Print_Mois!$F$15</f>
        <v>61000.957983130189</v>
      </c>
      <c r="F5" s="1042">
        <f>+Print_Mois!$Q$13+Print_Mois!$Q$15</f>
        <v>41360.790000000037</v>
      </c>
      <c r="G5" s="1043">
        <f>+IFERROR($C5-D5,"")</f>
        <v>37376.545593724382</v>
      </c>
      <c r="H5" s="1044">
        <f t="shared" ref="G5:I15" si="3">+IFERROR($C5-E5,"")</f>
        <v>61246.092016869654</v>
      </c>
      <c r="I5" s="1045">
        <f t="shared" si="3"/>
        <v>80886.259999999806</v>
      </c>
      <c r="J5" s="1046">
        <f t="shared" si="0"/>
        <v>0.4403949977108973</v>
      </c>
      <c r="K5" s="1047">
        <f t="shared" si="1"/>
        <v>1.0040185276075051</v>
      </c>
      <c r="L5" s="1048">
        <f t="shared" si="2"/>
        <v>1.9556265728966911</v>
      </c>
      <c r="M5" s="1126"/>
    </row>
    <row r="6" spans="2:13">
      <c r="B6" s="640" t="s">
        <v>1957</v>
      </c>
      <c r="C6" s="1042">
        <f>+C5/C4</f>
        <v>1567.2698717948697</v>
      </c>
      <c r="D6" s="1042">
        <f t="shared" ref="D6:F6" si="4">+D5/D4</f>
        <v>1327.5892281866113</v>
      </c>
      <c r="E6" s="1042">
        <f t="shared" si="4"/>
        <v>954.20918367346951</v>
      </c>
      <c r="F6" s="1042">
        <f t="shared" si="4"/>
        <v>530.26653846153897</v>
      </c>
      <c r="G6" s="1043">
        <f t="shared" si="3"/>
        <v>239.68064360825838</v>
      </c>
      <c r="H6" s="1044">
        <f t="shared" si="3"/>
        <v>613.06068812140018</v>
      </c>
      <c r="I6" s="1045">
        <f t="shared" si="3"/>
        <v>1037.0033333333308</v>
      </c>
      <c r="J6" s="1046">
        <f t="shared" si="0"/>
        <v>0.18053825574921575</v>
      </c>
      <c r="K6" s="1047">
        <f t="shared" si="1"/>
        <v>0.64248038963664977</v>
      </c>
      <c r="L6" s="1048">
        <f t="shared" si="2"/>
        <v>1.9556265728966911</v>
      </c>
      <c r="M6" s="1126"/>
    </row>
    <row r="7" spans="2:13">
      <c r="B7" s="640" t="s">
        <v>1958</v>
      </c>
      <c r="C7" s="1042">
        <f>+Print_Mois!$L$31</f>
        <v>41980.82</v>
      </c>
      <c r="D7" s="1042">
        <f>+Print_Mois!$I$31</f>
        <v>25136.952920169508</v>
      </c>
      <c r="E7" s="1042">
        <f>+Print_Mois!$F$31</f>
        <v>24664.466247236225</v>
      </c>
      <c r="F7" s="1042">
        <f>+Print_Mois!$Q$31</f>
        <v>30014.5</v>
      </c>
      <c r="G7" s="1043">
        <f t="shared" si="3"/>
        <v>16843.867079830492</v>
      </c>
      <c r="H7" s="1044">
        <f t="shared" si="3"/>
        <v>17316.353752763775</v>
      </c>
      <c r="I7" s="1045">
        <f t="shared" si="3"/>
        <v>11966.32</v>
      </c>
      <c r="J7" s="1046">
        <f t="shared" si="0"/>
        <v>0.67008388539866459</v>
      </c>
      <c r="K7" s="1047">
        <f t="shared" si="1"/>
        <v>0.70207697094212029</v>
      </c>
      <c r="L7" s="1048">
        <f t="shared" si="2"/>
        <v>0.39868463575938295</v>
      </c>
      <c r="M7" s="1126"/>
    </row>
    <row r="8" spans="2:13">
      <c r="B8" s="640" t="s">
        <v>1959</v>
      </c>
      <c r="C8" s="1049">
        <f>+C7/C5</f>
        <v>0.34340967737053824</v>
      </c>
      <c r="D8" s="1049">
        <f t="shared" ref="D8:F8" si="5">+D7/D5</f>
        <v>0.2961800815962965</v>
      </c>
      <c r="E8" s="1049">
        <f t="shared" si="5"/>
        <v>0.40432916240523931</v>
      </c>
      <c r="F8" s="1049">
        <f t="shared" si="5"/>
        <v>0.72567521074911701</v>
      </c>
      <c r="G8" s="1050">
        <f t="shared" si="3"/>
        <v>4.7229595774241739E-2</v>
      </c>
      <c r="H8" s="1051">
        <f t="shared" si="3"/>
        <v>-6.0919485034701071E-2</v>
      </c>
      <c r="I8" s="1052">
        <f t="shared" si="3"/>
        <v>-0.38226553337857877</v>
      </c>
      <c r="J8" s="1046">
        <f t="shared" si="0"/>
        <v>0.15946243082820566</v>
      </c>
      <c r="K8" s="1047">
        <f t="shared" si="1"/>
        <v>-0.15066804648051693</v>
      </c>
      <c r="L8" s="1048">
        <f t="shared" si="2"/>
        <v>-0.52677220844289929</v>
      </c>
      <c r="M8" s="1126"/>
    </row>
    <row r="9" spans="2:13">
      <c r="B9" s="640" t="s">
        <v>1960</v>
      </c>
      <c r="C9" s="1042">
        <f>+Print_Mois!$L$24</f>
        <v>53578.880000000005</v>
      </c>
      <c r="D9" s="1042">
        <f>+Print_Mois!$I$24</f>
        <v>54339.043443333714</v>
      </c>
      <c r="E9" s="1042">
        <f>+Print_Mois!$F$24</f>
        <v>54339.043443333714</v>
      </c>
      <c r="F9" s="1042">
        <f>+Print_Mois!$Q$24</f>
        <v>46251.590000000004</v>
      </c>
      <c r="G9" s="1043">
        <f t="shared" si="3"/>
        <v>-760.16344333370944</v>
      </c>
      <c r="H9" s="1044">
        <f t="shared" si="3"/>
        <v>-760.16344333370944</v>
      </c>
      <c r="I9" s="1045">
        <f t="shared" si="3"/>
        <v>7327.2900000000009</v>
      </c>
      <c r="J9" s="1046">
        <f t="shared" si="0"/>
        <v>-1.3989268032044571E-2</v>
      </c>
      <c r="K9" s="1047">
        <f t="shared" si="1"/>
        <v>-1.3989268032044571E-2</v>
      </c>
      <c r="L9" s="1048">
        <f t="shared" si="2"/>
        <v>0.15842244558511395</v>
      </c>
      <c r="M9" s="1126"/>
    </row>
    <row r="10" spans="2:13">
      <c r="B10" s="640" t="s">
        <v>1961</v>
      </c>
      <c r="C10" s="1042">
        <f>+C9/C4</f>
        <v>686.90871794871805</v>
      </c>
      <c r="D10" s="1042">
        <f t="shared" ref="D10:F10" si="6">+D9/D4</f>
        <v>850</v>
      </c>
      <c r="E10" s="1042">
        <f t="shared" si="6"/>
        <v>850</v>
      </c>
      <c r="F10" s="1042">
        <f t="shared" si="6"/>
        <v>592.96910256410263</v>
      </c>
      <c r="G10" s="1043">
        <f t="shared" si="3"/>
        <v>-163.09128205128195</v>
      </c>
      <c r="H10" s="1044">
        <f t="shared" si="3"/>
        <v>-163.09128205128195</v>
      </c>
      <c r="I10" s="1045">
        <f t="shared" si="3"/>
        <v>93.939615384615422</v>
      </c>
      <c r="J10" s="1046">
        <f t="shared" si="0"/>
        <v>-0.19187209653091994</v>
      </c>
      <c r="K10" s="1047">
        <f t="shared" si="1"/>
        <v>-0.19187209653091994</v>
      </c>
      <c r="L10" s="1048">
        <f t="shared" si="2"/>
        <v>0.15842244558511398</v>
      </c>
      <c r="M10" s="1126"/>
    </row>
    <row r="11" spans="2:13">
      <c r="B11" s="640" t="s">
        <v>1962</v>
      </c>
      <c r="C11" s="1042">
        <f>+Print_Mois!$L$32</f>
        <v>15873.98</v>
      </c>
      <c r="D11" s="1042">
        <f>+Print_Mois!$I$32</f>
        <v>16301.713033000113</v>
      </c>
      <c r="E11" s="1042">
        <f>+Print_Mois!$F$32</f>
        <v>16301.713033000113</v>
      </c>
      <c r="F11" s="1042">
        <f>+Print_Mois!$Q$32</f>
        <v>20977.35</v>
      </c>
      <c r="G11" s="1043">
        <f t="shared" si="3"/>
        <v>-427.73303300011321</v>
      </c>
      <c r="H11" s="1044">
        <f t="shared" si="3"/>
        <v>-427.73303300011321</v>
      </c>
      <c r="I11" s="1045">
        <f t="shared" si="3"/>
        <v>-5103.369999999999</v>
      </c>
      <c r="J11" s="1046">
        <f t="shared" si="0"/>
        <v>-2.6238532854445336E-2</v>
      </c>
      <c r="K11" s="1047">
        <f t="shared" si="1"/>
        <v>-2.6238532854445336E-2</v>
      </c>
      <c r="L11" s="1048">
        <f t="shared" si="2"/>
        <v>-0.24328001391977536</v>
      </c>
      <c r="M11" s="1126"/>
    </row>
    <row r="12" spans="2:13">
      <c r="B12" s="640" t="s">
        <v>1963</v>
      </c>
      <c r="C12" s="1049">
        <f>+C11/C9</f>
        <v>0.29627308372254141</v>
      </c>
      <c r="D12" s="1049">
        <f t="shared" ref="D12:F12" si="7">+D11/D9</f>
        <v>0.3</v>
      </c>
      <c r="E12" s="1049">
        <f t="shared" si="7"/>
        <v>0.3</v>
      </c>
      <c r="F12" s="1049">
        <f t="shared" si="7"/>
        <v>0.45354873205440066</v>
      </c>
      <c r="G12" s="1053">
        <f t="shared" si="3"/>
        <v>-3.7269162774585807E-3</v>
      </c>
      <c r="H12" s="1047">
        <f t="shared" si="3"/>
        <v>-3.7269162774585807E-3</v>
      </c>
      <c r="I12" s="1054">
        <f t="shared" si="3"/>
        <v>-0.15727564833185925</v>
      </c>
      <c r="J12" s="1046">
        <f t="shared" si="0"/>
        <v>-1.242305425819527E-2</v>
      </c>
      <c r="K12" s="1047">
        <f t="shared" si="1"/>
        <v>-1.242305425819527E-2</v>
      </c>
      <c r="L12" s="1048">
        <f t="shared" si="2"/>
        <v>-0.34676681294964995</v>
      </c>
      <c r="M12" s="1126"/>
    </row>
    <row r="13" spans="2:13">
      <c r="B13" s="640" t="s">
        <v>1964</v>
      </c>
      <c r="C13" s="1042">
        <f>+Print_Mois!$L$41-C7-C11</f>
        <v>31611.659999999993</v>
      </c>
      <c r="D13" s="1042">
        <f>+Print_Mois!$I$41-D7-D11</f>
        <v>41484.083813126505</v>
      </c>
      <c r="E13" s="1042">
        <f>+Print_Mois!$F$41-E7-E11</f>
        <v>41361.222335068771</v>
      </c>
      <c r="F13" s="1042">
        <f>+Print_Mois!$Q$41-F7-F11</f>
        <v>42339.060000000005</v>
      </c>
      <c r="G13" s="1043">
        <f t="shared" si="3"/>
        <v>-9872.423813126512</v>
      </c>
      <c r="H13" s="1044">
        <f t="shared" si="3"/>
        <v>-9749.5623350687783</v>
      </c>
      <c r="I13" s="1045">
        <f t="shared" si="3"/>
        <v>-10727.400000000012</v>
      </c>
      <c r="J13" s="1046">
        <f t="shared" si="0"/>
        <v>-0.23798100152335178</v>
      </c>
      <c r="K13" s="1047">
        <f t="shared" si="1"/>
        <v>-0.23571746154132531</v>
      </c>
      <c r="L13" s="1048">
        <f t="shared" si="2"/>
        <v>-0.25336887498210897</v>
      </c>
      <c r="M13" s="1126"/>
    </row>
    <row r="14" spans="2:13">
      <c r="B14" s="640" t="s">
        <v>1965</v>
      </c>
      <c r="C14" s="1042">
        <f>+C13/C4</f>
        <v>405.27769230769223</v>
      </c>
      <c r="D14" s="1042">
        <f t="shared" ref="D14:F14" si="8">+D13/D4</f>
        <v>648.91593606959952</v>
      </c>
      <c r="E14" s="1042">
        <f t="shared" si="8"/>
        <v>646.99407197830431</v>
      </c>
      <c r="F14" s="1042">
        <f t="shared" si="8"/>
        <v>542.80846153846164</v>
      </c>
      <c r="G14" s="1043">
        <f t="shared" si="3"/>
        <v>-243.63824376190729</v>
      </c>
      <c r="H14" s="1044">
        <f t="shared" si="3"/>
        <v>-241.71637967061207</v>
      </c>
      <c r="I14" s="1045">
        <f t="shared" si="3"/>
        <v>-137.53076923076941</v>
      </c>
      <c r="J14" s="1046">
        <f t="shared" si="0"/>
        <v>-0.37545424641224384</v>
      </c>
      <c r="K14" s="1047">
        <f t="shared" si="1"/>
        <v>-0.37359906394740128</v>
      </c>
      <c r="L14" s="1048">
        <f t="shared" si="2"/>
        <v>-0.25336887498210897</v>
      </c>
      <c r="M14" s="1126"/>
    </row>
    <row r="15" spans="2:13">
      <c r="B15" s="640" t="s">
        <v>1966</v>
      </c>
      <c r="C15" s="1042">
        <f>+Print_Mois!$L$83</f>
        <v>138129</v>
      </c>
      <c r="D15" s="1042">
        <f>+Print_Mois!$I$83</f>
        <v>94764.540188772895</v>
      </c>
      <c r="E15" s="1042">
        <f>+Print_Mois!$F$83</f>
        <v>138213.07975947193</v>
      </c>
      <c r="F15" s="1042">
        <f>+Print_Mois!$Q$83</f>
        <v>94076</v>
      </c>
      <c r="G15" s="1043">
        <f t="shared" si="3"/>
        <v>43364.459811227105</v>
      </c>
      <c r="H15" s="1044">
        <f t="shared" si="3"/>
        <v>-84.079759471933357</v>
      </c>
      <c r="I15" s="1045">
        <f t="shared" si="3"/>
        <v>44053</v>
      </c>
      <c r="J15" s="1046">
        <f t="shared" si="0"/>
        <v>0.45760217613934723</v>
      </c>
      <c r="K15" s="1047">
        <f t="shared" si="1"/>
        <v>-6.0833431697097581E-4</v>
      </c>
      <c r="L15" s="1048">
        <f t="shared" si="2"/>
        <v>0.46827033462307072</v>
      </c>
      <c r="M15" s="1126"/>
    </row>
    <row r="16" spans="2:13">
      <c r="B16" s="642" t="s">
        <v>1967</v>
      </c>
      <c r="C16" s="1055"/>
      <c r="D16" s="1055"/>
      <c r="E16" s="1055"/>
      <c r="F16" s="1055"/>
      <c r="G16" s="1056"/>
      <c r="H16" s="1057"/>
      <c r="I16" s="1058"/>
      <c r="J16" s="1059"/>
      <c r="K16" s="1060"/>
      <c r="L16" s="1061"/>
      <c r="M16" s="1126"/>
    </row>
    <row r="17" spans="2:13">
      <c r="B17" s="686" t="s">
        <v>1955</v>
      </c>
      <c r="C17" s="1062">
        <v>163</v>
      </c>
      <c r="D17" s="1062">
        <v>141</v>
      </c>
      <c r="E17" s="1062">
        <v>141</v>
      </c>
      <c r="F17" s="1062">
        <v>286</v>
      </c>
      <c r="G17" s="1043">
        <f t="shared" ref="G17:I18" si="9">+IFERROR($C17-D17,"")</f>
        <v>22</v>
      </c>
      <c r="H17" s="1044">
        <f t="shared" si="9"/>
        <v>22</v>
      </c>
      <c r="I17" s="1045">
        <f t="shared" si="9"/>
        <v>-123</v>
      </c>
      <c r="J17" s="1046">
        <f>+IFERROR(G17/ABS($D17),"")</f>
        <v>0.15602836879432624</v>
      </c>
      <c r="K17" s="1047">
        <f>+IFERROR(H17/ABS($E17),"")</f>
        <v>0.15602836879432624</v>
      </c>
      <c r="L17" s="1048">
        <f>+IFERROR(I17/ABS($F17),"")</f>
        <v>-0.43006993006993005</v>
      </c>
      <c r="M17" s="1126"/>
    </row>
    <row r="18" spans="2:13">
      <c r="B18" s="687" t="s">
        <v>1917</v>
      </c>
      <c r="C18" s="1063">
        <v>5585588</v>
      </c>
      <c r="D18" s="1063">
        <v>5183315</v>
      </c>
      <c r="E18" s="1063">
        <v>5183315</v>
      </c>
      <c r="F18" s="1063">
        <v>8927537</v>
      </c>
      <c r="G18" s="1064">
        <f t="shared" si="9"/>
        <v>402273</v>
      </c>
      <c r="H18" s="1065">
        <f t="shared" si="9"/>
        <v>402273</v>
      </c>
      <c r="I18" s="1066">
        <f t="shared" si="9"/>
        <v>-3341949</v>
      </c>
      <c r="J18" s="1067">
        <f>+IFERROR(G18/ABS($D18),"")</f>
        <v>7.7609213408793412E-2</v>
      </c>
      <c r="K18" s="1068">
        <f>+IFERROR(H18/ABS($E18),"")</f>
        <v>7.7609213408793412E-2</v>
      </c>
      <c r="L18" s="1069">
        <f>+IFERROR(I18/ABS($F18),"")</f>
        <v>-0.37434165772709765</v>
      </c>
      <c r="M18" s="1127"/>
    </row>
    <row r="19" spans="2:13">
      <c r="C19" s="1070"/>
      <c r="D19" s="1070"/>
      <c r="E19" s="1070"/>
      <c r="F19" s="1070"/>
      <c r="G19" s="1070"/>
      <c r="H19" s="1070"/>
      <c r="I19" s="1070"/>
      <c r="J19" s="1070"/>
      <c r="K19" s="1070"/>
      <c r="L19" s="1070"/>
      <c r="M19" s="165"/>
    </row>
    <row r="20" spans="2:13">
      <c r="B20" s="643" t="s">
        <v>1949</v>
      </c>
      <c r="C20" s="644" t="s">
        <v>1952</v>
      </c>
      <c r="D20" s="644" t="s">
        <v>1975</v>
      </c>
      <c r="E20" s="644" t="s">
        <v>6</v>
      </c>
      <c r="F20" s="644">
        <v>2019</v>
      </c>
      <c r="G20" s="646" t="s">
        <v>1978</v>
      </c>
      <c r="H20" s="645" t="s">
        <v>1976</v>
      </c>
      <c r="I20" s="647" t="s">
        <v>1953</v>
      </c>
      <c r="J20" s="646" t="s">
        <v>1979</v>
      </c>
      <c r="K20" s="645" t="s">
        <v>1977</v>
      </c>
      <c r="L20" s="647" t="s">
        <v>1954</v>
      </c>
      <c r="M20" s="1091" t="s">
        <v>1972</v>
      </c>
    </row>
    <row r="21" spans="2:13">
      <c r="B21" s="639" t="s">
        <v>1955</v>
      </c>
      <c r="C21" s="660">
        <f>+Print_Mois!$J$96</f>
        <v>42</v>
      </c>
      <c r="D21" s="660">
        <f>+Print_Mois!$G$96</f>
        <v>24.069687227202081</v>
      </c>
      <c r="E21" s="660">
        <f>+Print_Mois!$D$96</f>
        <v>24.069687227202081</v>
      </c>
      <c r="F21" s="660">
        <f>+Print_Mois!$O$96</f>
        <v>33</v>
      </c>
      <c r="G21" s="662">
        <f t="shared" ref="G21:I32" si="10">+IFERROR($C21-D21,"")</f>
        <v>17.930312772797919</v>
      </c>
      <c r="H21" s="661">
        <f t="shared" si="10"/>
        <v>17.930312772797919</v>
      </c>
      <c r="I21" s="663">
        <f t="shared" si="10"/>
        <v>9</v>
      </c>
      <c r="J21" s="675">
        <f t="shared" ref="J21:J32" si="11">+IFERROR(G21/ABS($D21),"")</f>
        <v>0.74493335137874916</v>
      </c>
      <c r="K21" s="676">
        <f t="shared" ref="K21:K32" si="12">+IFERROR(H21/ABS($E21),"")</f>
        <v>0.74493335137874916</v>
      </c>
      <c r="L21" s="677">
        <f t="shared" ref="L21:L32" si="13">+IFERROR(I21/ABS($F21),"")</f>
        <v>0.27272727272727271</v>
      </c>
      <c r="M21" s="1125" t="s">
        <v>2955</v>
      </c>
    </row>
    <row r="22" spans="2:13">
      <c r="B22" s="640" t="s">
        <v>1956</v>
      </c>
      <c r="C22" s="1042">
        <f>+Print_Mois!$L$96</f>
        <v>39178.430000000022</v>
      </c>
      <c r="D22" s="1042">
        <f>+Print_Mois!$I$96</f>
        <v>18052.26542040156</v>
      </c>
      <c r="E22" s="1042">
        <f>+Print_Mois!$F$96</f>
        <v>18052.26542040156</v>
      </c>
      <c r="F22" s="1042">
        <f>+Print_Mois!$Q$96</f>
        <v>4871.7200000000148</v>
      </c>
      <c r="G22" s="1043">
        <f t="shared" si="10"/>
        <v>21126.164579598462</v>
      </c>
      <c r="H22" s="1044">
        <f t="shared" si="10"/>
        <v>21126.164579598462</v>
      </c>
      <c r="I22" s="1045">
        <f t="shared" si="10"/>
        <v>34306.710000000006</v>
      </c>
      <c r="J22" s="1046">
        <f t="shared" si="11"/>
        <v>1.1702777511637388</v>
      </c>
      <c r="K22" s="1047">
        <f t="shared" si="12"/>
        <v>1.1702777511637388</v>
      </c>
      <c r="L22" s="1048">
        <f t="shared" si="13"/>
        <v>7.0420118561821905</v>
      </c>
      <c r="M22" s="1126"/>
    </row>
    <row r="23" spans="2:13">
      <c r="B23" s="640" t="s">
        <v>1957</v>
      </c>
      <c r="C23" s="1042">
        <f>+C22/C21</f>
        <v>932.81976190476246</v>
      </c>
      <c r="D23" s="1042">
        <f t="shared" ref="D23:F23" si="14">+D22/D21</f>
        <v>750</v>
      </c>
      <c r="E23" s="1042">
        <f t="shared" si="14"/>
        <v>750</v>
      </c>
      <c r="F23" s="1042">
        <f t="shared" si="14"/>
        <v>147.62787878787924</v>
      </c>
      <c r="G23" s="1043">
        <f t="shared" si="10"/>
        <v>182.81976190476246</v>
      </c>
      <c r="H23" s="1044">
        <f t="shared" si="10"/>
        <v>182.81976190476246</v>
      </c>
      <c r="I23" s="1045">
        <f t="shared" si="10"/>
        <v>785.19188311688322</v>
      </c>
      <c r="J23" s="1046">
        <f t="shared" si="11"/>
        <v>0.24375968253968328</v>
      </c>
      <c r="K23" s="1047">
        <f t="shared" si="12"/>
        <v>0.24375968253968328</v>
      </c>
      <c r="L23" s="1048">
        <f t="shared" si="13"/>
        <v>5.3187236012860071</v>
      </c>
      <c r="M23" s="1126"/>
    </row>
    <row r="24" spans="2:13">
      <c r="B24" s="640" t="s">
        <v>1958</v>
      </c>
      <c r="C24" s="1042">
        <f>+Print_Mois!$L$111</f>
        <v>19590.259999999998</v>
      </c>
      <c r="D24" s="1042">
        <f>+Print_Mois!$I$111</f>
        <v>11976.554224242554</v>
      </c>
      <c r="E24" s="1042">
        <f>+Print_Mois!$F$111</f>
        <v>11976.554224242554</v>
      </c>
      <c r="F24" s="1042">
        <f>+Print_Mois!$Q$111</f>
        <v>11183.93</v>
      </c>
      <c r="G24" s="1043">
        <f t="shared" si="10"/>
        <v>7613.7057757574439</v>
      </c>
      <c r="H24" s="1044">
        <f t="shared" si="10"/>
        <v>7613.7057757574439</v>
      </c>
      <c r="I24" s="1045">
        <f t="shared" si="10"/>
        <v>8406.3299999999981</v>
      </c>
      <c r="J24" s="1046">
        <f t="shared" si="11"/>
        <v>0.6357175555842286</v>
      </c>
      <c r="K24" s="1047">
        <f t="shared" si="12"/>
        <v>0.6357175555842286</v>
      </c>
      <c r="L24" s="1048">
        <f t="shared" si="13"/>
        <v>0.75164365299139013</v>
      </c>
      <c r="M24" s="1126"/>
    </row>
    <row r="25" spans="2:13">
      <c r="B25" s="640" t="s">
        <v>1959</v>
      </c>
      <c r="C25" s="1049">
        <f>+C24/C22</f>
        <v>0.50002667284013136</v>
      </c>
      <c r="D25" s="1049">
        <f t="shared" ref="D25:E25" si="15">+D24/D22</f>
        <v>0.66343774287228185</v>
      </c>
      <c r="E25" s="1049">
        <f t="shared" si="15"/>
        <v>0.66343774287228185</v>
      </c>
      <c r="F25" s="1049">
        <f>+F24/F22</f>
        <v>2.2956840705130768</v>
      </c>
      <c r="G25" s="1050">
        <f t="shared" si="10"/>
        <v>-0.1634110700321505</v>
      </c>
      <c r="H25" s="1051">
        <f t="shared" si="10"/>
        <v>-0.1634110700321505</v>
      </c>
      <c r="I25" s="1052">
        <f t="shared" si="10"/>
        <v>-1.7956573976729455</v>
      </c>
      <c r="J25" s="1046">
        <f t="shared" si="11"/>
        <v>-0.24630957733076803</v>
      </c>
      <c r="K25" s="1047">
        <f t="shared" si="12"/>
        <v>-0.24630957733076803</v>
      </c>
      <c r="L25" s="1048">
        <f t="shared" si="13"/>
        <v>-0.78218837719757439</v>
      </c>
      <c r="M25" s="1126"/>
    </row>
    <row r="26" spans="2:13">
      <c r="B26" s="640" t="s">
        <v>1960</v>
      </c>
      <c r="C26" s="1042">
        <f>+Print_Mois!$L$104</f>
        <v>69859.679999999993</v>
      </c>
      <c r="D26" s="1042">
        <f>+Print_Mois!$I$104</f>
        <v>41289.132085648795</v>
      </c>
      <c r="E26" s="1042">
        <f>+Print_Mois!$F$104</f>
        <v>41289.132085648795</v>
      </c>
      <c r="F26" s="1042">
        <f>+Print_Mois!$Q$104</f>
        <v>42143.94</v>
      </c>
      <c r="G26" s="1043">
        <f t="shared" si="10"/>
        <v>28570.547914351198</v>
      </c>
      <c r="H26" s="1044">
        <f t="shared" si="10"/>
        <v>28570.547914351198</v>
      </c>
      <c r="I26" s="1045">
        <f t="shared" si="10"/>
        <v>27715.739999999991</v>
      </c>
      <c r="J26" s="1046">
        <f t="shared" si="11"/>
        <v>0.69196290818333039</v>
      </c>
      <c r="K26" s="1047">
        <f t="shared" si="12"/>
        <v>0.69196290818333039</v>
      </c>
      <c r="L26" s="1048">
        <f t="shared" si="13"/>
        <v>0.65764472899306492</v>
      </c>
      <c r="M26" s="1126"/>
    </row>
    <row r="27" spans="2:13">
      <c r="B27" s="640" t="s">
        <v>1961</v>
      </c>
      <c r="C27" s="1042">
        <f>+C26/C21</f>
        <v>1663.3257142857142</v>
      </c>
      <c r="D27" s="1042">
        <f t="shared" ref="D27:F27" si="16">+D26/D21</f>
        <v>1715.3996101364523</v>
      </c>
      <c r="E27" s="1042">
        <f t="shared" si="16"/>
        <v>1715.3996101364523</v>
      </c>
      <c r="F27" s="1042">
        <f t="shared" si="16"/>
        <v>1277.0890909090911</v>
      </c>
      <c r="G27" s="1043">
        <f t="shared" si="10"/>
        <v>-52.073895850738154</v>
      </c>
      <c r="H27" s="1044">
        <f t="shared" si="10"/>
        <v>-52.073895850738154</v>
      </c>
      <c r="I27" s="1045">
        <f t="shared" si="10"/>
        <v>386.23662337662313</v>
      </c>
      <c r="J27" s="1046">
        <f t="shared" si="11"/>
        <v>-3.03567142857144E-2</v>
      </c>
      <c r="K27" s="1047">
        <f t="shared" si="12"/>
        <v>-3.03567142857144E-2</v>
      </c>
      <c r="L27" s="1048">
        <f t="shared" si="13"/>
        <v>0.30243514420883671</v>
      </c>
      <c r="M27" s="1126"/>
    </row>
    <row r="28" spans="2:13">
      <c r="B28" s="640" t="s">
        <v>1962</v>
      </c>
      <c r="C28" s="1042">
        <f>+Print_Mois!$L$112</f>
        <v>22319.200000000001</v>
      </c>
      <c r="D28" s="1042">
        <f>+Print_Mois!$I$112</f>
        <v>12386.739625694638</v>
      </c>
      <c r="E28" s="1042">
        <f>+Print_Mois!$F$112</f>
        <v>12386.739625694638</v>
      </c>
      <c r="F28" s="1042">
        <f>+Print_Mois!$Q$112</f>
        <v>7116.21</v>
      </c>
      <c r="G28" s="1043">
        <f t="shared" si="10"/>
        <v>9932.4603743053631</v>
      </c>
      <c r="H28" s="1044">
        <f t="shared" si="10"/>
        <v>9932.4603743053631</v>
      </c>
      <c r="I28" s="1045">
        <f t="shared" si="10"/>
        <v>15202.990000000002</v>
      </c>
      <c r="J28" s="1046">
        <f t="shared" si="11"/>
        <v>0.80186236850428338</v>
      </c>
      <c r="K28" s="1047">
        <f t="shared" si="12"/>
        <v>0.80186236850428338</v>
      </c>
      <c r="L28" s="1048">
        <f t="shared" si="13"/>
        <v>2.1363886113535155</v>
      </c>
      <c r="M28" s="1126"/>
    </row>
    <row r="29" spans="2:13">
      <c r="B29" s="640" t="s">
        <v>1963</v>
      </c>
      <c r="C29" s="1049">
        <f>+C28/C26</f>
        <v>0.31948614708799128</v>
      </c>
      <c r="D29" s="1049">
        <f t="shared" ref="D29:F29" si="17">+D28/D26</f>
        <v>0.3</v>
      </c>
      <c r="E29" s="1049">
        <f t="shared" si="17"/>
        <v>0.3</v>
      </c>
      <c r="F29" s="1049">
        <f t="shared" si="17"/>
        <v>0.16885488162710938</v>
      </c>
      <c r="G29" s="1053">
        <f t="shared" si="10"/>
        <v>1.948614708799129E-2</v>
      </c>
      <c r="H29" s="1047">
        <f t="shared" si="10"/>
        <v>1.948614708799129E-2</v>
      </c>
      <c r="I29" s="1054">
        <f t="shared" si="10"/>
        <v>0.1506312654608819</v>
      </c>
      <c r="J29" s="1046">
        <f t="shared" si="11"/>
        <v>6.4953823626637638E-2</v>
      </c>
      <c r="K29" s="1047">
        <f t="shared" si="12"/>
        <v>6.4953823626637638E-2</v>
      </c>
      <c r="L29" s="1048">
        <f t="shared" si="13"/>
        <v>0.89207527795097097</v>
      </c>
      <c r="M29" s="1126"/>
    </row>
    <row r="30" spans="2:13">
      <c r="B30" s="640" t="s">
        <v>1964</v>
      </c>
      <c r="C30" s="1042">
        <f>+Print_Mois!$L$121-C24-C28</f>
        <v>9002.5599999999977</v>
      </c>
      <c r="D30" s="1042">
        <f>+Print_Mois!$I$121-D24-D28</f>
        <v>7134.6511153871324</v>
      </c>
      <c r="E30" s="1042">
        <f>+Print_Mois!$F$121-E24-E28</f>
        <v>7134.6511153871324</v>
      </c>
      <c r="F30" s="1042">
        <f>+Print_Mois!$Q$121-F24-F28</f>
        <v>7499.9299999999994</v>
      </c>
      <c r="G30" s="1043">
        <f t="shared" si="10"/>
        <v>1867.9088846128652</v>
      </c>
      <c r="H30" s="1044">
        <f t="shared" si="10"/>
        <v>1867.9088846128652</v>
      </c>
      <c r="I30" s="1045">
        <f t="shared" si="10"/>
        <v>1502.6299999999983</v>
      </c>
      <c r="J30" s="1046">
        <f t="shared" si="11"/>
        <v>0.26180802037879475</v>
      </c>
      <c r="K30" s="1047">
        <f t="shared" si="12"/>
        <v>0.26180802037879475</v>
      </c>
      <c r="L30" s="1048">
        <f t="shared" si="13"/>
        <v>0.20035253662367494</v>
      </c>
      <c r="M30" s="1126"/>
    </row>
    <row r="31" spans="2:13">
      <c r="B31" s="640" t="s">
        <v>1965</v>
      </c>
      <c r="C31" s="1042">
        <f>+C30/C21</f>
        <v>214.34666666666661</v>
      </c>
      <c r="D31" s="1042">
        <f t="shared" ref="D31:F31" si="18">+D30/D21</f>
        <v>296.41644480215712</v>
      </c>
      <c r="E31" s="1042">
        <f t="shared" si="18"/>
        <v>296.41644480215712</v>
      </c>
      <c r="F31" s="1042">
        <f t="shared" si="18"/>
        <v>227.27060606060604</v>
      </c>
      <c r="G31" s="1043">
        <f t="shared" si="10"/>
        <v>-82.069778135490509</v>
      </c>
      <c r="H31" s="1044">
        <f t="shared" si="10"/>
        <v>-82.069778135490509</v>
      </c>
      <c r="I31" s="1045">
        <f t="shared" si="10"/>
        <v>-12.923939393939435</v>
      </c>
      <c r="J31" s="1046">
        <f t="shared" si="11"/>
        <v>-0.27687322877874709</v>
      </c>
      <c r="K31" s="1047">
        <f t="shared" si="12"/>
        <v>-0.27687322877874709</v>
      </c>
      <c r="L31" s="1048">
        <f t="shared" si="13"/>
        <v>-5.6865864081398279E-2</v>
      </c>
      <c r="M31" s="1126"/>
    </row>
    <row r="32" spans="2:13">
      <c r="B32" s="640" t="s">
        <v>1966</v>
      </c>
      <c r="C32" s="1042">
        <f>+Print_Mois!$L$162</f>
        <v>23158</v>
      </c>
      <c r="D32" s="1042">
        <f>+Print_Mois!$I$162</f>
        <v>16060.288758064173</v>
      </c>
      <c r="E32" s="1042">
        <f>+Print_Mois!$F$162</f>
        <v>16060.288758064173</v>
      </c>
      <c r="F32" s="1042">
        <f>+Print_Mois!$Q$162</f>
        <v>11517</v>
      </c>
      <c r="G32" s="1043">
        <f t="shared" si="10"/>
        <v>7097.7112419358273</v>
      </c>
      <c r="H32" s="1044">
        <f t="shared" si="10"/>
        <v>7097.7112419358273</v>
      </c>
      <c r="I32" s="1045">
        <f t="shared" si="10"/>
        <v>11641</v>
      </c>
      <c r="J32" s="1046">
        <f t="shared" si="11"/>
        <v>0.44194169537405942</v>
      </c>
      <c r="K32" s="1047">
        <f t="shared" si="12"/>
        <v>0.44194169537405942</v>
      </c>
      <c r="L32" s="1048">
        <f t="shared" si="13"/>
        <v>1.0107666927151169</v>
      </c>
      <c r="M32" s="1126"/>
    </row>
    <row r="33" spans="2:13">
      <c r="B33" s="642" t="s">
        <v>1967</v>
      </c>
      <c r="C33" s="1055"/>
      <c r="D33" s="1055"/>
      <c r="E33" s="1055"/>
      <c r="F33" s="1055"/>
      <c r="G33" s="1056"/>
      <c r="H33" s="1057"/>
      <c r="I33" s="1058"/>
      <c r="J33" s="1059"/>
      <c r="K33" s="1060"/>
      <c r="L33" s="1061"/>
      <c r="M33" s="1126"/>
    </row>
    <row r="34" spans="2:13">
      <c r="B34" s="686" t="s">
        <v>1955</v>
      </c>
      <c r="C34" s="1062">
        <v>92</v>
      </c>
      <c r="D34" s="1062">
        <v>55</v>
      </c>
      <c r="E34" s="1062">
        <v>55</v>
      </c>
      <c r="F34" s="1062">
        <v>71</v>
      </c>
      <c r="G34" s="1043">
        <f t="shared" ref="G34:I35" si="19">+IFERROR($C34-D34,"")</f>
        <v>37</v>
      </c>
      <c r="H34" s="1044">
        <f t="shared" si="19"/>
        <v>37</v>
      </c>
      <c r="I34" s="1045">
        <f t="shared" si="19"/>
        <v>21</v>
      </c>
      <c r="J34" s="1046">
        <f>+IFERROR(G34/ABS($D34),"")</f>
        <v>0.67272727272727273</v>
      </c>
      <c r="K34" s="1047">
        <f>+IFERROR(H34/ABS($E34),"")</f>
        <v>0.67272727272727273</v>
      </c>
      <c r="L34" s="1048">
        <f>+IFERROR(I34/ABS($F34),"")</f>
        <v>0.29577464788732394</v>
      </c>
      <c r="M34" s="1126"/>
    </row>
    <row r="35" spans="2:13">
      <c r="B35" s="687" t="s">
        <v>1917</v>
      </c>
      <c r="C35" s="1063">
        <v>1586248</v>
      </c>
      <c r="D35" s="1063">
        <v>1014300</v>
      </c>
      <c r="E35" s="1063">
        <v>1014300</v>
      </c>
      <c r="F35" s="1063">
        <v>1100165</v>
      </c>
      <c r="G35" s="1064">
        <f t="shared" si="19"/>
        <v>571948</v>
      </c>
      <c r="H35" s="1065">
        <f t="shared" si="19"/>
        <v>571948</v>
      </c>
      <c r="I35" s="1066">
        <f t="shared" si="19"/>
        <v>486083</v>
      </c>
      <c r="J35" s="1067">
        <f>+IFERROR(G35/ABS($D35),"")</f>
        <v>0.56388445233165729</v>
      </c>
      <c r="K35" s="1068">
        <f>+IFERROR(H35/ABS($E35),"")</f>
        <v>0.56388445233165729</v>
      </c>
      <c r="L35" s="1069">
        <f>+IFERROR(I35/ABS($F35),"")</f>
        <v>0.44182736225929747</v>
      </c>
      <c r="M35" s="1127"/>
    </row>
    <row r="36" spans="2:13">
      <c r="C36" s="1070"/>
      <c r="D36" s="1070"/>
      <c r="E36" s="1070"/>
      <c r="F36" s="1070"/>
      <c r="G36" s="1070"/>
      <c r="H36" s="1070"/>
      <c r="I36" s="1070"/>
      <c r="J36" s="1070"/>
      <c r="K36" s="1070"/>
      <c r="L36" s="1070"/>
      <c r="M36" s="165"/>
    </row>
    <row r="37" spans="2:13">
      <c r="B37" s="655" t="s">
        <v>155</v>
      </c>
      <c r="C37" s="656" t="s">
        <v>1952</v>
      </c>
      <c r="D37" s="656" t="s">
        <v>1975</v>
      </c>
      <c r="E37" s="656" t="s">
        <v>6</v>
      </c>
      <c r="F37" s="656">
        <v>2019</v>
      </c>
      <c r="G37" s="658" t="s">
        <v>1978</v>
      </c>
      <c r="H37" s="657" t="s">
        <v>1976</v>
      </c>
      <c r="I37" s="659" t="s">
        <v>1953</v>
      </c>
      <c r="J37" s="658" t="s">
        <v>1979</v>
      </c>
      <c r="K37" s="657" t="s">
        <v>1977</v>
      </c>
      <c r="L37" s="659" t="s">
        <v>1954</v>
      </c>
      <c r="M37" s="1092" t="s">
        <v>1972</v>
      </c>
    </row>
    <row r="38" spans="2:13">
      <c r="B38" s="639" t="s">
        <v>1968</v>
      </c>
      <c r="C38" s="664">
        <f>+Print_Mois!$K$193</f>
        <v>230012.55</v>
      </c>
      <c r="D38" s="664">
        <f>+Print_Mois!$H$193</f>
        <v>224331.67499146704</v>
      </c>
      <c r="E38" s="664">
        <f>+Print_Mois!$E$193</f>
        <v>224331.67499146704</v>
      </c>
      <c r="F38" s="664">
        <f>+Print_Mois!$P$193</f>
        <v>219906.5</v>
      </c>
      <c r="G38" s="666">
        <f t="shared" ref="G38:I47" si="20">+IFERROR($C38-D38,"")</f>
        <v>5680.8750085329521</v>
      </c>
      <c r="H38" s="665">
        <f t="shared" si="20"/>
        <v>5680.8750085329521</v>
      </c>
      <c r="I38" s="667">
        <f t="shared" si="20"/>
        <v>10106.049999999988</v>
      </c>
      <c r="J38" s="675">
        <f t="shared" ref="J38:J47" si="21">+IFERROR(G38/ABS($D38),"")</f>
        <v>2.5323552765114589E-2</v>
      </c>
      <c r="K38" s="676">
        <f t="shared" ref="K38:K47" si="22">+IFERROR(H38/ABS($E38),"")</f>
        <v>2.5323552765114589E-2</v>
      </c>
      <c r="L38" s="677">
        <f t="shared" ref="L38:L47" si="23">+IFERROR(I38/ABS($F38),"")</f>
        <v>4.59561222610518E-2</v>
      </c>
      <c r="M38" s="1125" t="s">
        <v>2956</v>
      </c>
    </row>
    <row r="39" spans="2:13">
      <c r="B39" s="639" t="s">
        <v>1980</v>
      </c>
      <c r="C39" s="664">
        <f>+Print_Mois!$L$193</f>
        <v>160416.79</v>
      </c>
      <c r="D39" s="664">
        <f>+Print_Mois!$I$193</f>
        <v>148974.87890179196</v>
      </c>
      <c r="E39" s="664">
        <f>+Print_Mois!$F$193</f>
        <v>148974.87890179196</v>
      </c>
      <c r="F39" s="664">
        <f>+Print_Mois!$Q$193</f>
        <v>136594.91</v>
      </c>
      <c r="G39" s="666">
        <f t="shared" si="20"/>
        <v>11441.911098208046</v>
      </c>
      <c r="H39" s="665">
        <f t="shared" si="20"/>
        <v>11441.911098208046</v>
      </c>
      <c r="I39" s="667">
        <f t="shared" si="20"/>
        <v>23821.880000000005</v>
      </c>
      <c r="J39" s="678">
        <f t="shared" si="21"/>
        <v>7.6804298701600854E-2</v>
      </c>
      <c r="K39" s="679">
        <f t="shared" si="22"/>
        <v>7.6804298701600854E-2</v>
      </c>
      <c r="L39" s="680">
        <f t="shared" si="23"/>
        <v>0.17439800648501474</v>
      </c>
      <c r="M39" s="1126"/>
    </row>
    <row r="40" spans="2:13">
      <c r="B40" s="640" t="s">
        <v>1981</v>
      </c>
      <c r="C40" s="1042">
        <f>+Print_Mois!$K$171/Print_Mois!$J$171</f>
        <v>224.72884711779449</v>
      </c>
      <c r="D40" s="1042">
        <f>+IFERROR(Print_Mois!$H$171/Print_Mois!$G$171,"")</f>
        <v>245.43848580441642</v>
      </c>
      <c r="E40" s="1042">
        <f>+IFERROR(Print_Mois!$E$171/Print_Mois!$D$171,"")</f>
        <v>245.43848580441642</v>
      </c>
      <c r="F40" s="1042">
        <f>+Print_Mois!$P$171/Print_Mois!$O$171</f>
        <v>239.17334302325582</v>
      </c>
      <c r="G40" s="1043">
        <f t="shared" si="20"/>
        <v>-20.709638686621929</v>
      </c>
      <c r="H40" s="1044">
        <f t="shared" si="20"/>
        <v>-20.709638686621929</v>
      </c>
      <c r="I40" s="1045">
        <f t="shared" si="20"/>
        <v>-14.444495905461338</v>
      </c>
      <c r="J40" s="1046">
        <f t="shared" si="21"/>
        <v>-8.4378122765656663E-2</v>
      </c>
      <c r="K40" s="1047">
        <f t="shared" si="22"/>
        <v>-8.4378122765656663E-2</v>
      </c>
      <c r="L40" s="1048">
        <f t="shared" si="23"/>
        <v>-6.0393418944087091E-2</v>
      </c>
      <c r="M40" s="1126"/>
    </row>
    <row r="41" spans="2:13">
      <c r="B41" s="640" t="s">
        <v>1982</v>
      </c>
      <c r="C41" s="1042">
        <f>+Print_Mois!$K$174/Print_Mois!$J$174</f>
        <v>207.33352941176472</v>
      </c>
      <c r="D41" s="1042">
        <f>+IFERROR(Print_Mois!$H$174/Print_Mois!$G$174,"")</f>
        <v>176.73400250941029</v>
      </c>
      <c r="E41" s="1042">
        <f>+IFERROR(Print_Mois!$E$174/Print_Mois!$D$174,"")</f>
        <v>176.73400250941029</v>
      </c>
      <c r="F41" s="1042">
        <f>+Print_Mois!$P$174/Print_Mois!$O$174</f>
        <v>229.84492907801416</v>
      </c>
      <c r="G41" s="1043">
        <f t="shared" si="20"/>
        <v>30.599526902354427</v>
      </c>
      <c r="H41" s="1044">
        <f t="shared" si="20"/>
        <v>30.599526902354427</v>
      </c>
      <c r="I41" s="1045">
        <f t="shared" si="20"/>
        <v>-22.511399666249446</v>
      </c>
      <c r="J41" s="1046">
        <f t="shared" si="21"/>
        <v>0.17313887801938474</v>
      </c>
      <c r="K41" s="1047">
        <f t="shared" si="22"/>
        <v>0.17313887801938474</v>
      </c>
      <c r="L41" s="1048">
        <f t="shared" si="23"/>
        <v>-9.7941685102866063E-2</v>
      </c>
      <c r="M41" s="1126"/>
    </row>
    <row r="42" spans="2:13">
      <c r="B42" s="640" t="s">
        <v>1971</v>
      </c>
      <c r="C42" s="1071">
        <f>+Print_Mois!$L$183</f>
        <v>-3087.66</v>
      </c>
      <c r="D42" s="1071">
        <f>+Print_Mois!$I$183</f>
        <v>-3475.7080423797106</v>
      </c>
      <c r="E42" s="1071">
        <f>+Print_Mois!$F$183</f>
        <v>-3475.7080423797106</v>
      </c>
      <c r="F42" s="1071">
        <f>+Print_Mois!$Q$183</f>
        <v>-3388.98</v>
      </c>
      <c r="G42" s="1043">
        <f t="shared" si="20"/>
        <v>388.04804237971075</v>
      </c>
      <c r="H42" s="1044">
        <f t="shared" si="20"/>
        <v>388.04804237971075</v>
      </c>
      <c r="I42" s="1045">
        <f t="shared" si="20"/>
        <v>301.32000000000016</v>
      </c>
      <c r="J42" s="1046">
        <f t="shared" si="21"/>
        <v>0.11164575322443543</v>
      </c>
      <c r="K42" s="1047">
        <f t="shared" si="22"/>
        <v>0.11164575322443543</v>
      </c>
      <c r="L42" s="1048">
        <f t="shared" si="23"/>
        <v>8.891170794752408E-2</v>
      </c>
      <c r="M42" s="1126"/>
    </row>
    <row r="43" spans="2:13">
      <c r="B43" s="640" t="s">
        <v>1983</v>
      </c>
      <c r="C43" s="1042">
        <f>+Print_Mois!$L$209</f>
        <v>117199.28</v>
      </c>
      <c r="D43" s="1042">
        <f>+Print_Mois!$I$209</f>
        <v>118025.49781850743</v>
      </c>
      <c r="E43" s="1042">
        <f>+Print_Mois!$F$209</f>
        <v>118025.49781850743</v>
      </c>
      <c r="F43" s="1042">
        <f>+Print_Mois!$Q$209</f>
        <v>83086.489999999991</v>
      </c>
      <c r="G43" s="1043">
        <f t="shared" si="20"/>
        <v>-826.21781850742991</v>
      </c>
      <c r="H43" s="1044">
        <f t="shared" si="20"/>
        <v>-826.21781850742991</v>
      </c>
      <c r="I43" s="1045">
        <f t="shared" si="20"/>
        <v>34112.790000000008</v>
      </c>
      <c r="J43" s="1046">
        <f t="shared" si="21"/>
        <v>-7.0003332650876715E-3</v>
      </c>
      <c r="K43" s="1047">
        <f t="shared" si="22"/>
        <v>-7.0003332650876715E-3</v>
      </c>
      <c r="L43" s="1048">
        <f t="shared" si="23"/>
        <v>0.41056963653176359</v>
      </c>
      <c r="M43" s="1126"/>
    </row>
    <row r="44" spans="2:13">
      <c r="B44" s="641" t="s">
        <v>1984</v>
      </c>
      <c r="C44" s="1042">
        <f>+SUM(Print_Mois!$L$197:$L$203)</f>
        <v>59519.28</v>
      </c>
      <c r="D44" s="1042">
        <f>+SUM(Print_Mois!$I$197:$I$203)</f>
        <v>67264.681529351728</v>
      </c>
      <c r="E44" s="1042">
        <f>+SUM(Print_Mois!$F$197:$F$203)</f>
        <v>67264.681529351728</v>
      </c>
      <c r="F44" s="1042">
        <f>+SUM(Print_Mois!$Q$197:$Q$203)</f>
        <v>44715.77</v>
      </c>
      <c r="G44" s="1043">
        <f t="shared" si="20"/>
        <v>-7745.4015293517296</v>
      </c>
      <c r="H44" s="1044">
        <f t="shared" si="20"/>
        <v>-7745.4015293517296</v>
      </c>
      <c r="I44" s="1045">
        <f t="shared" si="20"/>
        <v>14803.510000000002</v>
      </c>
      <c r="J44" s="1046">
        <f t="shared" si="21"/>
        <v>-0.11514811864487805</v>
      </c>
      <c r="K44" s="1047">
        <f t="shared" si="22"/>
        <v>-0.11514811864487805</v>
      </c>
      <c r="L44" s="1048">
        <f t="shared" si="23"/>
        <v>0.33105792430724112</v>
      </c>
      <c r="M44" s="1126"/>
    </row>
    <row r="45" spans="2:13">
      <c r="B45" s="641" t="s">
        <v>1985</v>
      </c>
      <c r="C45" s="1042">
        <f>+SUM(Print_Mois!$L$204:$L$208)</f>
        <v>57680</v>
      </c>
      <c r="D45" s="1042">
        <f>+SUM(Print_Mois!$I$204:$I$208)</f>
        <v>50760.8162891557</v>
      </c>
      <c r="E45" s="1042">
        <f>+SUM(Print_Mois!$F$204:$F$208)</f>
        <v>50760.8162891557</v>
      </c>
      <c r="F45" s="1042">
        <f>+SUM(Print_Mois!$Q$204:$Q$208)</f>
        <v>38370.720000000001</v>
      </c>
      <c r="G45" s="1043">
        <f t="shared" si="20"/>
        <v>6919.1837108442996</v>
      </c>
      <c r="H45" s="1044">
        <f t="shared" si="20"/>
        <v>6919.1837108442996</v>
      </c>
      <c r="I45" s="1045">
        <f t="shared" si="20"/>
        <v>19309.28</v>
      </c>
      <c r="J45" s="1046">
        <f t="shared" si="21"/>
        <v>0.13630954379121127</v>
      </c>
      <c r="K45" s="1047">
        <f t="shared" si="22"/>
        <v>0.13630954379121127</v>
      </c>
      <c r="L45" s="1048">
        <f t="shared" si="23"/>
        <v>0.50322954586205315</v>
      </c>
      <c r="M45" s="1126"/>
    </row>
    <row r="46" spans="2:13">
      <c r="B46" s="640" t="s">
        <v>1994</v>
      </c>
      <c r="C46" s="1072">
        <f>+C43/C38</f>
        <v>0.50953428410754109</v>
      </c>
      <c r="D46" s="1072">
        <f t="shared" ref="D46:E46" si="24">+D43/D38</f>
        <v>0.5261205214243454</v>
      </c>
      <c r="E46" s="1072">
        <f t="shared" si="24"/>
        <v>0.5261205214243454</v>
      </c>
      <c r="F46" s="1072">
        <f>+F43/F38</f>
        <v>0.37782643987330977</v>
      </c>
      <c r="G46" s="1073">
        <f t="shared" si="20"/>
        <v>-1.6586237316804309E-2</v>
      </c>
      <c r="H46" s="1074">
        <f t="shared" si="20"/>
        <v>-1.6586237316804309E-2</v>
      </c>
      <c r="I46" s="1075">
        <f t="shared" si="20"/>
        <v>0.13170784423423132</v>
      </c>
      <c r="J46" s="1046">
        <f t="shared" si="21"/>
        <v>-3.1525547172919693E-2</v>
      </c>
      <c r="K46" s="1047">
        <f t="shared" si="22"/>
        <v>-3.1525547172919693E-2</v>
      </c>
      <c r="L46" s="1048">
        <f t="shared" si="23"/>
        <v>0.34859350838018299</v>
      </c>
      <c r="M46" s="1126"/>
    </row>
    <row r="47" spans="2:13">
      <c r="B47" s="668" t="s">
        <v>123</v>
      </c>
      <c r="C47" s="1076">
        <f>+Print_Mois!$L$212</f>
        <v>17414.099999999999</v>
      </c>
      <c r="D47" s="1076">
        <f>+Print_Mois!$I$212</f>
        <v>16764.080000000002</v>
      </c>
      <c r="E47" s="1076">
        <f>+Print_Mois!$F$212</f>
        <v>16764.080000000002</v>
      </c>
      <c r="F47" s="1076">
        <f>+Print_Mois!$Q$212</f>
        <v>12606.24</v>
      </c>
      <c r="G47" s="1064">
        <f t="shared" si="20"/>
        <v>650.0199999999968</v>
      </c>
      <c r="H47" s="1065">
        <f t="shared" si="20"/>
        <v>650.0199999999968</v>
      </c>
      <c r="I47" s="1066">
        <f t="shared" si="20"/>
        <v>4807.8599999999988</v>
      </c>
      <c r="J47" s="1067">
        <f t="shared" si="21"/>
        <v>3.8774570390978612E-2</v>
      </c>
      <c r="K47" s="1068">
        <f t="shared" si="22"/>
        <v>3.8774570390978612E-2</v>
      </c>
      <c r="L47" s="1069">
        <f t="shared" si="23"/>
        <v>0.38138731294977718</v>
      </c>
      <c r="M47" s="1127"/>
    </row>
    <row r="48" spans="2:13">
      <c r="C48" s="1070"/>
      <c r="D48" s="1070"/>
      <c r="E48" s="1070"/>
      <c r="F48" s="1070"/>
      <c r="G48" s="1070"/>
      <c r="H48" s="1070"/>
      <c r="I48" s="1070"/>
      <c r="J48" s="1070"/>
      <c r="K48" s="1070"/>
      <c r="L48" s="1070"/>
      <c r="M48" s="165"/>
    </row>
    <row r="49" spans="2:13">
      <c r="B49" s="669" t="s">
        <v>1973</v>
      </c>
      <c r="C49" s="670" t="s">
        <v>1952</v>
      </c>
      <c r="D49" s="670" t="s">
        <v>1975</v>
      </c>
      <c r="E49" s="670" t="s">
        <v>6</v>
      </c>
      <c r="F49" s="670">
        <v>2019</v>
      </c>
      <c r="G49" s="672" t="s">
        <v>1978</v>
      </c>
      <c r="H49" s="671" t="s">
        <v>1976</v>
      </c>
      <c r="I49" s="673" t="s">
        <v>1953</v>
      </c>
      <c r="J49" s="672" t="s">
        <v>1979</v>
      </c>
      <c r="K49" s="671" t="s">
        <v>1977</v>
      </c>
      <c r="L49" s="673" t="s">
        <v>1954</v>
      </c>
      <c r="M49" s="1093" t="s">
        <v>1972</v>
      </c>
    </row>
    <row r="50" spans="2:13">
      <c r="B50" s="674" t="s">
        <v>1968</v>
      </c>
      <c r="C50" s="664">
        <f>+Print_Mois!$J$313</f>
        <v>298360.31999999995</v>
      </c>
      <c r="D50" s="664">
        <f>+Print_Mois!$G$313</f>
        <v>324516.87506145675</v>
      </c>
      <c r="E50" s="664">
        <f>+Print_Mois!$D$313</f>
        <v>324516.87506145675</v>
      </c>
      <c r="F50" s="664">
        <f>+Print_Mois!$O$313</f>
        <v>345654.52999999997</v>
      </c>
      <c r="G50" s="666">
        <f t="shared" ref="G50:I59" si="25">+IFERROR($C50-D50,"")</f>
        <v>-26156.555061456806</v>
      </c>
      <c r="H50" s="665">
        <f t="shared" si="25"/>
        <v>-26156.555061456806</v>
      </c>
      <c r="I50" s="667">
        <f t="shared" si="25"/>
        <v>-47294.210000000021</v>
      </c>
      <c r="J50" s="675">
        <f t="shared" ref="J50:J59" si="26">+IFERROR(G50/ABS($D50),"")</f>
        <v>-8.0601525133333352E-2</v>
      </c>
      <c r="K50" s="676">
        <f t="shared" ref="K50:K59" si="27">+IFERROR(H50/ABS($E50),"")</f>
        <v>-8.0601525133333352E-2</v>
      </c>
      <c r="L50" s="677">
        <f t="shared" ref="L50:L59" si="28">+IFERROR(I50/ABS($F50),"")</f>
        <v>-0.13682508370424085</v>
      </c>
      <c r="M50" s="1125" t="s">
        <v>2957</v>
      </c>
    </row>
    <row r="51" spans="2:13">
      <c r="B51" s="1077" t="s">
        <v>1969</v>
      </c>
      <c r="C51" s="1042">
        <f>+Print_Mois!$J$294</f>
        <v>51335.82</v>
      </c>
      <c r="D51" s="1042">
        <f>+Print_Mois!$G$294</f>
        <v>59152.790459572665</v>
      </c>
      <c r="E51" s="1042">
        <f>+Print_Mois!$D$294</f>
        <v>59152.790459572665</v>
      </c>
      <c r="F51" s="1042">
        <f>+Print_Mois!$O$294</f>
        <v>58273.840000000004</v>
      </c>
      <c r="G51" s="1043">
        <f t="shared" si="25"/>
        <v>-7816.9704595726653</v>
      </c>
      <c r="H51" s="1044">
        <f t="shared" si="25"/>
        <v>-7816.9704595726653</v>
      </c>
      <c r="I51" s="1045">
        <f t="shared" si="25"/>
        <v>-6938.0200000000041</v>
      </c>
      <c r="J51" s="1046">
        <f t="shared" si="26"/>
        <v>-0.13214880310532584</v>
      </c>
      <c r="K51" s="1047">
        <f t="shared" si="27"/>
        <v>-0.13214880310532584</v>
      </c>
      <c r="L51" s="1048">
        <f t="shared" si="28"/>
        <v>-0.11905891219799491</v>
      </c>
      <c r="M51" s="1126"/>
    </row>
    <row r="52" spans="2:13">
      <c r="B52" s="1077" t="s">
        <v>1970</v>
      </c>
      <c r="C52" s="1042">
        <f>+Print_Mois!$J$296</f>
        <v>48253</v>
      </c>
      <c r="D52" s="1042">
        <f>+Print_Mois!$G$296</f>
        <v>73637.814532344011</v>
      </c>
      <c r="E52" s="1042">
        <f>+Print_Mois!$D$296</f>
        <v>73637.814532344011</v>
      </c>
      <c r="F52" s="1042">
        <f>+Print_Mois!$O$296</f>
        <v>78789.27</v>
      </c>
      <c r="G52" s="1043">
        <f t="shared" si="25"/>
        <v>-25384.814532344011</v>
      </c>
      <c r="H52" s="1044">
        <f t="shared" si="25"/>
        <v>-25384.814532344011</v>
      </c>
      <c r="I52" s="1045">
        <f t="shared" si="25"/>
        <v>-30536.270000000004</v>
      </c>
      <c r="J52" s="1046">
        <f t="shared" si="26"/>
        <v>-0.34472525690172695</v>
      </c>
      <c r="K52" s="1047">
        <f t="shared" si="27"/>
        <v>-0.34472525690172695</v>
      </c>
      <c r="L52" s="1048">
        <f t="shared" si="28"/>
        <v>-0.38756889104315856</v>
      </c>
      <c r="M52" s="1126"/>
    </row>
    <row r="53" spans="2:13">
      <c r="B53" s="1077" t="s">
        <v>1986</v>
      </c>
      <c r="C53" s="1042">
        <f>+Print_Mois!$J$299</f>
        <v>51046.5</v>
      </c>
      <c r="D53" s="1042">
        <f>+Print_Mois!$G$299</f>
        <v>57358.521558253393</v>
      </c>
      <c r="E53" s="1042">
        <f>+Print_Mois!$D$299</f>
        <v>57358.521558253393</v>
      </c>
      <c r="F53" s="1042">
        <f>+Print_Mois!$O$299</f>
        <v>46810.51</v>
      </c>
      <c r="G53" s="1043">
        <f t="shared" si="25"/>
        <v>-6312.0215582533929</v>
      </c>
      <c r="H53" s="1044">
        <f t="shared" si="25"/>
        <v>-6312.0215582533929</v>
      </c>
      <c r="I53" s="1045">
        <f t="shared" si="25"/>
        <v>4235.989999999998</v>
      </c>
      <c r="J53" s="1046">
        <f t="shared" si="26"/>
        <v>-0.11004505323316074</v>
      </c>
      <c r="K53" s="1047">
        <f t="shared" si="27"/>
        <v>-0.11004505323316074</v>
      </c>
      <c r="L53" s="1048">
        <f t="shared" si="28"/>
        <v>9.049228474545562E-2</v>
      </c>
      <c r="M53" s="1126"/>
    </row>
    <row r="54" spans="2:13">
      <c r="B54" s="1077" t="s">
        <v>1987</v>
      </c>
      <c r="C54" s="1042">
        <f>+Print_Mois!$J$306</f>
        <v>28202.46</v>
      </c>
      <c r="D54" s="1042">
        <f>+Print_Mois!$G$306</f>
        <v>26460.109588023632</v>
      </c>
      <c r="E54" s="1042">
        <f>+Print_Mois!$D$306</f>
        <v>26460.109588023632</v>
      </c>
      <c r="F54" s="1042">
        <f>+Print_Mois!$O$306</f>
        <v>29530.14</v>
      </c>
      <c r="G54" s="1043">
        <f t="shared" si="25"/>
        <v>1742.3504119763675</v>
      </c>
      <c r="H54" s="1044">
        <f t="shared" si="25"/>
        <v>1742.3504119763675</v>
      </c>
      <c r="I54" s="1045">
        <f t="shared" si="25"/>
        <v>-1327.6800000000003</v>
      </c>
      <c r="J54" s="1046">
        <f t="shared" si="26"/>
        <v>6.5848193341005279E-2</v>
      </c>
      <c r="K54" s="1047">
        <f t="shared" si="27"/>
        <v>6.5848193341005279E-2</v>
      </c>
      <c r="L54" s="1048">
        <f t="shared" si="28"/>
        <v>-4.4960166121799636E-2</v>
      </c>
      <c r="M54" s="1126"/>
    </row>
    <row r="55" spans="2:13">
      <c r="B55" s="1077" t="s">
        <v>1988</v>
      </c>
      <c r="C55" s="1042">
        <f>+C50-SUM(C51:C54)</f>
        <v>119522.53999999995</v>
      </c>
      <c r="D55" s="1042">
        <f t="shared" ref="D55:F55" si="29">+D50-SUM(D51:D54)</f>
        <v>107907.63892326306</v>
      </c>
      <c r="E55" s="1042">
        <f t="shared" si="29"/>
        <v>107907.63892326306</v>
      </c>
      <c r="F55" s="1042">
        <f t="shared" si="29"/>
        <v>132250.76999999996</v>
      </c>
      <c r="G55" s="1043">
        <f t="shared" si="25"/>
        <v>11614.901076736889</v>
      </c>
      <c r="H55" s="1044">
        <f t="shared" si="25"/>
        <v>11614.901076736889</v>
      </c>
      <c r="I55" s="1045">
        <f t="shared" si="25"/>
        <v>-12728.23000000001</v>
      </c>
      <c r="J55" s="1046">
        <f t="shared" si="26"/>
        <v>0.10763743134994044</v>
      </c>
      <c r="K55" s="1047">
        <f t="shared" si="27"/>
        <v>0.10763743134994044</v>
      </c>
      <c r="L55" s="1048">
        <f t="shared" si="28"/>
        <v>-9.6243144746907816E-2</v>
      </c>
      <c r="M55" s="1126"/>
    </row>
    <row r="56" spans="2:13">
      <c r="B56" s="639" t="s">
        <v>1980</v>
      </c>
      <c r="C56" s="664">
        <f>+Print_Mois!$L$313</f>
        <v>87097.02999999997</v>
      </c>
      <c r="D56" s="664">
        <f>+Print_Mois!$I$313</f>
        <v>96414.239360298787</v>
      </c>
      <c r="E56" s="664">
        <f>+Print_Mois!$F$313</f>
        <v>96414.239360298787</v>
      </c>
      <c r="F56" s="664">
        <f>+Print_Mois!$Q$313</f>
        <v>127460.20000000003</v>
      </c>
      <c r="G56" s="666">
        <f t="shared" si="25"/>
        <v>-9317.209360298817</v>
      </c>
      <c r="H56" s="665">
        <f t="shared" si="25"/>
        <v>-9317.209360298817</v>
      </c>
      <c r="I56" s="667">
        <f t="shared" si="25"/>
        <v>-40363.170000000056</v>
      </c>
      <c r="J56" s="678">
        <f t="shared" si="26"/>
        <v>-9.6637274972221937E-2</v>
      </c>
      <c r="K56" s="679">
        <f t="shared" si="27"/>
        <v>-9.6637274972221937E-2</v>
      </c>
      <c r="L56" s="680">
        <f t="shared" si="28"/>
        <v>-0.31667273392007894</v>
      </c>
      <c r="M56" s="1126"/>
    </row>
    <row r="57" spans="2:13">
      <c r="B57" s="640" t="s">
        <v>1981</v>
      </c>
      <c r="C57" s="1042">
        <f>+Print_Mois!$J$294/Print_Mois!$J$171</f>
        <v>128.66120300751879</v>
      </c>
      <c r="D57" s="1042">
        <f>+IFERROR(Print_Mois!$G$294/Print_Mois!$G$171,"")</f>
        <v>149.40802223219555</v>
      </c>
      <c r="E57" s="1042">
        <f>+IFERROR(Print_Mois!$D$294/Print_Mois!$D$171,"")</f>
        <v>149.40802223219555</v>
      </c>
      <c r="F57" s="1042">
        <f>+Print_Mois!$O$294/Print_Mois!$O$171</f>
        <v>169.40069767441861</v>
      </c>
      <c r="G57" s="1043">
        <f t="shared" si="25"/>
        <v>-20.746819224676756</v>
      </c>
      <c r="H57" s="1044">
        <f t="shared" si="25"/>
        <v>-20.746819224676756</v>
      </c>
      <c r="I57" s="1045">
        <f t="shared" si="25"/>
        <v>-40.739494666899816</v>
      </c>
      <c r="J57" s="1046">
        <f t="shared" si="26"/>
        <v>-0.13886014227826435</v>
      </c>
      <c r="K57" s="1047">
        <f t="shared" si="27"/>
        <v>-0.13886014227826435</v>
      </c>
      <c r="L57" s="1048">
        <f t="shared" si="28"/>
        <v>-0.24049189422584022</v>
      </c>
      <c r="M57" s="1126"/>
    </row>
    <row r="58" spans="2:13">
      <c r="B58" s="640" t="s">
        <v>1982</v>
      </c>
      <c r="C58" s="1042">
        <f>+Print_Mois!$J$296/Print_Mois!$J$174</f>
        <v>236.53431372549019</v>
      </c>
      <c r="D58" s="1042">
        <f>+IFERROR(Print_Mois!$G$296/Print_Mois!$G$174,"")</f>
        <v>258.1604573305865</v>
      </c>
      <c r="E58" s="1042">
        <f>+IFERROR(Print_Mois!$D$296/Print_Mois!$D$174,"")</f>
        <v>258.1604573305865</v>
      </c>
      <c r="F58" s="1042">
        <f>+Print_Mois!$O$296/Print_Mois!$O$174</f>
        <v>279.39457446808512</v>
      </c>
      <c r="G58" s="1043">
        <f t="shared" si="25"/>
        <v>-21.626143605096303</v>
      </c>
      <c r="H58" s="1044">
        <f t="shared" si="25"/>
        <v>-21.626143605096303</v>
      </c>
      <c r="I58" s="1045">
        <f t="shared" si="25"/>
        <v>-42.860260742594932</v>
      </c>
      <c r="J58" s="1046">
        <f t="shared" si="26"/>
        <v>-8.3770163055618616E-2</v>
      </c>
      <c r="K58" s="1047">
        <f t="shared" si="27"/>
        <v>-8.3770163055618616E-2</v>
      </c>
      <c r="L58" s="1048">
        <f t="shared" si="28"/>
        <v>-0.15340405526554277</v>
      </c>
      <c r="M58" s="1126"/>
    </row>
    <row r="59" spans="2:13">
      <c r="B59" s="668" t="s">
        <v>114</v>
      </c>
      <c r="C59" s="1076">
        <f>+Print_Mois!$L$319</f>
        <v>18839.57</v>
      </c>
      <c r="D59" s="1076">
        <f>+Print_Mois!$I$319</f>
        <v>17319.701931377778</v>
      </c>
      <c r="E59" s="1076">
        <f>+Print_Mois!$F$319</f>
        <v>17319.701931377778</v>
      </c>
      <c r="F59" s="1076">
        <f>+Print_Mois!$Q$319</f>
        <v>14497.42</v>
      </c>
      <c r="G59" s="1064">
        <f t="shared" si="25"/>
        <v>1519.8680686222215</v>
      </c>
      <c r="H59" s="1065">
        <f t="shared" si="25"/>
        <v>1519.8680686222215</v>
      </c>
      <c r="I59" s="1066">
        <f t="shared" si="25"/>
        <v>4342.1499999999996</v>
      </c>
      <c r="J59" s="1067">
        <f t="shared" si="26"/>
        <v>8.7753708155260166E-2</v>
      </c>
      <c r="K59" s="1068">
        <f t="shared" si="27"/>
        <v>8.7753708155260166E-2</v>
      </c>
      <c r="L59" s="1069">
        <f t="shared" si="28"/>
        <v>0.29951191315420256</v>
      </c>
      <c r="M59" s="1127"/>
    </row>
    <row r="60" spans="2:13">
      <c r="M60" s="165"/>
    </row>
    <row r="61" spans="2:13">
      <c r="B61" s="681" t="s">
        <v>1989</v>
      </c>
      <c r="C61" s="682" t="s">
        <v>1952</v>
      </c>
      <c r="D61" s="682" t="s">
        <v>1975</v>
      </c>
      <c r="E61" s="682" t="s">
        <v>6</v>
      </c>
      <c r="F61" s="682">
        <v>2019</v>
      </c>
      <c r="G61" s="684" t="s">
        <v>1978</v>
      </c>
      <c r="H61" s="683" t="s">
        <v>1976</v>
      </c>
      <c r="I61" s="685" t="s">
        <v>1953</v>
      </c>
      <c r="J61" s="684" t="s">
        <v>1979</v>
      </c>
      <c r="K61" s="683" t="s">
        <v>1977</v>
      </c>
      <c r="L61" s="685" t="s">
        <v>1954</v>
      </c>
      <c r="M61" s="1094" t="s">
        <v>1972</v>
      </c>
    </row>
    <row r="62" spans="2:13">
      <c r="B62" s="1078" t="s">
        <v>1990</v>
      </c>
      <c r="C62" s="1072">
        <f>+Print_Mois!$AF$432/Print_Mois!$AF$406</f>
        <v>0.48974906688002912</v>
      </c>
      <c r="D62" s="1072">
        <f>+Print_Mois!$AC$432/Print_Mois!$AC$406</f>
        <v>0.58014112544451613</v>
      </c>
      <c r="E62" s="1072">
        <f>+Print_Mois!$Z$432/Print_Mois!$Z$406</f>
        <v>0.61301703915545003</v>
      </c>
      <c r="F62" s="1072">
        <f>+Print_Mois!$AL$432/Print_Mois!$AL$406</f>
        <v>0.61345610230000835</v>
      </c>
      <c r="G62" s="1073">
        <f t="shared" ref="G62:I67" si="30">+IFERROR($C62-D62,"")</f>
        <v>-9.039205856448701E-2</v>
      </c>
      <c r="H62" s="1074">
        <f t="shared" si="30"/>
        <v>-0.12326797227542091</v>
      </c>
      <c r="I62" s="1075">
        <f t="shared" si="30"/>
        <v>-0.12370703541997924</v>
      </c>
      <c r="J62" s="1046">
        <f t="shared" ref="J62:J67" si="31">+IFERROR(G62/ABS($D62),"")</f>
        <v>-0.15581046507472943</v>
      </c>
      <c r="K62" s="1047">
        <f t="shared" ref="K62:K67" si="32">+IFERROR(H62/ABS($E62),"")</f>
        <v>-0.20108408804630695</v>
      </c>
      <c r="L62" s="1048">
        <f t="shared" ref="L62:L67" si="33">+IFERROR(I62/ABS($F62),"")</f>
        <v>-0.20165588858953234</v>
      </c>
      <c r="M62" s="1125" t="s">
        <v>2958</v>
      </c>
    </row>
    <row r="63" spans="2:13">
      <c r="B63" s="1079" t="s">
        <v>1991</v>
      </c>
      <c r="C63" s="1080">
        <v>47</v>
      </c>
      <c r="D63" s="1080">
        <v>51</v>
      </c>
      <c r="E63" s="1080">
        <v>50.8</v>
      </c>
      <c r="F63" s="1080">
        <v>62</v>
      </c>
      <c r="G63" s="1081">
        <f t="shared" si="30"/>
        <v>-4</v>
      </c>
      <c r="H63" s="1082">
        <f t="shared" si="30"/>
        <v>-3.7999999999999972</v>
      </c>
      <c r="I63" s="1083">
        <f t="shared" si="30"/>
        <v>-15</v>
      </c>
      <c r="J63" s="1046">
        <f t="shared" si="31"/>
        <v>-7.8431372549019607E-2</v>
      </c>
      <c r="K63" s="1047">
        <f t="shared" si="32"/>
        <v>-7.4803149606299163E-2</v>
      </c>
      <c r="L63" s="1048">
        <f t="shared" si="33"/>
        <v>-0.24193548387096775</v>
      </c>
      <c r="M63" s="1126"/>
    </row>
    <row r="64" spans="2:13">
      <c r="B64" s="1078" t="s">
        <v>1974</v>
      </c>
      <c r="C64" s="1042">
        <f>+Print_Mois!$AF$413+Print_Mois!$AF$433</f>
        <v>26467.94</v>
      </c>
      <c r="D64" s="1042">
        <f>+Print_Mois!$AC$413+Print_Mois!$AC$433</f>
        <v>23091.496801553105</v>
      </c>
      <c r="E64" s="1042">
        <f>+Print_Mois!$Z$413+Print_Mois!$Z$433</f>
        <v>23091.496801553105</v>
      </c>
      <c r="F64" s="1042">
        <f>+Print_Mois!$AL$413+Print_Mois!$AL$433</f>
        <v>32616.309999999998</v>
      </c>
      <c r="G64" s="1043">
        <f t="shared" si="30"/>
        <v>3376.4431984468938</v>
      </c>
      <c r="H64" s="1044">
        <f t="shared" si="30"/>
        <v>3376.4431984468938</v>
      </c>
      <c r="I64" s="1045">
        <f t="shared" si="30"/>
        <v>-6148.369999999999</v>
      </c>
      <c r="J64" s="1046">
        <f t="shared" si="31"/>
        <v>0.1462201964413064</v>
      </c>
      <c r="K64" s="1047">
        <f t="shared" si="32"/>
        <v>0.1462201964413064</v>
      </c>
      <c r="L64" s="1048">
        <f t="shared" si="33"/>
        <v>-0.18850599592657782</v>
      </c>
      <c r="M64" s="1126"/>
    </row>
    <row r="65" spans="2:13">
      <c r="B65" s="1078" t="s">
        <v>1993</v>
      </c>
      <c r="C65" s="1042">
        <f>+Print_Mois!$AF$451-Print_Mois!$AF$433</f>
        <v>83186.97</v>
      </c>
      <c r="D65" s="1042">
        <f>+Print_Mois!$AC$451-Print_Mois!$AC$433</f>
        <v>101826.57825456084</v>
      </c>
      <c r="E65" s="1042">
        <f>+Print_Mois!$Z$451-Print_Mois!$Z$433</f>
        <v>101826.57825456084</v>
      </c>
      <c r="F65" s="1042">
        <f>+Print_Mois!$AL$451-Print_Mois!$AL$433</f>
        <v>108300.76999999999</v>
      </c>
      <c r="G65" s="1043">
        <f t="shared" si="30"/>
        <v>-18639.608254560837</v>
      </c>
      <c r="H65" s="1044">
        <f t="shared" si="30"/>
        <v>-18639.608254560837</v>
      </c>
      <c r="I65" s="1045">
        <f t="shared" si="30"/>
        <v>-25113.799999999988</v>
      </c>
      <c r="J65" s="1046">
        <f t="shared" si="31"/>
        <v>-0.18305248564832299</v>
      </c>
      <c r="K65" s="1047">
        <f t="shared" si="32"/>
        <v>-0.18305248564832299</v>
      </c>
      <c r="L65" s="1048">
        <f t="shared" si="33"/>
        <v>-0.23188939469220754</v>
      </c>
      <c r="M65" s="1126"/>
    </row>
    <row r="66" spans="2:13">
      <c r="B66" s="1078" t="s">
        <v>1992</v>
      </c>
      <c r="C66" s="1042">
        <f>+Print_Mois!$AF$414</f>
        <v>14050.289999999999</v>
      </c>
      <c r="D66" s="1042">
        <f>+Print_Mois!$AC$414</f>
        <v>15962.736392579887</v>
      </c>
      <c r="E66" s="1042">
        <f>+Print_Mois!$Z$414</f>
        <v>15839.874914522146</v>
      </c>
      <c r="F66" s="1042">
        <f>+Print_Mois!$AL$414</f>
        <v>20497.559999999998</v>
      </c>
      <c r="G66" s="1043">
        <f t="shared" si="30"/>
        <v>-1912.4463925798882</v>
      </c>
      <c r="H66" s="1044">
        <f t="shared" si="30"/>
        <v>-1789.5849145221473</v>
      </c>
      <c r="I66" s="1045">
        <f t="shared" si="30"/>
        <v>-6447.2699999999986</v>
      </c>
      <c r="J66" s="1046">
        <f t="shared" si="31"/>
        <v>-0.11980692692944983</v>
      </c>
      <c r="K66" s="1047">
        <f t="shared" si="32"/>
        <v>-0.11297973779334829</v>
      </c>
      <c r="L66" s="1048">
        <f t="shared" si="33"/>
        <v>-0.31453841335261362</v>
      </c>
      <c r="M66" s="1126"/>
    </row>
    <row r="67" spans="2:13">
      <c r="B67" s="1084" t="s">
        <v>1995</v>
      </c>
      <c r="C67" s="1076">
        <f>+Print_Mois!$AF$480-C32-C15</f>
        <v>72972.09</v>
      </c>
      <c r="D67" s="1076">
        <f>+Print_Mois!$AC$480-D32-D15</f>
        <v>0</v>
      </c>
      <c r="E67" s="1076">
        <f>+Print_Mois!$Z$480-E32-E15</f>
        <v>0</v>
      </c>
      <c r="F67" s="1076">
        <f>+Print_Mois!$AL$480-F32-F15</f>
        <v>37185.799999999988</v>
      </c>
      <c r="G67" s="1064">
        <f t="shared" si="30"/>
        <v>72972.09</v>
      </c>
      <c r="H67" s="1065">
        <f t="shared" si="30"/>
        <v>72972.09</v>
      </c>
      <c r="I67" s="1066">
        <f t="shared" si="30"/>
        <v>35786.290000000008</v>
      </c>
      <c r="J67" s="1067" t="str">
        <f t="shared" si="31"/>
        <v/>
      </c>
      <c r="K67" s="1068" t="str">
        <f t="shared" si="32"/>
        <v/>
      </c>
      <c r="L67" s="1069">
        <f t="shared" si="33"/>
        <v>0.96236439716235822</v>
      </c>
      <c r="M67" s="1127"/>
    </row>
    <row r="68" spans="2:13">
      <c r="M68" s="165"/>
    </row>
    <row r="69" spans="2:13">
      <c r="B69" s="988" t="s">
        <v>2889</v>
      </c>
      <c r="C69" s="989" t="s">
        <v>1952</v>
      </c>
      <c r="D69" s="989" t="s">
        <v>1975</v>
      </c>
      <c r="E69" s="989" t="s">
        <v>6</v>
      </c>
      <c r="F69" s="989">
        <v>2019</v>
      </c>
      <c r="G69" s="990" t="s">
        <v>1978</v>
      </c>
      <c r="H69" s="991" t="s">
        <v>1976</v>
      </c>
      <c r="I69" s="992" t="s">
        <v>1953</v>
      </c>
      <c r="J69" s="990" t="s">
        <v>1979</v>
      </c>
      <c r="K69" s="991" t="s">
        <v>1977</v>
      </c>
      <c r="L69" s="992" t="s">
        <v>1954</v>
      </c>
      <c r="M69" s="1095" t="s">
        <v>1972</v>
      </c>
    </row>
    <row r="70" spans="2:13">
      <c r="B70" s="993" t="s">
        <v>2890</v>
      </c>
      <c r="C70" s="1085">
        <f>+Print_Mois!$AF$418-Print_Mois!$AF$414+Print_Mois!$AF$433+Print_Mois!$AF$434+Print_Mois!$AF$435</f>
        <v>171624.7</v>
      </c>
      <c r="D70" s="1085">
        <f>+Print_Mois!$AC$418-Print_Mois!$AC$414+Print_Mois!$AC$433+Print_Mois!$AC$434+Print_Mois!$AC$435</f>
        <v>141086.15579035156</v>
      </c>
      <c r="E70" s="1085">
        <f>+Print_Mois!$Z$418-Print_Mois!$Z$414+Print_Mois!$Z$433+Print_Mois!$Z$434+Print_Mois!$Z$435</f>
        <v>140613.66911741826</v>
      </c>
      <c r="F70" s="1085">
        <f>+Print_Mois!$AL$418-Print_Mois!$AL$414+Print_Mois!$AL$433+Print_Mois!$AL$434+Print_Mois!$AL$435</f>
        <v>145089.82</v>
      </c>
      <c r="G70" s="994">
        <f t="shared" ref="G70:I77" si="34">+IFERROR($C70-D70,"")</f>
        <v>30538.544209648448</v>
      </c>
      <c r="H70" s="995">
        <f t="shared" si="34"/>
        <v>31011.030882581748</v>
      </c>
      <c r="I70" s="996">
        <f t="shared" si="34"/>
        <v>26534.880000000005</v>
      </c>
      <c r="J70" s="1046">
        <f t="shared" ref="J70:J77" si="35">+IFERROR(G70/ABS($D70),"")</f>
        <v>0.21645315969220619</v>
      </c>
      <c r="K70" s="1047">
        <f t="shared" ref="K70:K77" si="36">+IFERROR(H70/ABS($E70),"")</f>
        <v>0.22054065637591924</v>
      </c>
      <c r="L70" s="1048">
        <f t="shared" ref="L70:L77" si="37">+IFERROR(I70/ABS($F70),"")</f>
        <v>0.18288588406822756</v>
      </c>
      <c r="M70" s="1125" t="s">
        <v>2959</v>
      </c>
    </row>
    <row r="71" spans="2:13">
      <c r="B71" s="993" t="s">
        <v>2891</v>
      </c>
      <c r="C71" s="1072">
        <f>+C70/Print_Mois!$AF$406</f>
        <v>0.30081368029920141</v>
      </c>
      <c r="D71" s="1072">
        <f>+D70/Print_Mois!$AC$406</f>
        <v>0.29822484523470683</v>
      </c>
      <c r="E71" s="1072">
        <f>+E70/Print_Mois!$Z$406</f>
        <v>0.31425675381306206</v>
      </c>
      <c r="F71" s="1072">
        <f>+F70/Print_Mois!$AL$406</f>
        <v>0.32618658075419893</v>
      </c>
      <c r="G71" s="997">
        <f t="shared" si="34"/>
        <v>2.5888350644945879E-3</v>
      </c>
      <c r="H71" s="998">
        <f t="shared" si="34"/>
        <v>-1.3443073513860648E-2</v>
      </c>
      <c r="I71" s="999">
        <f t="shared" si="34"/>
        <v>-2.5372900454997516E-2</v>
      </c>
      <c r="J71" s="1046">
        <f t="shared" si="35"/>
        <v>8.6808161890641299E-3</v>
      </c>
      <c r="K71" s="1047">
        <f t="shared" si="36"/>
        <v>-4.2777357529306621E-2</v>
      </c>
      <c r="L71" s="1048">
        <f t="shared" si="37"/>
        <v>-7.7786463184141563E-2</v>
      </c>
      <c r="M71" s="1126"/>
    </row>
    <row r="72" spans="2:13">
      <c r="B72" s="993" t="s">
        <v>2892</v>
      </c>
      <c r="C72" s="1042">
        <f>+Print_Mois!$AF$465+Print_Mois!$AF$432+Print_Mois!$AF$436+Print_Mois!$AF$438+SUM(Print_Mois!$AF$439:$AF$447)+Print_Mois!$AF$437</f>
        <v>381359.07999999996</v>
      </c>
      <c r="D72" s="1042">
        <f>+Print_Mois!$AC$465+Print_Mois!$AC$432+Print_Mois!$AC$436+Print_Mois!$AC$438+SUM(Print_Mois!$AC$439:$AC$447)+Print_Mois!$AC$437</f>
        <v>394182.41335702105</v>
      </c>
      <c r="E72" s="1042">
        <f>+Print_Mois!$Z$465+Print_Mois!$Z$432+Print_Mois!$Z$436+Print_Mois!$Z$438+SUM(Print_Mois!$Z$439:$Z$447)+Print_Mois!$Z$437</f>
        <v>394018.93296818616</v>
      </c>
      <c r="F72" s="1042">
        <f>+Print_Mois!$AL$465+Print_Mois!$AL$432+Print_Mois!$AL$436+Print_Mois!$AL$438+SUM(Print_Mois!$AL$439:$AL$447)+Print_Mois!$AL$437</f>
        <v>404918.91000000009</v>
      </c>
      <c r="G72" s="1000">
        <f t="shared" si="34"/>
        <v>-12823.333357021096</v>
      </c>
      <c r="H72" s="1001">
        <f t="shared" si="34"/>
        <v>-12659.852968186198</v>
      </c>
      <c r="I72" s="1002">
        <f t="shared" si="34"/>
        <v>-23559.830000000133</v>
      </c>
      <c r="J72" s="1046">
        <f t="shared" si="35"/>
        <v>-3.2531470006011344E-2</v>
      </c>
      <c r="K72" s="1047">
        <f>+IFERROR(H72/ABS($E72),"")</f>
        <v>-3.2130062565314289E-2</v>
      </c>
      <c r="L72" s="1048">
        <f t="shared" si="37"/>
        <v>-5.818406949677931E-2</v>
      </c>
      <c r="M72" s="1126"/>
    </row>
    <row r="73" spans="2:13">
      <c r="B73" s="993" t="s">
        <v>2893</v>
      </c>
      <c r="C73" s="1072">
        <f>+C72/Print_Mois!$AF$406</f>
        <v>0.66842376633618328</v>
      </c>
      <c r="D73" s="1072">
        <f>+D72/Print_Mois!$AC$406</f>
        <v>0.8332142055973436</v>
      </c>
      <c r="E73" s="1072">
        <f>+E72/Print_Mois!$Z$406</f>
        <v>0.88059085288551309</v>
      </c>
      <c r="F73" s="1072">
        <f>+F72/Print_Mois!$AL$406</f>
        <v>0.91032654624299092</v>
      </c>
      <c r="G73" s="997">
        <f t="shared" si="34"/>
        <v>-0.16479043926116033</v>
      </c>
      <c r="H73" s="998">
        <f t="shared" si="34"/>
        <v>-0.21216708654932981</v>
      </c>
      <c r="I73" s="999">
        <f t="shared" si="34"/>
        <v>-0.24190277990680764</v>
      </c>
      <c r="J73" s="1046">
        <f t="shared" si="35"/>
        <v>-0.1977767999562845</v>
      </c>
      <c r="K73" s="1047">
        <f t="shared" si="36"/>
        <v>-0.24093719103951897</v>
      </c>
      <c r="L73" s="1048">
        <f t="shared" si="37"/>
        <v>-0.2657318749026541</v>
      </c>
      <c r="M73" s="1126"/>
    </row>
    <row r="74" spans="2:13" s="1007" customFormat="1">
      <c r="B74" s="674" t="s">
        <v>2894</v>
      </c>
      <c r="C74" s="664">
        <f>+Print_Mois!$AF$482+Print_Mois!$AF$414</f>
        <v>251810.19999999984</v>
      </c>
      <c r="D74" s="664">
        <f>+Print_Mois!$AC$482+Print_Mois!$AC$414</f>
        <v>48642.785099913177</v>
      </c>
      <c r="E74" s="664">
        <f>+Print_Mois!$Z$482+Print_Mois!$Z$414</f>
        <v>67089.126447332717</v>
      </c>
      <c r="F74" s="664">
        <f>+Print_Mois!$AL$482+Print_Mois!$AL$414</f>
        <v>37576.290000000037</v>
      </c>
      <c r="G74" s="666">
        <f t="shared" si="34"/>
        <v>203167.41490008665</v>
      </c>
      <c r="H74" s="665">
        <f t="shared" si="34"/>
        <v>184721.07355266711</v>
      </c>
      <c r="I74" s="667">
        <f t="shared" si="34"/>
        <v>214233.9099999998</v>
      </c>
      <c r="J74" s="678">
        <f t="shared" si="35"/>
        <v>4.1767224981624107</v>
      </c>
      <c r="K74" s="679">
        <f t="shared" si="36"/>
        <v>2.7533682928138816</v>
      </c>
      <c r="L74" s="680">
        <f t="shared" si="37"/>
        <v>5.7013055306950093</v>
      </c>
      <c r="M74" s="1126"/>
    </row>
    <row r="75" spans="2:13">
      <c r="B75" s="640" t="s">
        <v>2895</v>
      </c>
      <c r="C75" s="1086">
        <f>+C74/Print_Mois!$AF$405</f>
        <v>4.6552066210551274E-2</v>
      </c>
      <c r="D75" s="1086">
        <f>+D74/Print_Mois!$AC$405</f>
        <v>2.3460726482155109E-2</v>
      </c>
      <c r="E75" s="1086">
        <f>+E74/Print_Mois!$Z$405</f>
        <v>3.2357514938230802E-2</v>
      </c>
      <c r="F75" s="1086">
        <f>+F74/Print_Mois!$AL$405</f>
        <v>8.7718833818946421E-3</v>
      </c>
      <c r="G75" s="997">
        <f t="shared" si="34"/>
        <v>2.3091339728396165E-2</v>
      </c>
      <c r="H75" s="998">
        <f t="shared" si="34"/>
        <v>1.4194551272320471E-2</v>
      </c>
      <c r="I75" s="999">
        <f t="shared" si="34"/>
        <v>3.7780182828656632E-2</v>
      </c>
      <c r="J75" s="1046">
        <f t="shared" si="35"/>
        <v>0.98425510164657903</v>
      </c>
      <c r="K75" s="1047">
        <f t="shared" si="36"/>
        <v>0.43867865932897815</v>
      </c>
      <c r="L75" s="1048">
        <f t="shared" si="37"/>
        <v>4.3069636455308729</v>
      </c>
      <c r="M75" s="1126"/>
    </row>
    <row r="76" spans="2:13" s="1007" customFormat="1">
      <c r="B76" s="674" t="s">
        <v>2896</v>
      </c>
      <c r="C76" s="664">
        <f>+Print_Mois!$AF$497</f>
        <v>227808.43999999983</v>
      </c>
      <c r="D76" s="664">
        <f>+Print_Mois!$AC$497</f>
        <v>22469.636420632127</v>
      </c>
      <c r="E76" s="664">
        <f>+Print_Mois!$Z$497</f>
        <v>41038.839246109404</v>
      </c>
      <c r="F76" s="664">
        <f>+Print_Mois!$AL$497</f>
        <v>2859.3200000000397</v>
      </c>
      <c r="G76" s="666">
        <f t="shared" si="34"/>
        <v>205338.8035793677</v>
      </c>
      <c r="H76" s="665">
        <f t="shared" si="34"/>
        <v>186769.60075389041</v>
      </c>
      <c r="I76" s="667">
        <f t="shared" si="34"/>
        <v>224949.11999999979</v>
      </c>
      <c r="J76" s="678">
        <f t="shared" si="35"/>
        <v>9.1385013862894979</v>
      </c>
      <c r="K76" s="679">
        <f t="shared" si="36"/>
        <v>4.5510449170805112</v>
      </c>
      <c r="L76" s="680">
        <f t="shared" si="37"/>
        <v>78.672243750261131</v>
      </c>
      <c r="M76" s="1126"/>
    </row>
    <row r="77" spans="2:13">
      <c r="B77" s="1003" t="s">
        <v>2897</v>
      </c>
      <c r="C77" s="1087">
        <f>+C76/Print_Mois!$AF$405</f>
        <v>4.2114868985459672E-2</v>
      </c>
      <c r="D77" s="1087">
        <f>+D76/Print_Mois!$AC$405</f>
        <v>1.0837249411914574E-2</v>
      </c>
      <c r="E77" s="1087">
        <f>+E76/Print_Mois!$Z$405</f>
        <v>1.9793294744955378E-2</v>
      </c>
      <c r="F77" s="1087">
        <f>+F76/Print_Mois!$AL$405</f>
        <v>6.6748531032518937E-4</v>
      </c>
      <c r="G77" s="1004">
        <f t="shared" si="34"/>
        <v>3.12776195735451E-2</v>
      </c>
      <c r="H77" s="1005">
        <f t="shared" si="34"/>
        <v>2.2321574240504294E-2</v>
      </c>
      <c r="I77" s="1006">
        <f t="shared" si="34"/>
        <v>4.144738367513448E-2</v>
      </c>
      <c r="J77" s="1067">
        <f t="shared" si="35"/>
        <v>2.8861215964226301</v>
      </c>
      <c r="K77" s="1068">
        <f t="shared" si="36"/>
        <v>1.1277341406838437</v>
      </c>
      <c r="L77" s="1069">
        <f t="shared" si="37"/>
        <v>62.094825210373401</v>
      </c>
      <c r="M77" s="1127"/>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455" activePane="bottomRight" state="frozen"/>
      <selection activeCell="C101" sqref="C101"/>
      <selection pane="topRight" activeCell="C101" sqref="C101"/>
      <selection pane="bottomLeft" activeCell="C101" sqref="C101"/>
      <selection pane="bottomRight" activeCell="N496" activeCellId="2" sqref="H496 K496 N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20" t="str">
        <f>"Budget 2021 Mensuel Révisé"&amp;" "&amp;Parametres!$B$1</f>
        <v>Budget 2021 Mensuel Révisé Volks</v>
      </c>
      <c r="C1" s="1120"/>
      <c r="D1" s="1120"/>
      <c r="E1" s="1120"/>
      <c r="F1" s="1120"/>
      <c r="G1" s="1120"/>
      <c r="H1" s="1120"/>
      <c r="I1" s="1120"/>
      <c r="J1" s="1120"/>
      <c r="K1" s="1120"/>
      <c r="L1" s="1120"/>
      <c r="M1" s="1120"/>
      <c r="N1" s="1120"/>
      <c r="O1" s="1120"/>
      <c r="P1" s="1120"/>
      <c r="Q1" s="1120"/>
      <c r="R1" s="1120"/>
      <c r="S1" s="1120"/>
      <c r="T1" s="1120"/>
      <c r="U1" s="1120"/>
      <c r="V1" s="1120"/>
      <c r="W1" s="1120"/>
      <c r="X1" s="1120"/>
      <c r="Y1" s="1120"/>
      <c r="Z1" s="1120"/>
      <c r="AA1" s="1120"/>
      <c r="AB1" s="1120"/>
      <c r="AC1" s="1120"/>
      <c r="AD1" s="1120"/>
      <c r="AE1" s="1120"/>
      <c r="AF1" s="1120"/>
      <c r="AG1" s="1120"/>
      <c r="AH1" s="1120"/>
      <c r="AI1" s="1120"/>
      <c r="AJ1" s="1120"/>
      <c r="AK1" s="1120"/>
      <c r="AL1" s="1120"/>
      <c r="AM1" s="1120"/>
      <c r="AN1" s="1120"/>
      <c r="AO1" s="1120"/>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X</v>
      </c>
      <c r="M2" s="617" t="str">
        <f>+IF(Parametres!$B$3=L$6,"O","")</f>
        <v>O</v>
      </c>
      <c r="N2" s="617" t="str">
        <f>+IF(Parametres!$B$3=L$6,"U","")</f>
        <v>U</v>
      </c>
      <c r="O2" s="617" t="str">
        <f>+IF(Parametres!$B$3=O$6,"X","")</f>
        <v/>
      </c>
      <c r="P2" s="617" t="str">
        <f>+IF(Parametres!$B$3=O$6,"O","")</f>
        <v/>
      </c>
      <c r="Q2" s="617" t="str">
        <f>+IF(Parametres!$B$3=O$6,"U","")</f>
        <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
      </c>
      <c r="P3" s="622" t="str">
        <f>+IF(VLOOKUP(O$6,Parametres!$K$3:$N$14,4,0)="X","O","")</f>
        <v/>
      </c>
      <c r="Q3" s="622" t="str">
        <f>+IF(VLOOKUP(O$6,Parametres!$K$3:$N$14,4,0)="X","U","")</f>
        <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7"/>
      <c r="B4" s="587" t="s">
        <v>1932</v>
      </c>
      <c r="C4" s="1121" t="s">
        <v>75</v>
      </c>
      <c r="D4" s="1121"/>
      <c r="E4" s="1121"/>
      <c r="F4" s="1121"/>
      <c r="G4" s="1121"/>
      <c r="H4" s="1121"/>
      <c r="I4" s="1121"/>
      <c r="J4" s="1121"/>
      <c r="K4" s="1121"/>
      <c r="L4" s="1121"/>
      <c r="M4" s="1121"/>
      <c r="N4" s="1121"/>
      <c r="O4" s="1121"/>
      <c r="P4" s="1121"/>
      <c r="Q4" s="1121"/>
      <c r="R4" s="1121"/>
      <c r="S4" s="1121"/>
      <c r="T4" s="1121"/>
      <c r="U4" s="1121"/>
      <c r="V4" s="1121"/>
      <c r="W4" s="1121"/>
      <c r="X4" s="1121"/>
      <c r="Y4" s="1121"/>
      <c r="Z4" s="1121"/>
      <c r="AA4" s="1121"/>
      <c r="AB4" s="1121"/>
      <c r="AC4" s="1121"/>
      <c r="AD4" s="1121"/>
      <c r="AE4" s="1121"/>
      <c r="AF4" s="1121"/>
      <c r="AG4" s="1121"/>
      <c r="AH4" s="1121"/>
      <c r="AI4" s="1121"/>
      <c r="AJ4" s="1121"/>
      <c r="AK4" s="1121"/>
      <c r="AL4" s="1121"/>
      <c r="AM4" s="1121"/>
      <c r="AN4" s="1121"/>
      <c r="AO4" s="1121"/>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29">
        <v>2021</v>
      </c>
      <c r="D6" s="1130"/>
      <c r="E6" s="1131"/>
      <c r="F6" s="1037" t="s">
        <v>1934</v>
      </c>
      <c r="G6" s="1038"/>
      <c r="H6" s="1039"/>
      <c r="I6" s="1037" t="s">
        <v>1935</v>
      </c>
      <c r="J6" s="1038"/>
      <c r="K6" s="1039"/>
      <c r="L6" s="1037" t="s">
        <v>1936</v>
      </c>
      <c r="M6" s="1038"/>
      <c r="N6" s="1039"/>
      <c r="O6" s="1037" t="s">
        <v>1937</v>
      </c>
      <c r="P6" s="1038"/>
      <c r="Q6" s="1039"/>
      <c r="R6" s="1037" t="s">
        <v>1938</v>
      </c>
      <c r="S6" s="1038"/>
      <c r="T6" s="1039"/>
      <c r="U6" s="1037" t="s">
        <v>1916</v>
      </c>
      <c r="V6" s="1038"/>
      <c r="W6" s="1039"/>
      <c r="X6" s="1037" t="s">
        <v>1939</v>
      </c>
      <c r="Y6" s="1038"/>
      <c r="Z6" s="1039"/>
      <c r="AA6" s="1037" t="s">
        <v>1940</v>
      </c>
      <c r="AB6" s="1038"/>
      <c r="AC6" s="1039"/>
      <c r="AD6" s="1037" t="s">
        <v>3</v>
      </c>
      <c r="AE6" s="1038"/>
      <c r="AF6" s="1039"/>
      <c r="AG6" s="1037" t="s">
        <v>1941</v>
      </c>
      <c r="AH6" s="1038"/>
      <c r="AI6" s="1039"/>
      <c r="AJ6" s="1037" t="s">
        <v>1942</v>
      </c>
      <c r="AK6" s="1038"/>
      <c r="AL6" s="1039"/>
      <c r="AM6" s="1037" t="s">
        <v>1943</v>
      </c>
      <c r="AN6" s="1038"/>
      <c r="AO6" s="1039"/>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f>'[5]véh neufs'!E7+'[5]véh neufs'!E23+'[5]véh neufs'!E38+H27</f>
        <v>1882577.9033123129</v>
      </c>
      <c r="I8" s="707"/>
      <c r="J8" s="708"/>
      <c r="K8" s="710">
        <f>'[5]véh neufs'!$F$7</f>
        <v>446219.11410022038</v>
      </c>
      <c r="L8" s="707"/>
      <c r="M8" s="708"/>
      <c r="N8" s="710">
        <f>'[5]véh neufs'!$G$7</f>
        <v>678330.08198413614</v>
      </c>
      <c r="O8" s="707"/>
      <c r="P8" s="708"/>
      <c r="Q8" s="710">
        <f>'[5]véh neufs'!$H$7</f>
        <v>751340.65797524713</v>
      </c>
      <c r="R8" s="707"/>
      <c r="S8" s="708"/>
      <c r="T8" s="710">
        <f>'[5]véh neufs'!$I$7</f>
        <v>981796.55292181112</v>
      </c>
      <c r="U8" s="707"/>
      <c r="V8" s="708"/>
      <c r="W8" s="710">
        <f>'[5]véh neufs'!$J$7</f>
        <v>691716.39517554897</v>
      </c>
      <c r="X8" s="707"/>
      <c r="Y8" s="708"/>
      <c r="Z8" s="710">
        <f>'[5]véh neufs'!$K$7</f>
        <v>688676.8901585252</v>
      </c>
      <c r="AA8" s="707"/>
      <c r="AB8" s="708"/>
      <c r="AC8" s="710">
        <f>'[5]véh neufs'!$L$7</f>
        <v>729220.9724917697</v>
      </c>
      <c r="AD8" s="707"/>
      <c r="AE8" s="708"/>
      <c r="AF8" s="710">
        <f>'[5]véh neufs'!$M$7</f>
        <v>799077.54156453046</v>
      </c>
      <c r="AG8" s="707"/>
      <c r="AH8" s="708"/>
      <c r="AI8" s="710">
        <f>'[5]véh neufs'!$N$7</f>
        <v>991144.07177553454</v>
      </c>
      <c r="AJ8" s="707"/>
      <c r="AK8" s="708"/>
      <c r="AL8" s="710">
        <f>'[5]véh neufs'!$O$7</f>
        <v>576007.01925350889</v>
      </c>
      <c r="AM8" s="707"/>
      <c r="AN8" s="708"/>
      <c r="AO8" s="710">
        <f>'[5]véh neufs'!$P$7</f>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955.05621789951283</v>
      </c>
      <c r="E9" s="714">
        <f t="shared" si="0"/>
        <v>289382.03402355238</v>
      </c>
      <c r="F9" s="715">
        <f>'[5]véh neufs'!$E$4</f>
        <v>23.607095531789504</v>
      </c>
      <c r="G9" s="713">
        <f>IF(F9=0,0,H9/F9)</f>
        <v>955.05621789951272</v>
      </c>
      <c r="H9" s="716">
        <f>'[5]véh neufs'!$E$6</f>
        <v>22546.103374183371</v>
      </c>
      <c r="I9" s="715">
        <f>'[5]véh neufs'!$F$4</f>
        <v>16.252745004560932</v>
      </c>
      <c r="J9" s="713">
        <f>IF(I9=0,0,K9/I9)</f>
        <v>955.05621789951272</v>
      </c>
      <c r="K9" s="716">
        <f>'[5]véh neufs'!$F$6</f>
        <v>15522.285174541163</v>
      </c>
      <c r="L9" s="715">
        <f>'[5]véh neufs'!$G$4</f>
        <v>24.706978036209659</v>
      </c>
      <c r="M9" s="713">
        <f>IF(L9=0,0,N9/L9)</f>
        <v>955.05621789951272</v>
      </c>
      <c r="N9" s="716">
        <f>'[5]véh neufs'!$G$6</f>
        <v>23596.552998988725</v>
      </c>
      <c r="O9" s="715">
        <f>'[5]véh neufs'!$H$4</f>
        <v>27.366259623939069</v>
      </c>
      <c r="P9" s="713">
        <f>IF(O9=0,0,Q9/O9)</f>
        <v>955.05621789951272</v>
      </c>
      <c r="Q9" s="716">
        <f>'[5]véh neufs'!$H$6</f>
        <v>26136.316414495388</v>
      </c>
      <c r="R9" s="715">
        <f>'[5]véh neufs'!$I$4</f>
        <v>35.760209540040471</v>
      </c>
      <c r="S9" s="713">
        <f>IF(R9=0,0,T9/R9)</f>
        <v>955.0562178995126</v>
      </c>
      <c r="T9" s="716">
        <f>'[5]véh neufs'!$I$6</f>
        <v>34153.010474605122</v>
      </c>
      <c r="U9" s="715">
        <f>'[5]véh neufs'!$J$4</f>
        <v>25.194550907869203</v>
      </c>
      <c r="V9" s="713">
        <f>IF(U9=0,0,W9/U9)</f>
        <v>955.05621789951272</v>
      </c>
      <c r="W9" s="716">
        <f>'[5]véh neufs'!$J$6</f>
        <v>24062.212501746297</v>
      </c>
      <c r="X9" s="715">
        <f>'[5]véh neufs'!$K$4</f>
        <v>25.083842293153349</v>
      </c>
      <c r="Y9" s="713">
        <f>IF(X9=0,0,Z9/X9)</f>
        <v>955.05621789951272</v>
      </c>
      <c r="Z9" s="716">
        <f>'[5]véh neufs'!$K$6</f>
        <v>23956.479550886877</v>
      </c>
      <c r="AA9" s="715">
        <f>'[5]véh neufs'!$L$4</f>
        <v>26.560589054517198</v>
      </c>
      <c r="AB9" s="713">
        <f>IF(AA9=0,0,AC9/AA9)</f>
        <v>955.05621789951283</v>
      </c>
      <c r="AC9" s="716">
        <f>'[5]véh neufs'!$L$6</f>
        <v>25366.855727590391</v>
      </c>
      <c r="AD9" s="715">
        <f>'[5]véh neufs'!$M$4</f>
        <v>29.104991497524331</v>
      </c>
      <c r="AE9" s="713">
        <f>IF(AD9=0,0,AF9/AD9)</f>
        <v>955.05621789951272</v>
      </c>
      <c r="AF9" s="716">
        <f>'[5]véh neufs'!$M$6</f>
        <v>27796.903101623062</v>
      </c>
      <c r="AG9" s="715">
        <f>'[5]véh neufs'!$N$4</f>
        <v>36.100676444200857</v>
      </c>
      <c r="AH9" s="713">
        <f>IF(AG9=0,0,AI9/AG9)</f>
        <v>955.05621789951283</v>
      </c>
      <c r="AI9" s="716">
        <f>'[5]véh neufs'!$N$6</f>
        <v>34478.175508412503</v>
      </c>
      <c r="AJ9" s="715">
        <f>'[5]véh neufs'!$O$4</f>
        <v>20.980040766836964</v>
      </c>
      <c r="AK9" s="713">
        <f>IF(AJ9=0,0,AL9/AJ9)</f>
        <v>955.0562178995126</v>
      </c>
      <c r="AL9" s="716">
        <f>'[5]véh neufs'!$O$6</f>
        <v>20037.118386152903</v>
      </c>
      <c r="AM9" s="715">
        <f>'[5]véh neufs'!$P$4</f>
        <v>12.282021299358465</v>
      </c>
      <c r="AN9" s="713">
        <f>IF(AM9=0,0,AO9/AM9)</f>
        <v>955.0562178995126</v>
      </c>
      <c r="AO9" s="716">
        <f>'[5]véh neufs'!$P$6</f>
        <v>11730.020810326554</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1702.6668817908312</v>
      </c>
      <c r="E10" s="714">
        <f t="shared" si="0"/>
        <v>692985.42088886839</v>
      </c>
      <c r="F10" s="715">
        <f>'[5]véh neufs'!$E$20</f>
        <v>31.709860994845965</v>
      </c>
      <c r="G10" s="713">
        <f>IF(F10=0,0,H10/F10)</f>
        <v>1702.6668817908317</v>
      </c>
      <c r="H10" s="716">
        <f>'[5]véh neufs'!$E$22</f>
        <v>53991.330142115097</v>
      </c>
      <c r="I10" s="715">
        <f>'[5]véh neufs'!$F$20</f>
        <v>21.831244940119799</v>
      </c>
      <c r="J10" s="713">
        <f>IF(I10=0,0,K10/I10)</f>
        <v>1702.6668817908317</v>
      </c>
      <c r="K10" s="716">
        <f>'[5]véh neufs'!$F$22</f>
        <v>37171.33774780565</v>
      </c>
      <c r="L10" s="715">
        <f>'[5]véh neufs'!$G$20</f>
        <v>33.187260926525845</v>
      </c>
      <c r="M10" s="713">
        <f>IF(L10=0,0,N10/L10)</f>
        <v>1702.6668817908317</v>
      </c>
      <c r="N10" s="716">
        <f>'[5]véh neufs'!$G$22</f>
        <v>56506.850076946466</v>
      </c>
      <c r="O10" s="715">
        <f>'[5]véh neufs'!$H$20</f>
        <v>36.759299230835644</v>
      </c>
      <c r="P10" s="713">
        <f>IF(O10=0,0,Q10/O10)</f>
        <v>1702.6668817908317</v>
      </c>
      <c r="Q10" s="716">
        <f>'[5]véh neufs'!$H$22</f>
        <v>62588.841398183045</v>
      </c>
      <c r="R10" s="715">
        <f>'[5]véh neufs'!$I$20</f>
        <v>48.03434086731508</v>
      </c>
      <c r="S10" s="713">
        <f>IF(R10=0,0,T10/R10)</f>
        <v>1702.6668817908319</v>
      </c>
      <c r="T10" s="716">
        <f>'[5]véh neufs'!$I$22</f>
        <v>81786.481383429287</v>
      </c>
      <c r="U10" s="715">
        <f>'[5]véh neufs'!$J$20</f>
        <v>33.84218554291342</v>
      </c>
      <c r="V10" s="713">
        <f>IF(U10=0,0,W10/U10)</f>
        <v>1702.6668817908317</v>
      </c>
      <c r="W10" s="716">
        <f>'[5]véh neufs'!$J$22</f>
        <v>57621.968531339153</v>
      </c>
      <c r="X10" s="715">
        <f>'[5]véh neufs'!$K$20</f>
        <v>33.693477931727436</v>
      </c>
      <c r="Y10" s="713">
        <f>IF(X10=0,0,Z10/X10)</f>
        <v>1702.6668817908317</v>
      </c>
      <c r="Z10" s="716">
        <f>'[5]véh neufs'!$K$22</f>
        <v>57368.769006702554</v>
      </c>
      <c r="AA10" s="715">
        <f>'[5]véh neufs'!$L$20</f>
        <v>35.677094868608911</v>
      </c>
      <c r="AB10" s="713">
        <f>IF(AA10=0,0,AC10/AA10)</f>
        <v>1702.6668817908317</v>
      </c>
      <c r="AC10" s="716">
        <f>'[5]véh neufs'!$L$22</f>
        <v>60746.207871290018</v>
      </c>
      <c r="AD10" s="715">
        <f>'[5]véh neufs'!$M$20</f>
        <v>39.094823562681199</v>
      </c>
      <c r="AE10" s="713">
        <f>IF(AD10=0,0,AF10/AD10)</f>
        <v>1702.6668817908319</v>
      </c>
      <c r="AF10" s="716">
        <f>'[5]véh neufs'!$M$22</f>
        <v>66565.461329633137</v>
      </c>
      <c r="AG10" s="715">
        <f>'[5]véh neufs'!$N$20</f>
        <v>48.491667698976073</v>
      </c>
      <c r="AH10" s="713">
        <f>IF(AG10=0,0,AI10/AG10)</f>
        <v>1702.6668817908314</v>
      </c>
      <c r="AI10" s="716">
        <f>'[5]véh neufs'!$N$22</f>
        <v>82565.156633852777</v>
      </c>
      <c r="AJ10" s="715">
        <f>'[5]véh neufs'!$O$20</f>
        <v>28.181110865025232</v>
      </c>
      <c r="AK10" s="713">
        <f>IF(AJ10=0,0,AL10/AJ10)</f>
        <v>1702.6668817908317</v>
      </c>
      <c r="AL10" s="716">
        <f>'[5]véh neufs'!$O$22</f>
        <v>47983.04416195424</v>
      </c>
      <c r="AM10" s="715">
        <f>'[5]véh neufs'!$P$20</f>
        <v>16.497632570425399</v>
      </c>
      <c r="AN10" s="713">
        <f>IF(AM10=0,0,AO10/AM10)</f>
        <v>1702.6668817908317</v>
      </c>
      <c r="AO10" s="716">
        <f>'[5]véh neufs'!$P$22</f>
        <v>28089.972605617077</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1383.616133679466</v>
      </c>
      <c r="E16" s="720">
        <f>+SUM(E9:E15)</f>
        <v>982367.45491242083</v>
      </c>
      <c r="F16" s="718">
        <f>+SUM(F9:F15)</f>
        <v>55.316956526635465</v>
      </c>
      <c r="G16" s="719">
        <f>IF(F16&lt;=0,0,H16/F16)</f>
        <v>1383.616133679466</v>
      </c>
      <c r="H16" s="720">
        <f>+SUM(H9:H15)</f>
        <v>76537.433516298464</v>
      </c>
      <c r="I16" s="718">
        <f>+SUM(I9:I15)</f>
        <v>38.083989944680731</v>
      </c>
      <c r="J16" s="719">
        <f>IF(I16&lt;=0,0,K16/I16)</f>
        <v>1383.616133679466</v>
      </c>
      <c r="K16" s="720">
        <f>+SUM(K9:K15)</f>
        <v>52693.622922346811</v>
      </c>
      <c r="L16" s="718">
        <f>+SUM(L9:L15)</f>
        <v>57.8942389627355</v>
      </c>
      <c r="M16" s="719">
        <f>IF(L16&lt;=0,0,N16/L16)</f>
        <v>1383.616133679466</v>
      </c>
      <c r="N16" s="720">
        <f>+SUM(N9:N15)</f>
        <v>80103.403075935188</v>
      </c>
      <c r="O16" s="718">
        <f>+SUM(O9:O15)</f>
        <v>64.12555885477471</v>
      </c>
      <c r="P16" s="719">
        <f>IF(O16&lt;=0,0,Q16/O16)</f>
        <v>1383.616133679466</v>
      </c>
      <c r="Q16" s="720">
        <f>+SUM(Q9:Q15)</f>
        <v>88725.15781267843</v>
      </c>
      <c r="R16" s="718">
        <f>+SUM(R9:R15)</f>
        <v>83.794550407355558</v>
      </c>
      <c r="S16" s="719">
        <f>IF(R16&lt;=0,0,T16/R16)</f>
        <v>1383.616133679466</v>
      </c>
      <c r="T16" s="720">
        <f>+SUM(T9:T15)</f>
        <v>115939.49185803441</v>
      </c>
      <c r="U16" s="718">
        <f>+SUM(U9:U15)</f>
        <v>59.036736450782627</v>
      </c>
      <c r="V16" s="719">
        <f>IF(U16&lt;=0,0,W16/U16)</f>
        <v>1383.6161336794657</v>
      </c>
      <c r="W16" s="720">
        <f>+SUM(W9:W15)</f>
        <v>81684.18103308545</v>
      </c>
      <c r="X16" s="718">
        <f>+SUM(X9:X15)</f>
        <v>58.777320224880782</v>
      </c>
      <c r="Y16" s="719">
        <f>IF(X16&lt;=0,0,Z16/X16)</f>
        <v>1383.616133679466</v>
      </c>
      <c r="Z16" s="720">
        <f>+SUM(Z9:Z15)</f>
        <v>81325.248557589424</v>
      </c>
      <c r="AA16" s="718">
        <f>+SUM(AA9:AA15)</f>
        <v>62.237683923126113</v>
      </c>
      <c r="AB16" s="719">
        <f>IF(AA16&lt;=0,0,AC16/AA16)</f>
        <v>1383.616133679466</v>
      </c>
      <c r="AC16" s="720">
        <f>+SUM(AC9:AC15)</f>
        <v>86113.063598880413</v>
      </c>
      <c r="AD16" s="718">
        <f>+SUM(AD9:AD15)</f>
        <v>68.199815060205538</v>
      </c>
      <c r="AE16" s="719">
        <f>IF(AD16&lt;=0,0,AF16/AD16)</f>
        <v>1383.616133679466</v>
      </c>
      <c r="AF16" s="720">
        <f>+SUM(AF9:AF15)</f>
        <v>94362.364431256196</v>
      </c>
      <c r="AG16" s="718">
        <f>+SUM(AG9:AG15)</f>
        <v>84.592344143176931</v>
      </c>
      <c r="AH16" s="719">
        <f>IF(AG16&lt;=0,0,AI16/AG16)</f>
        <v>1383.616133679466</v>
      </c>
      <c r="AI16" s="720">
        <f>+SUM(AI9:AI15)</f>
        <v>117043.33214226528</v>
      </c>
      <c r="AJ16" s="718">
        <f>+SUM(AJ9:AJ15)</f>
        <v>49.161151631862197</v>
      </c>
      <c r="AK16" s="719">
        <f>IF(AJ16&lt;=0,0,AL16/AJ16)</f>
        <v>1383.616133679466</v>
      </c>
      <c r="AL16" s="720">
        <f>+SUM(AL9:AL15)</f>
        <v>68020.162548107139</v>
      </c>
      <c r="AM16" s="718">
        <f>+SUM(AM9:AM15)</f>
        <v>28.779653869783864</v>
      </c>
      <c r="AN16" s="719">
        <f>IF(AM16&lt;=0,0,AO16/AM16)</f>
        <v>1383.616133679466</v>
      </c>
      <c r="AO16" s="720">
        <f>+SUM(AO9:AO15)</f>
        <v>39819.993415943631</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790.03378359300473</v>
      </c>
      <c r="E18" s="725">
        <f>+SUM(H18,K18,N18,Q18,T18,W18,Z18,AC18,AF18,AI18,AL18,AO18)</f>
        <v>58462.499985882358</v>
      </c>
      <c r="F18" s="726">
        <f>'[5]véh neufs'!$E$35</f>
        <v>5.7654292717901754</v>
      </c>
      <c r="G18" s="724">
        <f>IF(F18=0,0,H18/F18)</f>
        <v>790.03378359300473</v>
      </c>
      <c r="H18" s="727">
        <f>'[5]véh neufs'!$E$37</f>
        <v>4554.8839016302545</v>
      </c>
      <c r="I18" s="726">
        <f>'[5]véh neufs'!$F$35</f>
        <v>3.9693172618399633</v>
      </c>
      <c r="J18" s="724">
        <f>IF(I18=0,0,K18/I18)</f>
        <v>790.03378359300473</v>
      </c>
      <c r="K18" s="727">
        <f>'[5]véh neufs'!$F$37</f>
        <v>3135.8947346524515</v>
      </c>
      <c r="L18" s="726">
        <f>'[5]véh neufs'!$G$35</f>
        <v>6.0340474411865177</v>
      </c>
      <c r="M18" s="724">
        <f>IF(L18=0,0,N18/L18)</f>
        <v>790.03378359300473</v>
      </c>
      <c r="N18" s="727">
        <f>'[5]véh neufs'!$G$37</f>
        <v>4767.1013303402733</v>
      </c>
      <c r="O18" s="726">
        <f>'[5]véh neufs'!$H$35</f>
        <v>6.683508951061027</v>
      </c>
      <c r="P18" s="724">
        <f>IF(O18=0,0,Q18/O18)</f>
        <v>790.03378359300484</v>
      </c>
      <c r="Q18" s="727">
        <f>'[5]véh neufs'!$H$37</f>
        <v>5280.1978642844579</v>
      </c>
      <c r="R18" s="726">
        <f>'[5]véh neufs'!$I$35</f>
        <v>8.7335165213300154</v>
      </c>
      <c r="S18" s="724">
        <f>IF(R18=0,0,T18/R18)</f>
        <v>790.03378359300473</v>
      </c>
      <c r="T18" s="727">
        <f>'[5]véh neufs'!$I$37</f>
        <v>6899.7731014183692</v>
      </c>
      <c r="U18" s="726">
        <f>'[5]véh neufs'!$J$35</f>
        <v>6.1531246441660761</v>
      </c>
      <c r="V18" s="724">
        <f>IF(U18=0,0,W18/U18)</f>
        <v>790.03378359300473</v>
      </c>
      <c r="W18" s="727">
        <f>'[5]véh neufs'!$J$37</f>
        <v>4861.176343549886</v>
      </c>
      <c r="X18" s="726">
        <f>'[5]véh neufs'!$K$35</f>
        <v>6.1260868966777151</v>
      </c>
      <c r="Y18" s="724">
        <f>IF(X18=0,0,Z18/X18)</f>
        <v>790.03378359300473</v>
      </c>
      <c r="Z18" s="727">
        <f>'[5]véh neufs'!$K$37</f>
        <v>4839.8156096018238</v>
      </c>
      <c r="AA18" s="726">
        <f>'[5]véh neufs'!$L$35</f>
        <v>6.4867445215652566</v>
      </c>
      <c r="AB18" s="724">
        <f>IF(AA18=0,0,AC18/AA18)</f>
        <v>790.03378359300473</v>
      </c>
      <c r="AC18" s="727">
        <f>'[5]véh neufs'!$L$37</f>
        <v>5124.7473175733949</v>
      </c>
      <c r="AD18" s="726">
        <f>'[5]véh neufs'!$M$35</f>
        <v>7.1081497386693089</v>
      </c>
      <c r="AE18" s="724">
        <f>IF(AD18=0,0,AF18/AD18)</f>
        <v>790.03378359300473</v>
      </c>
      <c r="AF18" s="727">
        <f>'[5]véh neufs'!$M$37</f>
        <v>5615.6784323865422</v>
      </c>
      <c r="AG18" s="726">
        <f>'[5]véh neufs'!$N$35</f>
        <v>8.8166668543592852</v>
      </c>
      <c r="AH18" s="724">
        <f>IF(AG18=0,0,AI18/AG18)</f>
        <v>790.03378359300473</v>
      </c>
      <c r="AI18" s="727">
        <f>'[5]véh neufs'!$N$37</f>
        <v>6965.4646736285013</v>
      </c>
      <c r="AJ18" s="726">
        <f>'[5]véh neufs'!$O$35</f>
        <v>5.1238383390954967</v>
      </c>
      <c r="AK18" s="724">
        <f>IF(AJ18=0,0,AL18/AJ18)</f>
        <v>790.03378359300473</v>
      </c>
      <c r="AL18" s="727">
        <f>'[5]véh neufs'!$O$37</f>
        <v>4048.0053895545125</v>
      </c>
      <c r="AM18" s="726">
        <f>'[5]véh neufs'!$P$35</f>
        <v>2.999569558259163</v>
      </c>
      <c r="AN18" s="724">
        <f>IF(AM18=0,0,AO18/AM18)</f>
        <v>790.03378359300473</v>
      </c>
      <c r="AO18" s="727">
        <f>'[5]véh neufs'!$P$37</f>
        <v>2369.7612872618843</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25.000000000000004</v>
      </c>
      <c r="D20" s="713">
        <f>IF(C20=0,0,E20/C20)</f>
        <v>800</v>
      </c>
      <c r="E20" s="714">
        <f>+SUM(H20,K20,N20,Q20,T20,W20,Z20,AC20,AF20,AI20,AL20,AO20)</f>
        <v>20000.000000000004</v>
      </c>
      <c r="F20" s="715">
        <f>'[5]véh neufs'!$E$50</f>
        <v>0</v>
      </c>
      <c r="G20" s="713">
        <f>IF(F20=0,0,H20/F20)</f>
        <v>0</v>
      </c>
      <c r="H20" s="716">
        <f>'[5]véh neufs'!$E$52</f>
        <v>0</v>
      </c>
      <c r="I20" s="715">
        <f>'[5]véh neufs'!$F$50</f>
        <v>1.4542911384503485</v>
      </c>
      <c r="J20" s="713">
        <f>IF(I20=0,0,K20/I20)</f>
        <v>800.00000000000011</v>
      </c>
      <c r="K20" s="716">
        <f>'[5]véh neufs'!$F$52</f>
        <v>1163.4329107602789</v>
      </c>
      <c r="L20" s="715">
        <f>'[5]véh neufs'!$G$50</f>
        <v>2.210773577378093</v>
      </c>
      <c r="M20" s="713">
        <f>IF(L20=0,0,N20/L20)</f>
        <v>800</v>
      </c>
      <c r="N20" s="716">
        <f>'[5]véh neufs'!$G$52</f>
        <v>1768.6188619024745</v>
      </c>
      <c r="O20" s="715">
        <f>'[5]véh neufs'!$H$50</f>
        <v>2.4487253600827237</v>
      </c>
      <c r="P20" s="713">
        <f>IF(O20=0,0,Q20/O20)</f>
        <v>800</v>
      </c>
      <c r="Q20" s="716">
        <f>'[5]véh neufs'!$H$52</f>
        <v>1958.9802880661789</v>
      </c>
      <c r="R20" s="715">
        <f>'[5]véh neufs'!$I$50</f>
        <v>3.1998136824649825</v>
      </c>
      <c r="S20" s="713">
        <f>IF(R20=0,0,T20/R20)</f>
        <v>800.00000000000011</v>
      </c>
      <c r="T20" s="716">
        <f>'[5]véh neufs'!$I$52</f>
        <v>2559.8509459719862</v>
      </c>
      <c r="U20" s="715">
        <f>'[5]véh neufs'!$J$50</f>
        <v>2.2544014634000713</v>
      </c>
      <c r="V20" s="713">
        <f>IF(U20=0,0,W20/U20)</f>
        <v>800</v>
      </c>
      <c r="W20" s="716">
        <f>'[5]véh neufs'!$J$52</f>
        <v>1803.5211707200569</v>
      </c>
      <c r="X20" s="715">
        <f>'[5]véh neufs'!$K$50</f>
        <v>2.2444952871027013</v>
      </c>
      <c r="Y20" s="713">
        <f>IF(X20=0,0,Z20/X20)</f>
        <v>800</v>
      </c>
      <c r="Z20" s="716">
        <f>'[5]véh neufs'!$K$52</f>
        <v>1795.596229682161</v>
      </c>
      <c r="AA20" s="715">
        <f>'[5]véh neufs'!$L$50</f>
        <v>2.3766341798364534</v>
      </c>
      <c r="AB20" s="713">
        <f>IF(AA20=0,0,AC20/AA20)</f>
        <v>800</v>
      </c>
      <c r="AC20" s="716">
        <f>'[5]véh neufs'!$L$52</f>
        <v>1901.3073438691627</v>
      </c>
      <c r="AD20" s="715">
        <f>'[5]véh neufs'!$M$50</f>
        <v>2.6043066083694977</v>
      </c>
      <c r="AE20" s="713">
        <f>IF(AD20=0,0,AF20/AD20)</f>
        <v>800</v>
      </c>
      <c r="AF20" s="716">
        <f>'[5]véh neufs'!$M$52</f>
        <v>2083.445286695598</v>
      </c>
      <c r="AG20" s="715">
        <f>'[5]véh neufs'!$N$50</f>
        <v>3.2302785671055241</v>
      </c>
      <c r="AH20" s="713">
        <f>IF(AG20=0,0,AI20/AG20)</f>
        <v>799.99999999999989</v>
      </c>
      <c r="AI20" s="716">
        <f>'[5]véh neufs'!$N$52</f>
        <v>2584.2228536844191</v>
      </c>
      <c r="AJ20" s="715">
        <f>'[5]véh neufs'!$O$50</f>
        <v>1.8772882588741699</v>
      </c>
      <c r="AK20" s="713">
        <f>IF(AJ20=0,0,AL20/AJ20)</f>
        <v>800</v>
      </c>
      <c r="AL20" s="716">
        <f>'[5]véh neufs'!$O$52</f>
        <v>1501.830607099336</v>
      </c>
      <c r="AM20" s="715">
        <f>'[5]véh neufs'!$P$50</f>
        <v>1.0989918769354361</v>
      </c>
      <c r="AN20" s="713">
        <f>IF(AM20=0,0,AO20/AM20)</f>
        <v>800</v>
      </c>
      <c r="AO20" s="716">
        <f>'[5]véh neufs'!$P$52</f>
        <v>879.19350154834888</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f>'[5]Volume et Profit Front'!$C$7</f>
        <v>5000</v>
      </c>
      <c r="I22" s="712"/>
      <c r="J22" s="713"/>
      <c r="K22" s="716">
        <f>'[5]Volume et Profit Front'!$C$7</f>
        <v>5000</v>
      </c>
      <c r="L22" s="712"/>
      <c r="M22" s="713"/>
      <c r="N22" s="716">
        <f>'[5]Volume et Profit Front'!$C$7</f>
        <v>5000</v>
      </c>
      <c r="O22" s="712"/>
      <c r="P22" s="713"/>
      <c r="Q22" s="716">
        <f>'[5]Volume et Profit Front'!$C$7</f>
        <v>5000</v>
      </c>
      <c r="R22" s="712"/>
      <c r="S22" s="713"/>
      <c r="T22" s="716">
        <f>'[5]Volume et Profit Front'!$C$7</f>
        <v>5000</v>
      </c>
      <c r="U22" s="712"/>
      <c r="V22" s="713"/>
      <c r="W22" s="716">
        <f>'[5]Volume et Profit Front'!$C$7</f>
        <v>5000</v>
      </c>
      <c r="X22" s="712"/>
      <c r="Y22" s="713"/>
      <c r="Z22" s="716">
        <f>'[5]Volume et Profit Front'!$C$7</f>
        <v>5000</v>
      </c>
      <c r="AA22" s="712"/>
      <c r="AB22" s="713"/>
      <c r="AC22" s="716">
        <f>'[5]Volume et Profit Front'!$C$7</f>
        <v>5000</v>
      </c>
      <c r="AD22" s="712"/>
      <c r="AE22" s="713"/>
      <c r="AF22" s="716">
        <f>'[5]Volume et Profit Front'!$C$7</f>
        <v>5000</v>
      </c>
      <c r="AG22" s="712"/>
      <c r="AH22" s="713"/>
      <c r="AI22" s="716">
        <f>'[5]Volume et Profit Front'!$C$7</f>
        <v>5000</v>
      </c>
      <c r="AJ22" s="712"/>
      <c r="AK22" s="713"/>
      <c r="AL22" s="716">
        <f>'[5]Volume et Profit Front'!$C$7</f>
        <v>5000</v>
      </c>
      <c r="AM22" s="712"/>
      <c r="AN22" s="713"/>
      <c r="AO22" s="716">
        <f>'[5]Volume et Profit Front'!$C$7</f>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f>'[5]véh neufs'!$E$150</f>
        <v>5746.6182778184229</v>
      </c>
      <c r="I24" s="715"/>
      <c r="J24" s="713">
        <f>IF(I16=0,0,K24/(I16+I18))</f>
        <v>94.079794079794084</v>
      </c>
      <c r="K24" s="716">
        <f>'[5]véh neufs'!$F$150</f>
        <v>3956.3664823637873</v>
      </c>
      <c r="L24" s="715"/>
      <c r="M24" s="713">
        <f>IF(L16=0,0,N24/(L16+L18))</f>
        <v>94.079794079794084</v>
      </c>
      <c r="N24" s="716">
        <f>'[5]véh neufs'!$G$150</f>
        <v>6014.3600207550835</v>
      </c>
      <c r="O24" s="715"/>
      <c r="P24" s="713">
        <f>IF(O16=0,0,Q24/(O16+O18))</f>
        <v>94.079794079794084</v>
      </c>
      <c r="Q24" s="716">
        <f>'[5]véh neufs'!$H$150</f>
        <v>6661.7025181552026</v>
      </c>
      <c r="R24" s="715"/>
      <c r="S24" s="713">
        <f>IF(R16=0,0,T24/(R16+R18))</f>
        <v>94.07979407979407</v>
      </c>
      <c r="T24" s="716">
        <f>'[5]véh neufs'!$I$150</f>
        <v>8705.0214832521433</v>
      </c>
      <c r="U24" s="715"/>
      <c r="V24" s="713">
        <f>IF(U16=0,0,W24/(U16+U18))</f>
        <v>94.079794079794084</v>
      </c>
      <c r="W24" s="716">
        <f>'[5]véh neufs'!$J$150</f>
        <v>6133.0487079031527</v>
      </c>
      <c r="X24" s="715"/>
      <c r="Y24" s="713">
        <f>IF(X16=0,0,Z24/(X16+X18))</f>
        <v>94.079794079794084</v>
      </c>
      <c r="Z24" s="716">
        <f>'[5]véh neufs'!$K$150</f>
        <v>6106.0991770732644</v>
      </c>
      <c r="AA24" s="715"/>
      <c r="AB24" s="713">
        <f>IF(AA16=0,0,AC24/(AA16+AA18))</f>
        <v>94.079794079794084</v>
      </c>
      <c r="AC24" s="716">
        <f>'[5]véh neufs'!$L$150</f>
        <v>6465.5800763281077</v>
      </c>
      <c r="AD24" s="715"/>
      <c r="AE24" s="713">
        <f>IF(AD16=0,0,AF24/(AD16+AD18))</f>
        <v>94.079794079794084</v>
      </c>
      <c r="AF24" s="716">
        <f>'[5]véh neufs'!$M$150</f>
        <v>7084.9578208465273</v>
      </c>
      <c r="AG24" s="715"/>
      <c r="AH24" s="713">
        <f>IF(AG16=0,0,AI24/(AG16+AG18))</f>
        <v>94.079794079794098</v>
      </c>
      <c r="AI24" s="716">
        <f>'[5]véh neufs'!$N$150</f>
        <v>8787.9005198454288</v>
      </c>
      <c r="AJ24" s="715"/>
      <c r="AK24" s="713">
        <f>IF(AJ16=0,0,AL24/(AJ16+AJ18))</f>
        <v>94.079794079794084</v>
      </c>
      <c r="AL24" s="716">
        <f>'[5]véh neufs'!$O$150</f>
        <v>5107.1206780913872</v>
      </c>
      <c r="AM24" s="715"/>
      <c r="AN24" s="713">
        <f>IF(AM16=0,0,AO24/(AM16+AM18))</f>
        <v>94.079794079794084</v>
      </c>
      <c r="AO24" s="716">
        <f>'[5]véh neufs'!$P$150</f>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f>'[5]véh neufs'!$E$151</f>
        <v>45037.450223832748</v>
      </c>
      <c r="I25" s="715"/>
      <c r="J25" s="713">
        <f>IF(I16=0,0,K25/(I16+I18))</f>
        <v>737.32303732303728</v>
      </c>
      <c r="K25" s="716">
        <f>'[5]véh neufs'!$F$151</f>
        <v>31006.872198990608</v>
      </c>
      <c r="L25" s="715"/>
      <c r="M25" s="713">
        <f>IF(L16=0,0,N25/(L16+L18))</f>
        <v>737.32303732303728</v>
      </c>
      <c r="N25" s="716">
        <f>'[5]véh neufs'!$G$151</f>
        <v>47135.79830219681</v>
      </c>
      <c r="O25" s="715"/>
      <c r="P25" s="713">
        <f>IF(O16=0,0,Q25/(O16+O18))</f>
        <v>737.32303732303728</v>
      </c>
      <c r="Q25" s="716">
        <f>'[5]véh neufs'!$H$151</f>
        <v>52209.156944611699</v>
      </c>
      <c r="R25" s="715"/>
      <c r="S25" s="713">
        <f>IF(R16=0,0,T25/(R16+R18))</f>
        <v>737.32303732303728</v>
      </c>
      <c r="T25" s="716">
        <f>'[5]véh neufs'!$I$151</f>
        <v>68223.075345487727</v>
      </c>
      <c r="U25" s="715"/>
      <c r="V25" s="713">
        <f>IF(U16=0,0,W25/(U16+U18))</f>
        <v>737.32303732303728</v>
      </c>
      <c r="W25" s="716">
        <f>'[5]véh neufs'!$J$151</f>
        <v>48065.986385194476</v>
      </c>
      <c r="X25" s="715"/>
      <c r="Y25" s="713">
        <f>IF(X16=0,0,Z25/(X16+X18))</f>
        <v>737.32303732303728</v>
      </c>
      <c r="Z25" s="716">
        <f>'[5]véh neufs'!$K$151</f>
        <v>47854.777271481165</v>
      </c>
      <c r="AA25" s="715"/>
      <c r="AB25" s="713">
        <f>IF(AA16=0,0,AC25/(AA16+AA18))</f>
        <v>737.32303732303728</v>
      </c>
      <c r="AC25" s="716">
        <f>'[5]véh neufs'!$L$151</f>
        <v>50672.104319129583</v>
      </c>
      <c r="AD25" s="715"/>
      <c r="AE25" s="713">
        <f>IF(AD16=0,0,AF25/(AD16+AD18))</f>
        <v>737.32303732303728</v>
      </c>
      <c r="AF25" s="716">
        <f>'[5]véh neufs'!$M$151</f>
        <v>55526.297340122779</v>
      </c>
      <c r="AG25" s="715"/>
      <c r="AH25" s="713">
        <f>IF(AG16=0,0,AI25/(AG16+AG18))</f>
        <v>737.32303732303728</v>
      </c>
      <c r="AI25" s="716">
        <f>'[5]véh neufs'!$N$151</f>
        <v>68872.615702044393</v>
      </c>
      <c r="AJ25" s="715"/>
      <c r="AK25" s="713">
        <f>IF(AJ16=0,0,AL25/(AJ16+AJ18))</f>
        <v>737.32303732303728</v>
      </c>
      <c r="AL25" s="716">
        <f>'[5]véh neufs'!$O$151</f>
        <v>40025.573686437143</v>
      </c>
      <c r="AM25" s="715"/>
      <c r="AN25" s="713">
        <f>IF(AM16=0,0,AO25/(AM16+AM18))</f>
        <v>737.32303732303728</v>
      </c>
      <c r="AO25" s="716">
        <f>'[5]véh neufs'!$P$151</f>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f>'[5]véh neufs'!$E$152</f>
        <v>1135.9594270106184</v>
      </c>
      <c r="I26" s="715"/>
      <c r="J26" s="713">
        <f>IF(I16=0,0,K26/(I16+I18))</f>
        <v>18.597168597168597</v>
      </c>
      <c r="K26" s="716">
        <f>'[5]véh neufs'!$F$152</f>
        <v>782.0724441881905</v>
      </c>
      <c r="L26" s="715"/>
      <c r="M26" s="713">
        <f>IF(L16=0,0,N26/(L16+L18))</f>
        <v>18.597168597168597</v>
      </c>
      <c r="N26" s="716">
        <f>'[5]véh neufs'!$G$152</f>
        <v>1188.8851203818188</v>
      </c>
      <c r="O26" s="715"/>
      <c r="P26" s="713">
        <f>IF(O16=0,0,Q26/(O16+O18))</f>
        <v>18.597168597168597</v>
      </c>
      <c r="Q26" s="716">
        <f>'[5]véh neufs'!$H$152</f>
        <v>1316.8481721934702</v>
      </c>
      <c r="R26" s="715"/>
      <c r="S26" s="713">
        <f>IF(R16=0,0,T26/(R16+R18))</f>
        <v>18.597168597168597</v>
      </c>
      <c r="T26" s="716">
        <f>'[5]véh neufs'!$I$152</f>
        <v>1720.7600606428655</v>
      </c>
      <c r="U26" s="715"/>
      <c r="V26" s="713">
        <f>IF(U16=0,0,W26/(U16+U18))</f>
        <v>18.597168597168597</v>
      </c>
      <c r="W26" s="716">
        <f>'[5]véh neufs'!$J$152</f>
        <v>1212.3468376087628</v>
      </c>
      <c r="X26" s="715"/>
      <c r="Y26" s="713">
        <f>IF(X16=0,0,Z26/(X16+X18))</f>
        <v>18.597168597168597</v>
      </c>
      <c r="Z26" s="716">
        <f>'[5]véh neufs'!$K$152</f>
        <v>1207.0196047702964</v>
      </c>
      <c r="AA26" s="715"/>
      <c r="AB26" s="713">
        <f>IF(AA16=0,0,AC26/(AA16+AA18))</f>
        <v>18.597168597168597</v>
      </c>
      <c r="AC26" s="716">
        <f>'[5]véh neufs'!$L$152</f>
        <v>1278.0797825299746</v>
      </c>
      <c r="AD26" s="715"/>
      <c r="AE26" s="713">
        <f>IF(AD16=0,0,AF26/(AD16+AD18))</f>
        <v>18.597168597168597</v>
      </c>
      <c r="AF26" s="716">
        <f>'[5]véh neufs'!$M$152</f>
        <v>1400.5149180743135</v>
      </c>
      <c r="AG26" s="715"/>
      <c r="AH26" s="713">
        <f>IF(AG16=0,0,AI26/(AG16+AG18))</f>
        <v>18.597168597168597</v>
      </c>
      <c r="AI26" s="716">
        <f>'[5]véh neufs'!$N$152</f>
        <v>1737.1431260159566</v>
      </c>
      <c r="AJ26" s="715"/>
      <c r="AK26" s="713">
        <f>IF(AJ16=0,0,AL26/(AJ16+AJ18))</f>
        <v>18.597168597168597</v>
      </c>
      <c r="AL26" s="716">
        <f>'[5]véh neufs'!$O$152</f>
        <v>1009.5471107855067</v>
      </c>
      <c r="AM26" s="715"/>
      <c r="AN26" s="713">
        <f>IF(AM16=0,0,AO26/(AM16+AM18))</f>
        <v>18.597168597168597</v>
      </c>
      <c r="AO26" s="716">
        <f>'[5]véh neufs'!$P$152</f>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809</v>
      </c>
      <c r="D30" s="737">
        <f>IF(C30&lt;=0,0,E30/C30)</f>
        <v>2209.1841222475937</v>
      </c>
      <c r="E30" s="738">
        <f>E16+E20+E27+E22+E18</f>
        <v>1787229.9548983031</v>
      </c>
      <c r="F30" s="736">
        <f>+F16+F18+F20</f>
        <v>61.082385798425641</v>
      </c>
      <c r="G30" s="737">
        <f>IF(F30&lt;=0,0,H30/F30)</f>
        <v>2259.4458867739204</v>
      </c>
      <c r="H30" s="738">
        <f>H16+H20+H27+H22+H18</f>
        <v>138012.34534659053</v>
      </c>
      <c r="I30" s="736">
        <f>+I16+I18+I20</f>
        <v>43.507598344971044</v>
      </c>
      <c r="J30" s="737">
        <f>IF(I30&lt;=0,0,K30/I30)</f>
        <v>2246.4641904234068</v>
      </c>
      <c r="K30" s="738">
        <f>K16+K20+K27+K22+K18</f>
        <v>97738.261693302135</v>
      </c>
      <c r="L30" s="736">
        <f>+L16+L18+L20</f>
        <v>66.139059981300107</v>
      </c>
      <c r="M30" s="737">
        <f>IF(L30&lt;=0,0,N30/L30)</f>
        <v>2207.1400281888637</v>
      </c>
      <c r="N30" s="738">
        <f>N16+N20+N27+N22+N18</f>
        <v>145978.16671151167</v>
      </c>
      <c r="O30" s="736">
        <f>+O16+O18+O20</f>
        <v>73.257793165918457</v>
      </c>
      <c r="P30" s="737">
        <f>IF(O30&lt;=0,0,Q30/O30)</f>
        <v>2199.7938599515692</v>
      </c>
      <c r="Q30" s="738">
        <f>Q16+Q20+Q27+Q22+Q18</f>
        <v>161152.04359998944</v>
      </c>
      <c r="R30" s="736">
        <f>+R16+R18+R20</f>
        <v>95.727880611150553</v>
      </c>
      <c r="S30" s="737">
        <f>IF(R30&lt;=0,0,T30/R30)</f>
        <v>2183.7731229417527</v>
      </c>
      <c r="T30" s="738">
        <f>T16+T20+T27+T22+T18</f>
        <v>209047.97279480749</v>
      </c>
      <c r="U30" s="736">
        <f>+U16+U18+U20</f>
        <v>67.444262558348768</v>
      </c>
      <c r="V30" s="737">
        <f>IF(U30&lt;=0,0,W30/U30)</f>
        <v>2205.6770262609548</v>
      </c>
      <c r="W30" s="738">
        <f>W16+W20+W27+W22+W18</f>
        <v>148760.26047806177</v>
      </c>
      <c r="X30" s="736">
        <f>+X16+X18+X20</f>
        <v>67.147902408661196</v>
      </c>
      <c r="Y30" s="737">
        <f>IF(X30&lt;=0,0,Z30/X30)</f>
        <v>2206.0042255481017</v>
      </c>
      <c r="Z30" s="738">
        <f>Z16+Z20+Z27+Z22+Z18</f>
        <v>148128.55645019814</v>
      </c>
      <c r="AA30" s="736">
        <f>+AA16+AA18+AA20</f>
        <v>71.101062624527827</v>
      </c>
      <c r="AB30" s="737">
        <f>IF(AA30&lt;=0,0,AC30/AA30)</f>
        <v>2201.864172762781</v>
      </c>
      <c r="AC30" s="738">
        <f>AC16+AC20+AC27+AC22+AC18</f>
        <v>156554.88243831065</v>
      </c>
      <c r="AD30" s="736">
        <f>+AD16+AD18+AD20</f>
        <v>77.912271407244347</v>
      </c>
      <c r="AE30" s="737">
        <f>IF(AD30&lt;=0,0,AF30/AD30)</f>
        <v>2195.7164787968873</v>
      </c>
      <c r="AF30" s="738">
        <f>AF16+AF20+AF27+AF22+AF18</f>
        <v>171073.25822938196</v>
      </c>
      <c r="AG30" s="736">
        <f>+AG16+AG18+AG20</f>
        <v>96.639289564641743</v>
      </c>
      <c r="AH30" s="737">
        <f>IF(AG30&lt;=0,0,AI30/AG30)</f>
        <v>2183.280526667706</v>
      </c>
      <c r="AI30" s="738">
        <f>AI16+AI20+AI27+AI22+AI18</f>
        <v>210990.67901748398</v>
      </c>
      <c r="AJ30" s="736">
        <f>+AJ16+AJ18+AJ20</f>
        <v>56.162278229831863</v>
      </c>
      <c r="AK30" s="737">
        <f>IF(AJ30&lt;=0,0,AL30/AJ30)</f>
        <v>2220.5694631851902</v>
      </c>
      <c r="AL30" s="738">
        <f>AL16+AL20+AL27+AL22+AL18</f>
        <v>124712.24002007503</v>
      </c>
      <c r="AM30" s="736">
        <f>+AM16+AM18+AM20</f>
        <v>32.878215304978468</v>
      </c>
      <c r="AN30" s="737">
        <f>IF(AM30&lt;=0,0,AO30/AM30)</f>
        <v>2283.6181168027542</v>
      </c>
      <c r="AO30" s="738">
        <f>AO16+AO20+AO27+AO22+AO18</f>
        <v>75081.288118590426</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0.29080739236310865</v>
      </c>
      <c r="D34" s="748">
        <f t="shared" ref="D34:D43" si="16">IF(E34=0,0,E34/C$27)</f>
        <v>386.0727615783004</v>
      </c>
      <c r="E34" s="734">
        <f t="shared" ref="E34:E43" si="17">+SUM(H34,K34,N34,Q34,T34,W34,Z34,AC34,AF34,AI34,AL34,AO34)</f>
        <v>302681.04507738753</v>
      </c>
      <c r="F34" s="747">
        <f>H34/(H16+H18)</f>
        <v>0.2918655242276833</v>
      </c>
      <c r="G34" s="748">
        <f t="shared" ref="G34:G43" si="18">IF(H34=0,0,H34/F$27)</f>
        <v>387.47752604371072</v>
      </c>
      <c r="H34" s="749">
        <f>'[5]véh neufs'!$E$263</f>
        <v>23668.051734021457</v>
      </c>
      <c r="I34" s="747">
        <f>K34/(K16+K18)</f>
        <v>0.32814705329239158</v>
      </c>
      <c r="J34" s="748">
        <f t="shared" ref="J34:J36" si="19">IF(K34=0,0,K34/I$27)</f>
        <v>435.64449321215687</v>
      </c>
      <c r="K34" s="749">
        <f>'[5]véh neufs'!$F$263</f>
        <v>18320.291705879852</v>
      </c>
      <c r="L34" s="747">
        <f>N34/(N16+N18)</f>
        <v>0.2961800815962965</v>
      </c>
      <c r="M34" s="748">
        <f t="shared" ref="M34:M36" si="20">IF(N34=0,0,N34/L$27)</f>
        <v>393.2054859306748</v>
      </c>
      <c r="N34" s="749">
        <f>'[5]véh neufs'!$G$263</f>
        <v>25136.952920169508</v>
      </c>
      <c r="O34" s="747">
        <f>Q34/(Q16+Q18)</f>
        <v>0.28622244399772345</v>
      </c>
      <c r="P34" s="748">
        <f t="shared" ref="P34:P36" si="21">IF(Q34=0,0,Q34/O$27)</f>
        <v>379.98583351662325</v>
      </c>
      <c r="Q34" s="749">
        <f>'[5]véh neufs'!$H$263</f>
        <v>26906.442650735586</v>
      </c>
      <c r="R34" s="747">
        <f>T34/(T16+T18)</f>
        <v>0.26854424395609855</v>
      </c>
      <c r="S34" s="748">
        <f t="shared" ref="S34:S36" si="22">IF(T34=0,0,T34/R$27)</f>
        <v>356.51644556763387</v>
      </c>
      <c r="T34" s="749">
        <f>'[5]véh neufs'!$I$263</f>
        <v>32987.777536659116</v>
      </c>
      <c r="U34" s="747">
        <f>W34/(W16+W18)</f>
        <v>0.29202669340860354</v>
      </c>
      <c r="V34" s="748">
        <f t="shared" ref="V34:V36" si="23">IF(W34=0,0,W34/U$27)</f>
        <v>387.69149251221614</v>
      </c>
      <c r="W34" s="749">
        <f>'[5]véh neufs'!$J$263</f>
        <v>25273.554544564715</v>
      </c>
      <c r="X34" s="747">
        <f>Z34/(Z16+Z18)</f>
        <v>0.29501879892928684</v>
      </c>
      <c r="Y34" s="748">
        <f t="shared" ref="Y34:Y36" si="24">IF(Z34=0,0,Z34/X$27)</f>
        <v>391.66377957107289</v>
      </c>
      <c r="Z34" s="749">
        <f>'[5]véh neufs'!$K$263</f>
        <v>25420.313740269692</v>
      </c>
      <c r="AA34" s="747">
        <f>AC34/(AC16+AC18)</f>
        <v>0.2882649855957134</v>
      </c>
      <c r="AB34" s="748">
        <f t="shared" ref="AB34:AB36" si="25">IF(AC34=0,0,AC34/AA$27)</f>
        <v>382.6974897402377</v>
      </c>
      <c r="AC34" s="749">
        <f>'[5]véh neufs'!$L$263</f>
        <v>26300.666249615977</v>
      </c>
      <c r="AD34" s="747">
        <f>AF34/(AF16+AF18)</f>
        <v>0.28219975690705984</v>
      </c>
      <c r="AE34" s="748">
        <f t="shared" ref="AE34:AE36" si="26">IF(AF34=0,0,AF34/AD$27)</f>
        <v>374.64535746669287</v>
      </c>
      <c r="AF34" s="749">
        <f>'[5]véh neufs'!$M$263</f>
        <v>28213.779392163589</v>
      </c>
      <c r="AG34" s="747">
        <f>AI34/(AI16+AI18)</f>
        <v>0.26993062086302611</v>
      </c>
      <c r="AH34" s="748">
        <f t="shared" ref="AH34:AH36" si="27">IF(AI34=0,0,AI34/AG$27)</f>
        <v>358.35698461547764</v>
      </c>
      <c r="AI34" s="749">
        <f>'[5]véh neufs'!$N$263</f>
        <v>33473.771516991066</v>
      </c>
      <c r="AJ34" s="747">
        <f>AL34/(AL16+AL18)</f>
        <v>0.30671936291654434</v>
      </c>
      <c r="AK34" s="748">
        <f t="shared" ref="AK34:AK36" si="28">IF(AL34=0,0,AL34/AJ$27)</f>
        <v>407.1973222842642</v>
      </c>
      <c r="AL34" s="749">
        <f>'[5]véh neufs'!$O$263</f>
        <v>22104.70255640211</v>
      </c>
      <c r="AM34" s="747">
        <f>AO34/(AO16+AO18)</f>
        <v>0.35256759927984815</v>
      </c>
      <c r="AN34" s="748">
        <f t="shared" ref="AN34:AN36" si="29">IF(AO34=0,0,AO34/AM$27)</f>
        <v>468.06494701153997</v>
      </c>
      <c r="AO34" s="749">
        <f>'[5]véh neufs'!$P$263</f>
        <v>14874.74052991485</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f>'[5]véh neufs'!$E$271</f>
        <v>15576.008378598535</v>
      </c>
      <c r="I35" s="750">
        <f>K35/K27</f>
        <v>0.3</v>
      </c>
      <c r="J35" s="751">
        <f t="shared" si="19"/>
        <v>254.99999999999994</v>
      </c>
      <c r="K35" s="753">
        <f>'[5]véh neufs'!$F$271</f>
        <v>10723.593337662775</v>
      </c>
      <c r="L35" s="750">
        <f>N35/N27</f>
        <v>0.3</v>
      </c>
      <c r="M35" s="751">
        <f t="shared" si="20"/>
        <v>254.99999999999997</v>
      </c>
      <c r="N35" s="753">
        <f>'[5]véh neufs'!$G$271</f>
        <v>16301.713033000113</v>
      </c>
      <c r="O35" s="750">
        <f>Q35/Q27</f>
        <v>0.3</v>
      </c>
      <c r="P35" s="751">
        <f t="shared" si="21"/>
        <v>255</v>
      </c>
      <c r="Q35" s="753">
        <f>'[5]véh neufs'!$H$271</f>
        <v>18056.312290488113</v>
      </c>
      <c r="R35" s="750">
        <f>T35/T27</f>
        <v>0.3</v>
      </c>
      <c r="S35" s="751">
        <f t="shared" si="22"/>
        <v>254.99999999999997</v>
      </c>
      <c r="T35" s="753">
        <f>'[5]véh neufs'!$I$271</f>
        <v>23594.65706681482</v>
      </c>
      <c r="U35" s="750">
        <f>W35/W27</f>
        <v>0.3</v>
      </c>
      <c r="V35" s="751">
        <f t="shared" si="23"/>
        <v>254.99999999999997</v>
      </c>
      <c r="W35" s="753">
        <f>'[5]véh neufs'!$J$271</f>
        <v>16623.414579211916</v>
      </c>
      <c r="X35" s="750">
        <f>Z35/Z27</f>
        <v>0.3</v>
      </c>
      <c r="Y35" s="751">
        <f t="shared" si="24"/>
        <v>255.00000000000003</v>
      </c>
      <c r="Z35" s="753">
        <f>'[5]véh neufs'!$K$271</f>
        <v>16550.368815997419</v>
      </c>
      <c r="AA35" s="750">
        <f>AC35/AC27</f>
        <v>0.3</v>
      </c>
      <c r="AB35" s="751">
        <f t="shared" si="25"/>
        <v>254.99999999999997</v>
      </c>
      <c r="AC35" s="753">
        <f>'[5]véh neufs'!$L$271</f>
        <v>17524.729253396297</v>
      </c>
      <c r="AD35" s="750">
        <f>AF35/AF27</f>
        <v>0.3</v>
      </c>
      <c r="AE35" s="751">
        <f t="shared" si="26"/>
        <v>254.99999999999997</v>
      </c>
      <c r="AF35" s="753">
        <f>'[5]véh neufs'!$M$271</f>
        <v>19203.531023713083</v>
      </c>
      <c r="AG35" s="750">
        <f>AI35/AI27</f>
        <v>0.3</v>
      </c>
      <c r="AH35" s="751">
        <f t="shared" si="27"/>
        <v>255</v>
      </c>
      <c r="AI35" s="753">
        <f>'[5]véh neufs'!$N$271</f>
        <v>23819.297804371734</v>
      </c>
      <c r="AJ35" s="750">
        <f>AL35/AL27</f>
        <v>0.3</v>
      </c>
      <c r="AK35" s="751">
        <f t="shared" si="28"/>
        <v>254.99999999999997</v>
      </c>
      <c r="AL35" s="753">
        <f>'[5]véh neufs'!$O$271</f>
        <v>13842.67244259421</v>
      </c>
      <c r="AM35" s="750">
        <f>AO35/AO27</f>
        <v>0.3</v>
      </c>
      <c r="AN35" s="751">
        <f t="shared" si="29"/>
        <v>255</v>
      </c>
      <c r="AO35" s="753">
        <f>'[5]véh neufs'!$P$271</f>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f>[5]DEPA!$E$9</f>
        <v>12033.230002289851</v>
      </c>
      <c r="I36" s="711"/>
      <c r="J36" s="748">
        <f t="shared" si="19"/>
        <v>197</v>
      </c>
      <c r="K36" s="749">
        <f>[5]DEPA!$F$9</f>
        <v>8284.5015196845761</v>
      </c>
      <c r="L36" s="711"/>
      <c r="M36" s="748">
        <f t="shared" si="20"/>
        <v>197</v>
      </c>
      <c r="N36" s="749">
        <f>[5]DEPA!$G$9</f>
        <v>12593.872421572638</v>
      </c>
      <c r="O36" s="711"/>
      <c r="P36" s="748">
        <f t="shared" si="21"/>
        <v>197</v>
      </c>
      <c r="Q36" s="749">
        <f>[5]DEPA!$H$9</f>
        <v>13949.386357749641</v>
      </c>
      <c r="R36" s="711"/>
      <c r="S36" s="748">
        <f t="shared" si="22"/>
        <v>197</v>
      </c>
      <c r="T36" s="749">
        <f>[5]DEPA!$I$9</f>
        <v>18228.029184951058</v>
      </c>
      <c r="U36" s="711"/>
      <c r="V36" s="748">
        <f t="shared" si="23"/>
        <v>197</v>
      </c>
      <c r="W36" s="749">
        <f>[5]DEPA!$J$9</f>
        <v>12842.402635704893</v>
      </c>
      <c r="X36" s="711"/>
      <c r="Y36" s="748">
        <f t="shared" si="24"/>
        <v>197</v>
      </c>
      <c r="Z36" s="749">
        <f>[5]DEPA!$K$9</f>
        <v>12785.971202947025</v>
      </c>
      <c r="AA36" s="711"/>
      <c r="AB36" s="748">
        <f t="shared" si="25"/>
        <v>197</v>
      </c>
      <c r="AC36" s="749">
        <f>[5]DEPA!$L$9</f>
        <v>13538.712403604201</v>
      </c>
      <c r="AD36" s="711"/>
      <c r="AE36" s="748">
        <f t="shared" si="26"/>
        <v>197</v>
      </c>
      <c r="AF36" s="749">
        <f>[5]DEPA!$M$9</f>
        <v>14835.669065378344</v>
      </c>
      <c r="AG36" s="711"/>
      <c r="AH36" s="748">
        <f t="shared" si="27"/>
        <v>197</v>
      </c>
      <c r="AI36" s="749">
        <f>[5]DEPA!$N$9</f>
        <v>18401.575166514634</v>
      </c>
      <c r="AJ36" s="711"/>
      <c r="AK36" s="748">
        <f t="shared" si="28"/>
        <v>197</v>
      </c>
      <c r="AL36" s="749">
        <f>[5]DEPA!$O$9</f>
        <v>10694.143024278666</v>
      </c>
      <c r="AM36" s="711"/>
      <c r="AN36" s="748">
        <f t="shared" si="29"/>
        <v>197</v>
      </c>
      <c r="AO36" s="749">
        <f>[5]DEPA!$P$9</f>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f>[5]DEPA!$E$18</f>
        <v>366.49431479055386</v>
      </c>
      <c r="I37" s="711"/>
      <c r="J37" s="748">
        <f>IF(K37=0,0,K37/I$27)</f>
        <v>6</v>
      </c>
      <c r="K37" s="749">
        <f>[5]DEPA!$F$18</f>
        <v>252.31984323912417</v>
      </c>
      <c r="L37" s="711"/>
      <c r="M37" s="748">
        <f>IF(N37=0,0,N37/L$27)</f>
        <v>6</v>
      </c>
      <c r="N37" s="749">
        <f>[5]DEPA!$G$18</f>
        <v>383.56971842353209</v>
      </c>
      <c r="O37" s="711"/>
      <c r="P37" s="748">
        <f>IF(Q37=0,0,Q37/O$27)</f>
        <v>6</v>
      </c>
      <c r="Q37" s="749">
        <f>[5]DEPA!$H$18</f>
        <v>424.8544068350144</v>
      </c>
      <c r="R37" s="711"/>
      <c r="S37" s="748">
        <f>IF(T37=0,0,T37/R$27)</f>
        <v>6</v>
      </c>
      <c r="T37" s="749">
        <f>[5]DEPA!$I$18</f>
        <v>555.16840157211345</v>
      </c>
      <c r="U37" s="711"/>
      <c r="V37" s="748">
        <f>IF(W37=0,0,W37/U$27)</f>
        <v>6</v>
      </c>
      <c r="W37" s="749">
        <f>[5]DEPA!$J$18</f>
        <v>391.13916656969218</v>
      </c>
      <c r="X37" s="711"/>
      <c r="Y37" s="748">
        <f>IF(Z37=0,0,Z37/X$27)</f>
        <v>6</v>
      </c>
      <c r="Z37" s="749">
        <f>[5]DEPA!$K$18</f>
        <v>389.42044272935101</v>
      </c>
      <c r="AA37" s="711"/>
      <c r="AB37" s="748">
        <f>IF(AC37=0,0,AC37/AA$27)</f>
        <v>6</v>
      </c>
      <c r="AC37" s="749">
        <f>[5]DEPA!$L$18</f>
        <v>412.34657066814822</v>
      </c>
      <c r="AD37" s="711"/>
      <c r="AE37" s="748">
        <f>IF(AF37=0,0,AF37/AD$27)</f>
        <v>6</v>
      </c>
      <c r="AF37" s="749">
        <f>[5]DEPA!$M$18</f>
        <v>451.84778879324909</v>
      </c>
      <c r="AG37" s="711"/>
      <c r="AH37" s="748">
        <f>IF(AI37=0,0,AI37/AG$27)</f>
        <v>6</v>
      </c>
      <c r="AI37" s="749">
        <f>[5]DEPA!$N$18</f>
        <v>560.45406598521731</v>
      </c>
      <c r="AJ37" s="711"/>
      <c r="AK37" s="748">
        <f>IF(AL37=0,0,AL37/AJ$27)</f>
        <v>6</v>
      </c>
      <c r="AL37" s="749">
        <f>[5]DEPA!$O$18</f>
        <v>325.70993982574618</v>
      </c>
      <c r="AM37" s="711"/>
      <c r="AN37" s="748">
        <f>IF(AO37=0,0,AO37/AM$27)</f>
        <v>6</v>
      </c>
      <c r="AO37" s="749">
        <f>[5]DEPA!$P$18</f>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f>[5]DEPA!$E$24</f>
        <v>2076.8011171464718</v>
      </c>
      <c r="I38" s="706"/>
      <c r="J38" s="751">
        <f t="shared" ref="J38:J43" si="30">IF(K38=0,0,K38/I$27)</f>
        <v>34</v>
      </c>
      <c r="K38" s="753">
        <f>[5]DEPA!$F$24</f>
        <v>1429.8124450217035</v>
      </c>
      <c r="L38" s="706"/>
      <c r="M38" s="751">
        <f t="shared" ref="M38:M43" si="31">IF(N38=0,0,N38/L$27)</f>
        <v>33.999999999999993</v>
      </c>
      <c r="N38" s="753">
        <f>[5]DEPA!$G$24</f>
        <v>2173.5617377333483</v>
      </c>
      <c r="O38" s="706"/>
      <c r="P38" s="751">
        <f t="shared" ref="P38:P43" si="32">IF(Q38=0,0,Q38/O$27)</f>
        <v>34</v>
      </c>
      <c r="Q38" s="753">
        <f>[5]DEPA!$H$24</f>
        <v>2407.5083053984149</v>
      </c>
      <c r="R38" s="706"/>
      <c r="S38" s="751">
        <f t="shared" ref="S38:S43" si="33">IF(T38=0,0,T38/R$27)</f>
        <v>34</v>
      </c>
      <c r="T38" s="753">
        <f>[5]DEPA!$I$24</f>
        <v>3145.9542755753096</v>
      </c>
      <c r="U38" s="706"/>
      <c r="V38" s="751">
        <f t="shared" ref="V38:V43" si="34">IF(W38=0,0,W38/U$27)</f>
        <v>34</v>
      </c>
      <c r="W38" s="753">
        <f>[5]DEPA!$J$24</f>
        <v>2216.4552772282559</v>
      </c>
      <c r="X38" s="706"/>
      <c r="Y38" s="751">
        <f t="shared" ref="Y38:Y43" si="35">IF(Z38=0,0,Z38/X$27)</f>
        <v>34</v>
      </c>
      <c r="Z38" s="753">
        <f>[5]DEPA!$K$24</f>
        <v>2206.7158421329891</v>
      </c>
      <c r="AA38" s="706"/>
      <c r="AB38" s="751">
        <f t="shared" ref="AB38:AB43" si="36">IF(AC38=0,0,AC38/AA$27)</f>
        <v>34</v>
      </c>
      <c r="AC38" s="753">
        <f>[5]DEPA!$L$24</f>
        <v>2336.6305671195064</v>
      </c>
      <c r="AD38" s="706"/>
      <c r="AE38" s="751">
        <f t="shared" ref="AE38:AE43" si="37">IF(AF38=0,0,AF38/AD$27)</f>
        <v>34</v>
      </c>
      <c r="AF38" s="753">
        <f>[5]DEPA!$M$24</f>
        <v>2560.4708031617447</v>
      </c>
      <c r="AG38" s="706"/>
      <c r="AH38" s="751">
        <f t="shared" ref="AH38:AH43" si="38">IF(AI38=0,0,AI38/AG$27)</f>
        <v>34</v>
      </c>
      <c r="AI38" s="753">
        <f>[5]DEPA!$N$24</f>
        <v>3175.9063739162311</v>
      </c>
      <c r="AJ38" s="706"/>
      <c r="AK38" s="751">
        <f t="shared" ref="AK38:AK43" si="39">IF(AL38=0,0,AL38/AJ$27)</f>
        <v>34</v>
      </c>
      <c r="AL38" s="753">
        <f>[5]DEPA!$O$24</f>
        <v>1845.6896590125616</v>
      </c>
      <c r="AM38" s="706"/>
      <c r="AN38" s="751">
        <f t="shared" ref="AN38:AN43" si="40">IF(AO38=0,0,AO38/AM$27)</f>
        <v>34</v>
      </c>
      <c r="AO38" s="753">
        <f>[5]DEPA!$P$24</f>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f>[5]DEPA!$E$33+[5]DEPA!$E$34</f>
        <v>11035.732827063774</v>
      </c>
      <c r="I39" s="711"/>
      <c r="J39" s="748">
        <f t="shared" si="30"/>
        <v>180.66964285714283</v>
      </c>
      <c r="K39" s="749">
        <f>[5]DEPA!$F$33+[5]DEPA!$F$34</f>
        <v>7597.7559939638049</v>
      </c>
      <c r="L39" s="711"/>
      <c r="M39" s="748">
        <f t="shared" si="31"/>
        <v>180.6696428571428</v>
      </c>
      <c r="N39" s="749">
        <f>[5]DEPA!$G$33+[5]DEPA!$G$34</f>
        <v>11549.900673065729</v>
      </c>
      <c r="O39" s="711"/>
      <c r="P39" s="748">
        <f t="shared" si="32"/>
        <v>180.66964285714283</v>
      </c>
      <c r="Q39" s="749">
        <f>[5]DEPA!$H$33+[5]DEPA!$H$34</f>
        <v>12793.048991527554</v>
      </c>
      <c r="R39" s="711"/>
      <c r="S39" s="748">
        <f t="shared" si="33"/>
        <v>180.6696428571428</v>
      </c>
      <c r="T39" s="749">
        <f>[5]DEPA!$I$33+[5]DEPA!$I$34</f>
        <v>16717.01280626743</v>
      </c>
      <c r="U39" s="711"/>
      <c r="V39" s="748">
        <f t="shared" si="34"/>
        <v>180.66964285714283</v>
      </c>
      <c r="W39" s="749">
        <f>[5]DEPA!$J$33+[5]DEPA!$J$34</f>
        <v>11777.828921931132</v>
      </c>
      <c r="X39" s="711"/>
      <c r="Y39" s="748">
        <f t="shared" si="35"/>
        <v>180.66964285714283</v>
      </c>
      <c r="Z39" s="749">
        <f>[5]DEPA!$K$33+[5]DEPA!$K$34</f>
        <v>11726.075384863716</v>
      </c>
      <c r="AA39" s="711"/>
      <c r="AB39" s="748">
        <f t="shared" si="36"/>
        <v>180.66964285714283</v>
      </c>
      <c r="AC39" s="749">
        <f>[5]DEPA!$L$33+[5]DEPA!$L$34</f>
        <v>12416.417942663658</v>
      </c>
      <c r="AD39" s="711"/>
      <c r="AE39" s="748">
        <f t="shared" si="37"/>
        <v>180.6696428571428</v>
      </c>
      <c r="AF39" s="749">
        <f>[5]DEPA!$M$33+[5]DEPA!$M$34</f>
        <v>13605.863104511001</v>
      </c>
      <c r="AG39" s="711"/>
      <c r="AH39" s="748">
        <f t="shared" si="38"/>
        <v>180.66964285714283</v>
      </c>
      <c r="AI39" s="749">
        <f>[5]DEPA!$N$33+[5]DEPA!$N$34</f>
        <v>16876.172656563795</v>
      </c>
      <c r="AJ39" s="711"/>
      <c r="AK39" s="748">
        <f t="shared" si="39"/>
        <v>180.6696428571428</v>
      </c>
      <c r="AL39" s="749">
        <f>[5]DEPA!$O$33+[5]DEPA!$O$34</f>
        <v>9807.6497505565058</v>
      </c>
      <c r="AM39" s="711"/>
      <c r="AN39" s="748">
        <f t="shared" si="40"/>
        <v>180.66964285714283</v>
      </c>
      <c r="AO39" s="749">
        <f>[5]DEPA!$P$33+[5]DEPA!$P$34</f>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224.43135547793509</v>
      </c>
      <c r="E40" s="734">
        <f t="shared" si="17"/>
        <v>175954.1826947011</v>
      </c>
      <c r="F40" s="711"/>
      <c r="G40" s="748">
        <f t="shared" si="18"/>
        <v>226.99495080223429</v>
      </c>
      <c r="H40" s="749">
        <f>[5]DEPA!$E$46</f>
        <v>13865.393159196723</v>
      </c>
      <c r="I40" s="711"/>
      <c r="J40" s="748">
        <f t="shared" si="30"/>
        <v>332.88053349025813</v>
      </c>
      <c r="K40" s="749">
        <f>[5]DEPA!$F$46</f>
        <v>13998.727337936325</v>
      </c>
      <c r="L40" s="711"/>
      <c r="M40" s="748">
        <f t="shared" si="31"/>
        <v>231.24629321245661</v>
      </c>
      <c r="N40" s="749">
        <f>[5]DEPA!$G$46</f>
        <v>14783.179262331254</v>
      </c>
      <c r="O40" s="711"/>
      <c r="P40" s="748">
        <f t="shared" si="32"/>
        <v>219.7935456700142</v>
      </c>
      <c r="Q40" s="749">
        <f>[5]DEPA!$H$46</f>
        <v>15563.376078633089</v>
      </c>
      <c r="R40" s="711"/>
      <c r="S40" s="748">
        <f t="shared" si="33"/>
        <v>166.54498091281118</v>
      </c>
      <c r="T40" s="749">
        <f>[5]DEPA!$I$46</f>
        <v>15410.085140537256</v>
      </c>
      <c r="U40" s="711"/>
      <c r="V40" s="748">
        <f t="shared" si="34"/>
        <v>224.82774459193394</v>
      </c>
      <c r="W40" s="749">
        <f>[5]DEPA!$J$46</f>
        <v>14656.489440238776</v>
      </c>
      <c r="X40" s="711"/>
      <c r="Y40" s="748">
        <f t="shared" si="35"/>
        <v>227.30566005107409</v>
      </c>
      <c r="Z40" s="749">
        <f>[5]DEPA!$K$46</f>
        <v>14752.911795329437</v>
      </c>
      <c r="AA40" s="711"/>
      <c r="AB40" s="748">
        <f t="shared" si="36"/>
        <v>218.7976906991731</v>
      </c>
      <c r="AC40" s="749">
        <f>[5]DEPA!$L$46</f>
        <v>15036.746238319036</v>
      </c>
      <c r="AD40" s="711"/>
      <c r="AE40" s="748">
        <f t="shared" si="37"/>
        <v>208.61189393808104</v>
      </c>
      <c r="AF40" s="749">
        <f>[5]DEPA!$M$46</f>
        <v>15710.13716531562</v>
      </c>
      <c r="AG40" s="711"/>
      <c r="AH40" s="748">
        <f t="shared" si="38"/>
        <v>162.04683113668221</v>
      </c>
      <c r="AI40" s="749">
        <f>[5]DEPA!$N$46</f>
        <v>15136.634231762244</v>
      </c>
      <c r="AJ40" s="711"/>
      <c r="AK40" s="748">
        <f t="shared" si="39"/>
        <v>247.86565921516913</v>
      </c>
      <c r="AL40" s="749">
        <f>[5]DEPA!$O$46</f>
        <v>13455.384824640274</v>
      </c>
      <c r="AM40" s="711"/>
      <c r="AN40" s="748">
        <f t="shared" si="40"/>
        <v>427.48426660650051</v>
      </c>
      <c r="AO40" s="749">
        <f>[5]DEPA!$P$46</f>
        <v>13585.118020461094</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0.56288684341648276</v>
      </c>
      <c r="E44" s="757">
        <f>SUM(E34:E43)</f>
        <v>1006008.2277720887</v>
      </c>
      <c r="F44" s="755" t="s">
        <v>111</v>
      </c>
      <c r="G44" s="756">
        <f>IFERROR(H44/H$30,0)</f>
        <v>0.56967158507207871</v>
      </c>
      <c r="H44" s="757">
        <f>SUM(H34:H43)</f>
        <v>78621.711533107358</v>
      </c>
      <c r="I44" s="755" t="s">
        <v>111</v>
      </c>
      <c r="J44" s="756">
        <f>IFERROR(K44/K$30,0)</f>
        <v>0.62009494678317434</v>
      </c>
      <c r="K44" s="757">
        <f>SUM(K34:K43)</f>
        <v>60607.002183388155</v>
      </c>
      <c r="L44" s="755" t="s">
        <v>111</v>
      </c>
      <c r="M44" s="756">
        <f>IFERROR(N44/N$30,0)</f>
        <v>0.56804898728569198</v>
      </c>
      <c r="N44" s="757">
        <f>SUM(N34:N43)</f>
        <v>82922.749766296125</v>
      </c>
      <c r="O44" s="755" t="s">
        <v>111</v>
      </c>
      <c r="P44" s="756">
        <f>IFERROR(Q44/Q$30,0)</f>
        <v>0.55910509769901129</v>
      </c>
      <c r="Q44" s="757">
        <f>SUM(Q34:Q43)</f>
        <v>90100.929081367416</v>
      </c>
      <c r="R44" s="755" t="s">
        <v>111</v>
      </c>
      <c r="S44" s="756">
        <f>IFERROR(T44/T$30,0)</f>
        <v>0.52925021435618169</v>
      </c>
      <c r="T44" s="757">
        <f>SUM(T34:T43)</f>
        <v>110638.6844123771</v>
      </c>
      <c r="U44" s="755" t="s">
        <v>111</v>
      </c>
      <c r="V44" s="756">
        <f>IFERROR(W44/W$30,0)</f>
        <v>0.56319667830781261</v>
      </c>
      <c r="W44" s="757">
        <f>SUM(W34:W43)</f>
        <v>83781.284565449372</v>
      </c>
      <c r="X44" s="755" t="s">
        <v>111</v>
      </c>
      <c r="Y44" s="756">
        <f>IFERROR(Z44/Z$30,0)</f>
        <v>0.56593933832369758</v>
      </c>
      <c r="Z44" s="757">
        <f>SUM(Z34:Z43)</f>
        <v>83831.777224269623</v>
      </c>
      <c r="AA44" s="755" t="s">
        <v>111</v>
      </c>
      <c r="AB44" s="756">
        <f>IFERROR(AC44/AC$30,0)</f>
        <v>0.55933259864885843</v>
      </c>
      <c r="AC44" s="757">
        <f>SUM(AC34:AC43)</f>
        <v>87566.249225386826</v>
      </c>
      <c r="AD44" s="755" t="s">
        <v>111</v>
      </c>
      <c r="AE44" s="756">
        <f>IFERROR(AF44/AF$30,0)</f>
        <v>0.55287015236605952</v>
      </c>
      <c r="AF44" s="757">
        <f>SUM(AF34:AF43)</f>
        <v>94581.298343036644</v>
      </c>
      <c r="AG44" s="755" t="s">
        <v>111</v>
      </c>
      <c r="AH44" s="756">
        <f>IFERROR(AI44/AI$30,0)</f>
        <v>0.52819305731922883</v>
      </c>
      <c r="AI44" s="757">
        <f>SUM(AI34:AI43)</f>
        <v>111443.81181610494</v>
      </c>
      <c r="AJ44" s="755" t="s">
        <v>111</v>
      </c>
      <c r="AK44" s="756">
        <f>IFERROR(AL44/AL$30,0)</f>
        <v>0.57793807717436518</v>
      </c>
      <c r="AL44" s="757">
        <f>SUM(AL34:AL43)</f>
        <v>72075.952197310078</v>
      </c>
      <c r="AM44" s="755" t="s">
        <v>111</v>
      </c>
      <c r="AN44" s="756">
        <f>IFERROR(AO44/AO$30,0)</f>
        <v>0.66377094310473361</v>
      </c>
      <c r="AO44" s="757">
        <f>SUM(AO34:AO43)</f>
        <v>49836.777423995001</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f>[5]Salaire!$E$33</f>
        <v>24368.631609195403</v>
      </c>
      <c r="I45" s="711"/>
      <c r="J45" s="733"/>
      <c r="K45" s="749">
        <f>[5]Salaire!$F$33</f>
        <v>23592.962643678162</v>
      </c>
      <c r="L45" s="711"/>
      <c r="M45" s="733"/>
      <c r="N45" s="749">
        <f>[5]Salaire!$G$33</f>
        <v>25919.969540229882</v>
      </c>
      <c r="O45" s="711"/>
      <c r="P45" s="733"/>
      <c r="Q45" s="749">
        <f>[5]Salaire!$H$33</f>
        <v>24368.631609195403</v>
      </c>
      <c r="R45" s="711"/>
      <c r="S45" s="733"/>
      <c r="T45" s="749">
        <f>[5]Salaire!$I$33</f>
        <v>25144.300574712641</v>
      </c>
      <c r="U45" s="711"/>
      <c r="V45" s="733"/>
      <c r="W45" s="749">
        <f>[5]Salaire!$J$33</f>
        <v>25144.300574712641</v>
      </c>
      <c r="X45" s="711"/>
      <c r="Y45" s="733"/>
      <c r="Z45" s="749">
        <f>[5]Salaire!$K$33</f>
        <v>25144.300574712641</v>
      </c>
      <c r="AA45" s="711"/>
      <c r="AB45" s="733"/>
      <c r="AC45" s="749">
        <f>[5]Salaire!$L$33</f>
        <v>25144.300574712641</v>
      </c>
      <c r="AD45" s="711"/>
      <c r="AE45" s="733"/>
      <c r="AF45" s="749">
        <f>[5]Salaire!$M$33</f>
        <v>25144.300574712641</v>
      </c>
      <c r="AG45" s="711"/>
      <c r="AH45" s="733"/>
      <c r="AI45" s="749">
        <f>[5]Salaire!$N$33</f>
        <v>24368.631609195403</v>
      </c>
      <c r="AJ45" s="711"/>
      <c r="AK45" s="733"/>
      <c r="AL45" s="749">
        <f>[5]Salaire!$O$33</f>
        <v>25144.300574712641</v>
      </c>
      <c r="AM45" s="711"/>
      <c r="AN45" s="733"/>
      <c r="AO45" s="749">
        <f>[5]Salaire!$P$33</f>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f>[5]Salaire!$E$77</f>
        <v>9573.4805155862086</v>
      </c>
      <c r="I46" s="711"/>
      <c r="J46" s="733"/>
      <c r="K46" s="749">
        <f>[5]Salaire!$F$77</f>
        <v>9117.6004910344818</v>
      </c>
      <c r="L46" s="711"/>
      <c r="M46" s="733"/>
      <c r="N46" s="749">
        <f>[5]Salaire!$G$77</f>
        <v>10485.240564689655</v>
      </c>
      <c r="O46" s="711"/>
      <c r="P46" s="733"/>
      <c r="Q46" s="749">
        <f>[5]Salaire!$H$77</f>
        <v>9573.4805155862086</v>
      </c>
      <c r="R46" s="711"/>
      <c r="S46" s="733"/>
      <c r="T46" s="749">
        <f>[5]Salaire!$I$77</f>
        <v>10029.360540137932</v>
      </c>
      <c r="U46" s="711"/>
      <c r="V46" s="733"/>
      <c r="W46" s="749">
        <f>[5]Salaire!$J$77</f>
        <v>10029.360540137932</v>
      </c>
      <c r="X46" s="711"/>
      <c r="Y46" s="733"/>
      <c r="Z46" s="749">
        <f>[5]Salaire!$K$77</f>
        <v>10029.360540137932</v>
      </c>
      <c r="AA46" s="711"/>
      <c r="AB46" s="733"/>
      <c r="AC46" s="749">
        <f>[5]Salaire!$L$77</f>
        <v>10029.360540137932</v>
      </c>
      <c r="AD46" s="711"/>
      <c r="AE46" s="733"/>
      <c r="AF46" s="749">
        <f>[5]Salaire!$M$77</f>
        <v>10029.360540137932</v>
      </c>
      <c r="AG46" s="711"/>
      <c r="AH46" s="733"/>
      <c r="AI46" s="749">
        <f>[5]Salaire!$N$77</f>
        <v>9573.4805155862086</v>
      </c>
      <c r="AJ46" s="711"/>
      <c r="AK46" s="733"/>
      <c r="AL46" s="749">
        <f>[5]Salaire!$O$77</f>
        <v>10029.360540137932</v>
      </c>
      <c r="AM46" s="711"/>
      <c r="AN46" s="733"/>
      <c r="AO46" s="749">
        <f>[5]Salaire!$P$77</f>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f>[5]Salaire!$E$145</f>
        <v>6032.6672478896544</v>
      </c>
      <c r="I47" s="702"/>
      <c r="J47" s="760"/>
      <c r="K47" s="762">
        <f>[5]Salaire!$F$145</f>
        <v>5745.3973789425281</v>
      </c>
      <c r="L47" s="702"/>
      <c r="M47" s="760"/>
      <c r="N47" s="762">
        <f>[5]Salaire!$G$145</f>
        <v>6607.2069857839078</v>
      </c>
      <c r="O47" s="702"/>
      <c r="P47" s="760"/>
      <c r="Q47" s="762">
        <f>[5]Salaire!$H$145</f>
        <v>6032.6672478896544</v>
      </c>
      <c r="R47" s="702"/>
      <c r="S47" s="760"/>
      <c r="T47" s="762">
        <f>[5]Salaire!$I$145</f>
        <v>6319.9371168367816</v>
      </c>
      <c r="U47" s="702"/>
      <c r="V47" s="760"/>
      <c r="W47" s="762">
        <f>[5]Salaire!$J$145</f>
        <v>6319.9371168367816</v>
      </c>
      <c r="X47" s="702"/>
      <c r="Y47" s="760"/>
      <c r="Z47" s="762">
        <f>[5]Salaire!$K$145</f>
        <v>6319.9371168367816</v>
      </c>
      <c r="AA47" s="702"/>
      <c r="AB47" s="760"/>
      <c r="AC47" s="762">
        <f>[5]Salaire!$L$145</f>
        <v>6319.9371168367816</v>
      </c>
      <c r="AD47" s="702"/>
      <c r="AE47" s="760"/>
      <c r="AF47" s="762">
        <f>[5]Salaire!$M$145</f>
        <v>6319.9371168367816</v>
      </c>
      <c r="AG47" s="702"/>
      <c r="AH47" s="760"/>
      <c r="AI47" s="762">
        <f>[5]Salaire!$N$145</f>
        <v>6032.6672478896544</v>
      </c>
      <c r="AJ47" s="702"/>
      <c r="AK47" s="760"/>
      <c r="AL47" s="762">
        <f>[5]Salaire!$O$145</f>
        <v>6319.9371168367816</v>
      </c>
      <c r="AM47" s="702"/>
      <c r="AN47" s="760"/>
      <c r="AO47" s="762">
        <f>[5]Salaire!$P$145</f>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119516.13207367051</v>
      </c>
      <c r="F52" s="711"/>
      <c r="G52" s="733"/>
      <c r="H52" s="749">
        <f>'[5]DAS-VAC'!$E$45</f>
        <v>9506.2607382349506</v>
      </c>
      <c r="I52" s="711"/>
      <c r="J52" s="733"/>
      <c r="K52" s="749">
        <f>'[5]DAS-VAC'!$F$45</f>
        <v>8099.9814668637355</v>
      </c>
      <c r="L52" s="711"/>
      <c r="M52" s="733"/>
      <c r="N52" s="749">
        <f>'[5]DAS-VAC'!$G$45</f>
        <v>10134.129965264767</v>
      </c>
      <c r="O52" s="711"/>
      <c r="P52" s="733"/>
      <c r="Q52" s="749">
        <f>'[5]DAS-VAC'!$H$45</f>
        <v>10192.504117667397</v>
      </c>
      <c r="R52" s="711"/>
      <c r="S52" s="733"/>
      <c r="T52" s="749">
        <f>'[5]DAS-VAC'!$I$45</f>
        <v>11769.123940219353</v>
      </c>
      <c r="U52" s="711"/>
      <c r="V52" s="733"/>
      <c r="W52" s="749">
        <f>'[5]DAS-VAC'!$J$45</f>
        <v>10006.868082655677</v>
      </c>
      <c r="X52" s="711"/>
      <c r="Y52" s="733"/>
      <c r="Z52" s="749">
        <f>'[5]DAS-VAC'!$K$45</f>
        <v>10015.713694554535</v>
      </c>
      <c r="AA52" s="711"/>
      <c r="AB52" s="733"/>
      <c r="AC52" s="749">
        <f>'[5]DAS-VAC'!$L$45</f>
        <v>10238.279248163955</v>
      </c>
      <c r="AD52" s="711"/>
      <c r="AE52" s="733"/>
      <c r="AF52" s="749">
        <f>'[5]DAS-VAC'!$M$45</f>
        <v>10669.309037707684</v>
      </c>
      <c r="AG52" s="711"/>
      <c r="AH52" s="733"/>
      <c r="AI52" s="749">
        <f>'[5]DAS-VAC'!$N$45</f>
        <v>11672.141843284087</v>
      </c>
      <c r="AJ52" s="711"/>
      <c r="AK52" s="733"/>
      <c r="AL52" s="749">
        <f>'[5]DAS-VAC'!$O$45</f>
        <v>9292.9167876820411</v>
      </c>
      <c r="AM52" s="711"/>
      <c r="AN52" s="733"/>
      <c r="AO52" s="749">
        <f>'[5]DAS-VAC'!$P$45</f>
        <v>7918.9031513723121</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119516.13207367051</v>
      </c>
      <c r="F53" s="702"/>
      <c r="G53" s="760"/>
      <c r="H53" s="762">
        <f>'[5]DAS-VAC'!$E$53</f>
        <v>9506.2607382349506</v>
      </c>
      <c r="I53" s="702"/>
      <c r="J53" s="760"/>
      <c r="K53" s="762">
        <f>'[5]DAS-VAC'!$F$53</f>
        <v>8099.9814668637355</v>
      </c>
      <c r="L53" s="702"/>
      <c r="M53" s="760"/>
      <c r="N53" s="762">
        <f>'[5]DAS-VAC'!$G$53</f>
        <v>10134.129965264767</v>
      </c>
      <c r="O53" s="702"/>
      <c r="P53" s="760"/>
      <c r="Q53" s="762">
        <f>'[5]DAS-VAC'!$H$53</f>
        <v>10192.504117667397</v>
      </c>
      <c r="R53" s="702"/>
      <c r="S53" s="760"/>
      <c r="T53" s="762">
        <f>'[5]DAS-VAC'!$I$53</f>
        <v>11769.123940219353</v>
      </c>
      <c r="U53" s="702"/>
      <c r="V53" s="760"/>
      <c r="W53" s="762">
        <f>'[5]DAS-VAC'!$J$53</f>
        <v>10006.868082655677</v>
      </c>
      <c r="X53" s="702"/>
      <c r="Y53" s="760"/>
      <c r="Z53" s="762">
        <f>'[5]DAS-VAC'!$K$53</f>
        <v>10015.713694554535</v>
      </c>
      <c r="AA53" s="702"/>
      <c r="AB53" s="760"/>
      <c r="AC53" s="762">
        <f>'[5]DAS-VAC'!$L$53</f>
        <v>10238.279248163955</v>
      </c>
      <c r="AD53" s="702"/>
      <c r="AE53" s="760"/>
      <c r="AF53" s="762">
        <f>'[5]DAS-VAC'!$M$53</f>
        <v>10669.309037707684</v>
      </c>
      <c r="AG53" s="702"/>
      <c r="AH53" s="760"/>
      <c r="AI53" s="762">
        <f>'[5]DAS-VAC'!$N$53</f>
        <v>11672.141843284087</v>
      </c>
      <c r="AJ53" s="702"/>
      <c r="AK53" s="760"/>
      <c r="AL53" s="762">
        <f>'[5]DAS-VAC'!$O$53</f>
        <v>9292.9167876820411</v>
      </c>
      <c r="AM53" s="702"/>
      <c r="AN53" s="760"/>
      <c r="AO53" s="762">
        <f>'[5]DAS-VAC'!$P$53</f>
        <v>7918.9031513723121</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85653.2279861305</v>
      </c>
      <c r="F54" s="711"/>
      <c r="G54" s="733"/>
      <c r="H54" s="749">
        <f>'[5]DAS-VAC'!$E$61</f>
        <v>6812.8201957350475</v>
      </c>
      <c r="I54" s="711"/>
      <c r="J54" s="733"/>
      <c r="K54" s="749">
        <f>'[5]DAS-VAC'!$F$61</f>
        <v>5804.9867179190105</v>
      </c>
      <c r="L54" s="711"/>
      <c r="M54" s="733"/>
      <c r="N54" s="749">
        <f>'[5]DAS-VAC'!$G$61</f>
        <v>7262.7931417730824</v>
      </c>
      <c r="O54" s="711"/>
      <c r="P54" s="733"/>
      <c r="Q54" s="749">
        <f>'[5]DAS-VAC'!$H$61</f>
        <v>7304.6279509949663</v>
      </c>
      <c r="R54" s="711"/>
      <c r="S54" s="733"/>
      <c r="T54" s="749">
        <f>'[5]DAS-VAC'!$I$61</f>
        <v>8434.5388238238702</v>
      </c>
      <c r="U54" s="711"/>
      <c r="V54" s="733"/>
      <c r="W54" s="749">
        <f>'[5]DAS-VAC'!$J$61</f>
        <v>7171.5887925699017</v>
      </c>
      <c r="X54" s="711"/>
      <c r="Y54" s="733"/>
      <c r="Z54" s="749">
        <f>'[5]DAS-VAC'!$K$61</f>
        <v>7177.9281477640843</v>
      </c>
      <c r="AA54" s="711"/>
      <c r="AB54" s="733"/>
      <c r="AC54" s="749">
        <f>'[5]DAS-VAC'!$L$61</f>
        <v>7337.4334611841678</v>
      </c>
      <c r="AD54" s="711"/>
      <c r="AE54" s="733"/>
      <c r="AF54" s="749">
        <f>'[5]DAS-VAC'!$M$61</f>
        <v>7646.3381436905065</v>
      </c>
      <c r="AG54" s="711"/>
      <c r="AH54" s="733"/>
      <c r="AI54" s="749">
        <f>'[5]DAS-VAC'!$N$61</f>
        <v>8365.0349876869295</v>
      </c>
      <c r="AJ54" s="711"/>
      <c r="AK54" s="733"/>
      <c r="AL54" s="749">
        <f>'[5]DAS-VAC'!$O$61</f>
        <v>6659.9236978387962</v>
      </c>
      <c r="AM54" s="711"/>
      <c r="AN54" s="733"/>
      <c r="AO54" s="749">
        <f>'[5]DAS-VAC'!$P$61</f>
        <v>5675.2139251501567</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19919.355345611748</v>
      </c>
      <c r="F55" s="711"/>
      <c r="G55" s="733"/>
      <c r="H55" s="749">
        <f>'[5]DAS-VAC'!$E$69</f>
        <v>1584.3767897058253</v>
      </c>
      <c r="I55" s="711"/>
      <c r="J55" s="733"/>
      <c r="K55" s="749">
        <f>'[5]DAS-VAC'!$F$69</f>
        <v>1349.9969111439559</v>
      </c>
      <c r="L55" s="711"/>
      <c r="M55" s="733"/>
      <c r="N55" s="749">
        <f>'[5]DAS-VAC'!$G$69</f>
        <v>1689.0216608774613</v>
      </c>
      <c r="O55" s="711"/>
      <c r="P55" s="733"/>
      <c r="Q55" s="749">
        <f>'[5]DAS-VAC'!$H$69</f>
        <v>1698.7506862778994</v>
      </c>
      <c r="R55" s="711"/>
      <c r="S55" s="733"/>
      <c r="T55" s="749">
        <f>'[5]DAS-VAC'!$I$69</f>
        <v>1961.5206567032258</v>
      </c>
      <c r="U55" s="711"/>
      <c r="V55" s="733"/>
      <c r="W55" s="749">
        <f>'[5]DAS-VAC'!$J$69</f>
        <v>1667.8113471092797</v>
      </c>
      <c r="X55" s="711"/>
      <c r="Y55" s="733"/>
      <c r="Z55" s="749">
        <f>'[5]DAS-VAC'!$K$69</f>
        <v>1669.2856157590895</v>
      </c>
      <c r="AA55" s="711"/>
      <c r="AB55" s="733"/>
      <c r="AC55" s="749">
        <f>'[5]DAS-VAC'!$L$69</f>
        <v>1706.3798746939926</v>
      </c>
      <c r="AD55" s="711"/>
      <c r="AE55" s="733"/>
      <c r="AF55" s="749">
        <f>'[5]DAS-VAC'!$M$69</f>
        <v>1778.2181729512808</v>
      </c>
      <c r="AG55" s="711"/>
      <c r="AH55" s="733"/>
      <c r="AI55" s="749">
        <f>'[5]DAS-VAC'!$N$69</f>
        <v>1945.3569738806814</v>
      </c>
      <c r="AJ55" s="711"/>
      <c r="AK55" s="733"/>
      <c r="AL55" s="749">
        <f>'[5]DAS-VAC'!$O$69</f>
        <v>1548.8194646136737</v>
      </c>
      <c r="AM55" s="711"/>
      <c r="AN55" s="733"/>
      <c r="AO55" s="749">
        <f>'[5]DAS-VAC'!$P$69</f>
        <v>1319.8171918953853</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0.46886611730383931</v>
      </c>
      <c r="E57" s="757">
        <f>+SUM(E45:E56)</f>
        <v>837971.56968228321</v>
      </c>
      <c r="F57" s="755" t="s">
        <v>111</v>
      </c>
      <c r="G57" s="756">
        <f>IFERROR(H57/H$30,0)</f>
        <v>0.48824978421574755</v>
      </c>
      <c r="H57" s="757">
        <f>+SUM(H45:H56)</f>
        <v>67384.497834582056</v>
      </c>
      <c r="I57" s="755" t="s">
        <v>111</v>
      </c>
      <c r="J57" s="756">
        <f>IFERROR(K57/K$30,0)</f>
        <v>0.63241258853574867</v>
      </c>
      <c r="K57" s="757">
        <f>+SUM(K45:K56)</f>
        <v>61810.907076445605</v>
      </c>
      <c r="L57" s="755" t="s">
        <v>111</v>
      </c>
      <c r="M57" s="756">
        <f>IFERROR(N57/N$30,0)</f>
        <v>0.49481709115194245</v>
      </c>
      <c r="N57" s="757">
        <f>+SUM(N45:N56)</f>
        <v>72232.491823883523</v>
      </c>
      <c r="O57" s="755" t="s">
        <v>111</v>
      </c>
      <c r="P57" s="756">
        <f>IFERROR(Q57/Q$30,0)</f>
        <v>0.430420643112983</v>
      </c>
      <c r="Q57" s="757">
        <f>+SUM(Q45:Q56)</f>
        <v>69363.166245278931</v>
      </c>
      <c r="R57" s="755" t="s">
        <v>111</v>
      </c>
      <c r="S57" s="756">
        <f>IFERROR(T57/T$30,0)</f>
        <v>0.36081624989824679</v>
      </c>
      <c r="T57" s="757">
        <f>+SUM(T45:T56)</f>
        <v>75427.905592653158</v>
      </c>
      <c r="U57" s="755" t="s">
        <v>111</v>
      </c>
      <c r="V57" s="756">
        <f>IFERROR(W57/W$30,0)</f>
        <v>0.47288660500196017</v>
      </c>
      <c r="W57" s="757">
        <f>+SUM(W45:W56)</f>
        <v>70346.734536677905</v>
      </c>
      <c r="X57" s="755" t="s">
        <v>111</v>
      </c>
      <c r="Y57" s="756">
        <f>IFERROR(Z57/Z$30,0)</f>
        <v>0.47507544170241911</v>
      </c>
      <c r="Z57" s="757">
        <f>+SUM(Z45:Z56)</f>
        <v>70372.239384319604</v>
      </c>
      <c r="AA57" s="755" t="s">
        <v>111</v>
      </c>
      <c r="AB57" s="756">
        <f>IFERROR(AC57/AC$30,0)</f>
        <v>0.45360431407737134</v>
      </c>
      <c r="AC57" s="757">
        <f>+SUM(AC45:AC56)</f>
        <v>71013.970063893415</v>
      </c>
      <c r="AD57" s="755" t="s">
        <v>111</v>
      </c>
      <c r="AE57" s="756">
        <f>IFERROR(AF57/AF$30,0)</f>
        <v>0.42237327663953012</v>
      </c>
      <c r="AF57" s="757">
        <f>+SUM(AF45:AF56)</f>
        <v>72256.772623744517</v>
      </c>
      <c r="AG57" s="755" t="s">
        <v>111</v>
      </c>
      <c r="AH57" s="756">
        <f>IFERROR(AI57/AI$30,0)</f>
        <v>0.34897017898456867</v>
      </c>
      <c r="AI57" s="757">
        <f>+SUM(AI45:AI56)</f>
        <v>73629.455020807058</v>
      </c>
      <c r="AJ57" s="755" t="s">
        <v>111</v>
      </c>
      <c r="AK57" s="756">
        <f>IFERROR(AL57/AL$30,0)</f>
        <v>0.54756594026786387</v>
      </c>
      <c r="AL57" s="757">
        <f>+SUM(AL45:AL56)</f>
        <v>68288.174969503903</v>
      </c>
      <c r="AM57" s="755" t="s">
        <v>111</v>
      </c>
      <c r="AN57" s="756">
        <f>IFERROR(AO57/AO$30,0)</f>
        <v>0.87698621268313126</v>
      </c>
      <c r="AO57" s="757">
        <f>+SUM(AO45:AO56)</f>
        <v>65845.2545104936</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f>[5]DEPA!$E$102</f>
        <v>0</v>
      </c>
      <c r="I58" s="711"/>
      <c r="J58" s="733"/>
      <c r="K58" s="749">
        <f>[5]DEPA!$F$102</f>
        <v>0</v>
      </c>
      <c r="L58" s="711"/>
      <c r="M58" s="733"/>
      <c r="N58" s="749">
        <f>[5]DEPA!$G$102</f>
        <v>0</v>
      </c>
      <c r="O58" s="711"/>
      <c r="P58" s="733"/>
      <c r="Q58" s="749">
        <f>[5]DEPA!$H$102</f>
        <v>0</v>
      </c>
      <c r="R58" s="711"/>
      <c r="S58" s="733"/>
      <c r="T58" s="749">
        <f>[5]DEPA!$I$102</f>
        <v>0</v>
      </c>
      <c r="U58" s="711"/>
      <c r="V58" s="733"/>
      <c r="W58" s="749">
        <f>[5]DEPA!$J$102</f>
        <v>0</v>
      </c>
      <c r="X58" s="711"/>
      <c r="Y58" s="733"/>
      <c r="Z58" s="749">
        <f>[5]DEPA!$K$102</f>
        <v>0</v>
      </c>
      <c r="AA58" s="711"/>
      <c r="AB58" s="733"/>
      <c r="AC58" s="749">
        <f>[5]DEPA!$L$102</f>
        <v>0</v>
      </c>
      <c r="AD58" s="711"/>
      <c r="AE58" s="733"/>
      <c r="AF58" s="749">
        <f>[5]DEPA!$M$102</f>
        <v>0</v>
      </c>
      <c r="AG58" s="711"/>
      <c r="AH58" s="733"/>
      <c r="AI58" s="749">
        <f>[5]DEPA!$N$102</f>
        <v>0</v>
      </c>
      <c r="AJ58" s="711"/>
      <c r="AK58" s="733"/>
      <c r="AL58" s="749">
        <f>[5]DEPA!$O$102</f>
        <v>0</v>
      </c>
      <c r="AM58" s="711"/>
      <c r="AN58" s="733"/>
      <c r="AO58" s="749">
        <f>[5]DEPA!$P$102</f>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f>[5]DEPA!$E$92</f>
        <v>0</v>
      </c>
      <c r="I59" s="711"/>
      <c r="J59" s="733"/>
      <c r="K59" s="749">
        <f>[5]DEPA!$F$92</f>
        <v>0</v>
      </c>
      <c r="L59" s="711"/>
      <c r="M59" s="733"/>
      <c r="N59" s="749">
        <f>[5]DEPA!$G$92</f>
        <v>0</v>
      </c>
      <c r="O59" s="711"/>
      <c r="P59" s="733"/>
      <c r="Q59" s="749">
        <f>[5]DEPA!$H$92</f>
        <v>0</v>
      </c>
      <c r="R59" s="711"/>
      <c r="S59" s="733"/>
      <c r="T59" s="749">
        <f>[5]DEPA!$I$92</f>
        <v>0</v>
      </c>
      <c r="U59" s="711"/>
      <c r="V59" s="733"/>
      <c r="W59" s="749">
        <f>[5]DEPA!$J$92</f>
        <v>0</v>
      </c>
      <c r="X59" s="711"/>
      <c r="Y59" s="733"/>
      <c r="Z59" s="749">
        <f>[5]DEPA!$K$92</f>
        <v>0</v>
      </c>
      <c r="AA59" s="711"/>
      <c r="AB59" s="733"/>
      <c r="AC59" s="749">
        <f>[5]DEPA!$L$92</f>
        <v>0</v>
      </c>
      <c r="AD59" s="711"/>
      <c r="AE59" s="733"/>
      <c r="AF59" s="749">
        <f>[5]DEPA!$M$92</f>
        <v>0</v>
      </c>
      <c r="AG59" s="711"/>
      <c r="AH59" s="733"/>
      <c r="AI59" s="749">
        <f>[5]DEPA!$N$92</f>
        <v>0</v>
      </c>
      <c r="AJ59" s="711"/>
      <c r="AK59" s="733"/>
      <c r="AL59" s="749">
        <f>[5]DEPA!$O$92</f>
        <v>0</v>
      </c>
      <c r="AM59" s="711"/>
      <c r="AN59" s="733"/>
      <c r="AO59" s="749">
        <f>[5]DEPA!$P$92</f>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f>[5]DEPA!$E$115</f>
        <v>9088.8775000000005</v>
      </c>
      <c r="I60" s="765"/>
      <c r="J60" s="766"/>
      <c r="K60" s="768">
        <f>[5]DEPA!$F$115</f>
        <v>9088.8775000000005</v>
      </c>
      <c r="L60" s="765"/>
      <c r="M60" s="766"/>
      <c r="N60" s="768">
        <f>[5]DEPA!$G$115</f>
        <v>9088.8775000000005</v>
      </c>
      <c r="O60" s="765"/>
      <c r="P60" s="766"/>
      <c r="Q60" s="768">
        <f>[5]DEPA!$H$115</f>
        <v>9088.8775000000005</v>
      </c>
      <c r="R60" s="765"/>
      <c r="S60" s="766"/>
      <c r="T60" s="768">
        <f>[5]DEPA!$I$115</f>
        <v>9088.8775000000005</v>
      </c>
      <c r="U60" s="765"/>
      <c r="V60" s="766"/>
      <c r="W60" s="768">
        <f>[5]DEPA!$J$115</f>
        <v>9088.8775000000005</v>
      </c>
      <c r="X60" s="765"/>
      <c r="Y60" s="766"/>
      <c r="Z60" s="768">
        <f>[5]DEPA!$K$115</f>
        <v>9088.8775000000005</v>
      </c>
      <c r="AA60" s="765"/>
      <c r="AB60" s="766"/>
      <c r="AC60" s="768">
        <f>[5]DEPA!$L$115</f>
        <v>9088.8775000000005</v>
      </c>
      <c r="AD60" s="765"/>
      <c r="AE60" s="766"/>
      <c r="AF60" s="768">
        <f>[5]DEPA!$M$115</f>
        <v>9088.8775000000005</v>
      </c>
      <c r="AG60" s="765"/>
      <c r="AH60" s="766"/>
      <c r="AI60" s="768">
        <f>[5]DEPA!$N$115</f>
        <v>9088.8775000000005</v>
      </c>
      <c r="AJ60" s="765"/>
      <c r="AK60" s="766"/>
      <c r="AL60" s="768">
        <f>[5]DEPA!$O$115</f>
        <v>9088.8775000000005</v>
      </c>
      <c r="AM60" s="765"/>
      <c r="AN60" s="766"/>
      <c r="AO60" s="768">
        <f>[5]DEPA!$P$115</f>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f>[5]DEPA!$E$133</f>
        <v>6677.3962666666675</v>
      </c>
      <c r="I61" s="711"/>
      <c r="J61" s="733"/>
      <c r="K61" s="749">
        <f>[5]DEPA!$F$133</f>
        <v>6677.3962666666675</v>
      </c>
      <c r="L61" s="711"/>
      <c r="M61" s="733"/>
      <c r="N61" s="749">
        <f>[5]DEPA!$G$133</f>
        <v>6677.3962666666675</v>
      </c>
      <c r="O61" s="711"/>
      <c r="P61" s="733"/>
      <c r="Q61" s="749">
        <f>[5]DEPA!$H$133</f>
        <v>6677.3962666666675</v>
      </c>
      <c r="R61" s="711"/>
      <c r="S61" s="733"/>
      <c r="T61" s="749">
        <f>[5]DEPA!$I$133</f>
        <v>6677.3962666666675</v>
      </c>
      <c r="U61" s="711"/>
      <c r="V61" s="733"/>
      <c r="W61" s="749">
        <f>[5]DEPA!$J$133</f>
        <v>6677.3962666666675</v>
      </c>
      <c r="X61" s="711"/>
      <c r="Y61" s="733"/>
      <c r="Z61" s="749">
        <f>[5]DEPA!$K$133</f>
        <v>6677.3962666666675</v>
      </c>
      <c r="AA61" s="711"/>
      <c r="AB61" s="733"/>
      <c r="AC61" s="749">
        <f>[5]DEPA!$L$133</f>
        <v>6677.3962666666675</v>
      </c>
      <c r="AD61" s="711"/>
      <c r="AE61" s="733"/>
      <c r="AF61" s="749">
        <f>[5]DEPA!$M$133</f>
        <v>6677.3962666666675</v>
      </c>
      <c r="AG61" s="711"/>
      <c r="AH61" s="733"/>
      <c r="AI61" s="749">
        <f>[5]DEPA!$N$133</f>
        <v>6677.3962666666675</v>
      </c>
      <c r="AJ61" s="711"/>
      <c r="AK61" s="733"/>
      <c r="AL61" s="749">
        <f>[5]DEPA!$O$133</f>
        <v>6677.3962666666675</v>
      </c>
      <c r="AM61" s="711"/>
      <c r="AN61" s="733"/>
      <c r="AO61" s="749">
        <f>[5]DEPA!$P$133</f>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f>[5]DEPA!$E$150</f>
        <v>1596.4967999999999</v>
      </c>
      <c r="I62" s="711"/>
      <c r="J62" s="733"/>
      <c r="K62" s="749">
        <f>[5]DEPA!$F$150</f>
        <v>1596.4967999999999</v>
      </c>
      <c r="L62" s="711"/>
      <c r="M62" s="733"/>
      <c r="N62" s="749">
        <f>[5]DEPA!$G$150</f>
        <v>1596.4967999999999</v>
      </c>
      <c r="O62" s="711"/>
      <c r="P62" s="733"/>
      <c r="Q62" s="749">
        <f>[5]DEPA!$H$150</f>
        <v>1596.4967999999999</v>
      </c>
      <c r="R62" s="711"/>
      <c r="S62" s="733"/>
      <c r="T62" s="749">
        <f>[5]DEPA!$I$150</f>
        <v>1596.4967999999999</v>
      </c>
      <c r="U62" s="711"/>
      <c r="V62" s="733"/>
      <c r="W62" s="749">
        <f>[5]DEPA!$J$150</f>
        <v>1596.4967999999999</v>
      </c>
      <c r="X62" s="711"/>
      <c r="Y62" s="733"/>
      <c r="Z62" s="749">
        <f>[5]DEPA!$K$150</f>
        <v>1596.4967999999999</v>
      </c>
      <c r="AA62" s="711"/>
      <c r="AB62" s="733"/>
      <c r="AC62" s="749">
        <f>[5]DEPA!$L$150</f>
        <v>1596.4967999999999</v>
      </c>
      <c r="AD62" s="711"/>
      <c r="AE62" s="733"/>
      <c r="AF62" s="749">
        <f>[5]DEPA!$M$150</f>
        <v>1596.4967999999999</v>
      </c>
      <c r="AG62" s="711"/>
      <c r="AH62" s="733"/>
      <c r="AI62" s="749">
        <f>[5]DEPA!$N$150</f>
        <v>1596.4967999999999</v>
      </c>
      <c r="AJ62" s="711"/>
      <c r="AK62" s="733"/>
      <c r="AL62" s="749">
        <f>[5]DEPA!$O$150</f>
        <v>1596.4967999999999</v>
      </c>
      <c r="AM62" s="711"/>
      <c r="AN62" s="733"/>
      <c r="AO62" s="749">
        <f>[5]DEPA!$P$150</f>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f>[5]DEPA!$E$181</f>
        <v>9409.894666666667</v>
      </c>
      <c r="I63" s="765"/>
      <c r="J63" s="766"/>
      <c r="K63" s="768">
        <f>[5]DEPA!$F$181</f>
        <v>9409.894666666667</v>
      </c>
      <c r="L63" s="765"/>
      <c r="M63" s="766"/>
      <c r="N63" s="768">
        <f>[5]DEPA!$G$181</f>
        <v>9409.894666666667</v>
      </c>
      <c r="O63" s="765"/>
      <c r="P63" s="766"/>
      <c r="Q63" s="768">
        <f>[5]DEPA!$H$181</f>
        <v>9857.894666666667</v>
      </c>
      <c r="R63" s="765"/>
      <c r="S63" s="766"/>
      <c r="T63" s="768">
        <f>[5]DEPA!$I$181</f>
        <v>9857.894666666667</v>
      </c>
      <c r="U63" s="765"/>
      <c r="V63" s="766"/>
      <c r="W63" s="768">
        <f>[5]DEPA!$J$181</f>
        <v>9409.894666666667</v>
      </c>
      <c r="X63" s="765"/>
      <c r="Y63" s="766"/>
      <c r="Z63" s="768">
        <f>[5]DEPA!$K$181</f>
        <v>9409.894666666667</v>
      </c>
      <c r="AA63" s="765"/>
      <c r="AB63" s="766"/>
      <c r="AC63" s="768">
        <f>[5]DEPA!$L$181</f>
        <v>9409.894666666667</v>
      </c>
      <c r="AD63" s="765"/>
      <c r="AE63" s="766"/>
      <c r="AF63" s="768">
        <f>[5]DEPA!$M$181</f>
        <v>9409.894666666667</v>
      </c>
      <c r="AG63" s="765"/>
      <c r="AH63" s="766"/>
      <c r="AI63" s="768">
        <f>[5]DEPA!$N$181</f>
        <v>9857.894666666667</v>
      </c>
      <c r="AJ63" s="765"/>
      <c r="AK63" s="766"/>
      <c r="AL63" s="768">
        <f>[5]DEPA!$O$181</f>
        <v>9857.894666666667</v>
      </c>
      <c r="AM63" s="765"/>
      <c r="AN63" s="766"/>
      <c r="AO63" s="768">
        <f>[5]DEPA!$P$181</f>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f>[5]DEPA!$E$72</f>
        <v>244.32954319370256</v>
      </c>
      <c r="I64" s="711"/>
      <c r="J64" s="733"/>
      <c r="K64" s="749">
        <f>[5]DEPA!$F$72</f>
        <v>168.21322882608277</v>
      </c>
      <c r="L64" s="711"/>
      <c r="M64" s="733"/>
      <c r="N64" s="749">
        <f>[5]DEPA!$G$72</f>
        <v>255.71314561568806</v>
      </c>
      <c r="O64" s="711"/>
      <c r="P64" s="733"/>
      <c r="Q64" s="749">
        <f>[5]DEPA!$H$72</f>
        <v>283.23627122334295</v>
      </c>
      <c r="R64" s="711"/>
      <c r="S64" s="733"/>
      <c r="T64" s="749">
        <f>[5]DEPA!$I$72</f>
        <v>370.1122677147423</v>
      </c>
      <c r="U64" s="711"/>
      <c r="V64" s="733"/>
      <c r="W64" s="749">
        <f>[5]DEPA!$J$72</f>
        <v>260.75944437979479</v>
      </c>
      <c r="X64" s="711"/>
      <c r="Y64" s="733"/>
      <c r="Z64" s="749">
        <f>[5]DEPA!$K$72</f>
        <v>259.61362848623401</v>
      </c>
      <c r="AA64" s="711"/>
      <c r="AB64" s="733"/>
      <c r="AC64" s="749">
        <f>[5]DEPA!$L$72</f>
        <v>274.89771377876548</v>
      </c>
      <c r="AD64" s="711"/>
      <c r="AE64" s="733"/>
      <c r="AF64" s="749">
        <f>[5]DEPA!$M$72</f>
        <v>301.2318591954994</v>
      </c>
      <c r="AG64" s="711"/>
      <c r="AH64" s="733"/>
      <c r="AI64" s="749">
        <f>[5]DEPA!$N$72</f>
        <v>373.63604399014486</v>
      </c>
      <c r="AJ64" s="711"/>
      <c r="AK64" s="733"/>
      <c r="AL64" s="749">
        <f>[5]DEPA!$O$72</f>
        <v>217.13995988383078</v>
      </c>
      <c r="AM64" s="711"/>
      <c r="AN64" s="733"/>
      <c r="AO64" s="749">
        <f>[5]DEPA!$P$72</f>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f>[5]DEPA!$E$81</f>
        <v>35</v>
      </c>
      <c r="I65" s="711"/>
      <c r="J65" s="733"/>
      <c r="K65" s="749">
        <f>[5]DEPA!$F$81</f>
        <v>35</v>
      </c>
      <c r="L65" s="711"/>
      <c r="M65" s="733"/>
      <c r="N65" s="749">
        <f>[5]DEPA!$G$81</f>
        <v>35</v>
      </c>
      <c r="O65" s="711"/>
      <c r="P65" s="733"/>
      <c r="Q65" s="749">
        <f>[5]DEPA!$H$81</f>
        <v>35</v>
      </c>
      <c r="R65" s="711"/>
      <c r="S65" s="733"/>
      <c r="T65" s="749">
        <f>[5]DEPA!$I$81</f>
        <v>35</v>
      </c>
      <c r="U65" s="711"/>
      <c r="V65" s="733"/>
      <c r="W65" s="749">
        <f>[5]DEPA!$J$81</f>
        <v>35</v>
      </c>
      <c r="X65" s="711"/>
      <c r="Y65" s="733"/>
      <c r="Z65" s="749">
        <f>[5]DEPA!$K$81</f>
        <v>35</v>
      </c>
      <c r="AA65" s="711"/>
      <c r="AB65" s="733"/>
      <c r="AC65" s="749">
        <f>[5]DEPA!$L$81</f>
        <v>35</v>
      </c>
      <c r="AD65" s="711"/>
      <c r="AE65" s="733"/>
      <c r="AF65" s="749">
        <f>[5]DEPA!$M$81</f>
        <v>35</v>
      </c>
      <c r="AG65" s="711"/>
      <c r="AH65" s="733"/>
      <c r="AI65" s="749">
        <f>[5]DEPA!$N$81</f>
        <v>35</v>
      </c>
      <c r="AJ65" s="711"/>
      <c r="AK65" s="733"/>
      <c r="AL65" s="749">
        <f>[5]DEPA!$O$81</f>
        <v>35</v>
      </c>
      <c r="AM65" s="711"/>
      <c r="AN65" s="733"/>
      <c r="AO65" s="749">
        <f>[5]DEPA!$P$81</f>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f>[5]DEPA!$E$63</f>
        <v>697.6</v>
      </c>
      <c r="I66" s="711"/>
      <c r="J66" s="733"/>
      <c r="K66" s="749">
        <f>[5]DEPA!$F$63</f>
        <v>697.6</v>
      </c>
      <c r="L66" s="711"/>
      <c r="M66" s="733"/>
      <c r="N66" s="749">
        <f>[5]DEPA!$G$63</f>
        <v>697.6</v>
      </c>
      <c r="O66" s="711"/>
      <c r="P66" s="733"/>
      <c r="Q66" s="749">
        <f>[5]DEPA!$H$63</f>
        <v>697.6</v>
      </c>
      <c r="R66" s="711"/>
      <c r="S66" s="733"/>
      <c r="T66" s="749">
        <f>[5]DEPA!$I$63</f>
        <v>697.6</v>
      </c>
      <c r="U66" s="711"/>
      <c r="V66" s="733"/>
      <c r="W66" s="749">
        <f>[5]DEPA!$J$63</f>
        <v>697.6</v>
      </c>
      <c r="X66" s="711"/>
      <c r="Y66" s="733"/>
      <c r="Z66" s="749">
        <f>[5]DEPA!$K$63</f>
        <v>697.6</v>
      </c>
      <c r="AA66" s="711"/>
      <c r="AB66" s="733"/>
      <c r="AC66" s="749">
        <f>[5]DEPA!$L$63</f>
        <v>697.6</v>
      </c>
      <c r="AD66" s="711"/>
      <c r="AE66" s="733"/>
      <c r="AF66" s="749">
        <f>[5]DEPA!$M$63</f>
        <v>697.6</v>
      </c>
      <c r="AG66" s="711"/>
      <c r="AH66" s="733"/>
      <c r="AI66" s="749">
        <f>[5]DEPA!$N$63</f>
        <v>697.6</v>
      </c>
      <c r="AJ66" s="711"/>
      <c r="AK66" s="733"/>
      <c r="AL66" s="749">
        <f>[5]DEPA!$O$63</f>
        <v>697.6</v>
      </c>
      <c r="AM66" s="711"/>
      <c r="AN66" s="733"/>
      <c r="AO66" s="749">
        <f>[5]DEPA!$P$63</f>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f>[5]DEPA!$E$160</f>
        <v>589.91200000000003</v>
      </c>
      <c r="I67" s="711"/>
      <c r="J67" s="733"/>
      <c r="K67" s="749">
        <f>[5]DEPA!$F$160</f>
        <v>589.91200000000003</v>
      </c>
      <c r="L67" s="711"/>
      <c r="M67" s="733"/>
      <c r="N67" s="749">
        <f>[5]DEPA!$G$160</f>
        <v>589.91200000000003</v>
      </c>
      <c r="O67" s="711"/>
      <c r="P67" s="733"/>
      <c r="Q67" s="749">
        <f>[5]DEPA!$H$160</f>
        <v>589.91200000000003</v>
      </c>
      <c r="R67" s="711"/>
      <c r="S67" s="733"/>
      <c r="T67" s="749">
        <f>[5]DEPA!$I$160</f>
        <v>589.91200000000003</v>
      </c>
      <c r="U67" s="711"/>
      <c r="V67" s="733"/>
      <c r="W67" s="749">
        <f>[5]DEPA!$J$160</f>
        <v>589.91200000000003</v>
      </c>
      <c r="X67" s="711"/>
      <c r="Y67" s="733"/>
      <c r="Z67" s="749">
        <f>[5]DEPA!$K$160</f>
        <v>589.91200000000003</v>
      </c>
      <c r="AA67" s="711"/>
      <c r="AB67" s="733"/>
      <c r="AC67" s="749">
        <f>[5]DEPA!$L$160</f>
        <v>589.91200000000003</v>
      </c>
      <c r="AD67" s="711"/>
      <c r="AE67" s="733"/>
      <c r="AF67" s="749">
        <f>[5]DEPA!$M$160</f>
        <v>589.91200000000003</v>
      </c>
      <c r="AG67" s="711"/>
      <c r="AH67" s="733"/>
      <c r="AI67" s="749">
        <f>[5]DEPA!$N$160</f>
        <v>589.91200000000003</v>
      </c>
      <c r="AJ67" s="711"/>
      <c r="AK67" s="733"/>
      <c r="AL67" s="749">
        <f>[5]DEPA!$O$160</f>
        <v>589.91200000000003</v>
      </c>
      <c r="AM67" s="711"/>
      <c r="AN67" s="733"/>
      <c r="AO67" s="749">
        <f>[5]DEPA!$P$160</f>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f>[5]DEPA!$E$170</f>
        <v>276.8</v>
      </c>
      <c r="I68" s="711"/>
      <c r="J68" s="733"/>
      <c r="K68" s="749">
        <f>[5]DEPA!$F$170</f>
        <v>276.8</v>
      </c>
      <c r="L68" s="711"/>
      <c r="M68" s="733"/>
      <c r="N68" s="749">
        <f>[5]DEPA!$G$170</f>
        <v>276.8</v>
      </c>
      <c r="O68" s="711"/>
      <c r="P68" s="733"/>
      <c r="Q68" s="749">
        <f>[5]DEPA!$H$170</f>
        <v>276.8</v>
      </c>
      <c r="R68" s="711"/>
      <c r="S68" s="733"/>
      <c r="T68" s="749">
        <f>[5]DEPA!$I$170</f>
        <v>276.8</v>
      </c>
      <c r="U68" s="711"/>
      <c r="V68" s="733"/>
      <c r="W68" s="749">
        <f>[5]DEPA!$J$170</f>
        <v>276.8</v>
      </c>
      <c r="X68" s="711"/>
      <c r="Y68" s="733"/>
      <c r="Z68" s="749">
        <f>[5]DEPA!$K$170</f>
        <v>276.8</v>
      </c>
      <c r="AA68" s="711"/>
      <c r="AB68" s="733"/>
      <c r="AC68" s="749">
        <f>[5]DEPA!$L$170</f>
        <v>276.8</v>
      </c>
      <c r="AD68" s="711"/>
      <c r="AE68" s="733"/>
      <c r="AF68" s="749">
        <f>[5]DEPA!$M$170</f>
        <v>276.8</v>
      </c>
      <c r="AG68" s="711"/>
      <c r="AH68" s="733"/>
      <c r="AI68" s="749">
        <f>[5]DEPA!$N$170</f>
        <v>276.8</v>
      </c>
      <c r="AJ68" s="711"/>
      <c r="AK68" s="733"/>
      <c r="AL68" s="749">
        <f>[5]DEPA!$O$170</f>
        <v>276.8</v>
      </c>
      <c r="AM68" s="711"/>
      <c r="AN68" s="733"/>
      <c r="AO68" s="749">
        <f>[5]DEPA!$P$170</f>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f>[5]DEPA!$E$213</f>
        <v>1349.1200000000001</v>
      </c>
      <c r="I69" s="711"/>
      <c r="J69" s="733"/>
      <c r="K69" s="749">
        <f>[5]DEPA!$F$213</f>
        <v>1349.1200000000001</v>
      </c>
      <c r="L69" s="711"/>
      <c r="M69" s="733"/>
      <c r="N69" s="749">
        <f>[5]DEPA!$G$213</f>
        <v>1349.1200000000001</v>
      </c>
      <c r="O69" s="711"/>
      <c r="P69" s="733"/>
      <c r="Q69" s="749">
        <f>[5]DEPA!$H$213</f>
        <v>1349.1200000000001</v>
      </c>
      <c r="R69" s="711"/>
      <c r="S69" s="733"/>
      <c r="T69" s="749">
        <f>[5]DEPA!$I$213</f>
        <v>1349.1200000000001</v>
      </c>
      <c r="U69" s="711"/>
      <c r="V69" s="733"/>
      <c r="W69" s="749">
        <f>[5]DEPA!$J$213</f>
        <v>1349.1200000000001</v>
      </c>
      <c r="X69" s="711"/>
      <c r="Y69" s="733"/>
      <c r="Z69" s="749">
        <f>[5]DEPA!$K$213</f>
        <v>1349.1200000000001</v>
      </c>
      <c r="AA69" s="711"/>
      <c r="AB69" s="733"/>
      <c r="AC69" s="749">
        <f>[5]DEPA!$L$213</f>
        <v>1349.1200000000001</v>
      </c>
      <c r="AD69" s="711"/>
      <c r="AE69" s="733"/>
      <c r="AF69" s="749">
        <f>[5]DEPA!$M$213</f>
        <v>1349.1200000000001</v>
      </c>
      <c r="AG69" s="711"/>
      <c r="AH69" s="733"/>
      <c r="AI69" s="749">
        <f>[5]DEPA!$N$213</f>
        <v>1349.1200000000001</v>
      </c>
      <c r="AJ69" s="711"/>
      <c r="AK69" s="733"/>
      <c r="AL69" s="749">
        <f>[5]DEPA!$O$213</f>
        <v>1349.1200000000001</v>
      </c>
      <c r="AM69" s="711"/>
      <c r="AN69" s="733"/>
      <c r="AO69" s="749">
        <f>[5]DEPA!$P$213</f>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f>[5]DEPA!$E$229</f>
        <v>1438.3466666666668</v>
      </c>
      <c r="I70" s="711"/>
      <c r="J70" s="733"/>
      <c r="K70" s="749">
        <f>[5]DEPA!$F$229</f>
        <v>1438.3466666666668</v>
      </c>
      <c r="L70" s="711"/>
      <c r="M70" s="733"/>
      <c r="N70" s="749">
        <f>[5]DEPA!$G$229</f>
        <v>1438.3466666666668</v>
      </c>
      <c r="O70" s="711"/>
      <c r="P70" s="733"/>
      <c r="Q70" s="749">
        <f>[5]DEPA!$H$229</f>
        <v>1438.3466666666668</v>
      </c>
      <c r="R70" s="711"/>
      <c r="S70" s="733"/>
      <c r="T70" s="749">
        <f>[5]DEPA!$I$229</f>
        <v>1438.3466666666668</v>
      </c>
      <c r="U70" s="711"/>
      <c r="V70" s="733"/>
      <c r="W70" s="749">
        <f>[5]DEPA!$J$229</f>
        <v>1438.3466666666668</v>
      </c>
      <c r="X70" s="711"/>
      <c r="Y70" s="733"/>
      <c r="Z70" s="749">
        <f>[5]DEPA!$K$229</f>
        <v>1438.3466666666668</v>
      </c>
      <c r="AA70" s="711"/>
      <c r="AB70" s="733"/>
      <c r="AC70" s="749">
        <f>[5]DEPA!$L$229</f>
        <v>1438.3466666666668</v>
      </c>
      <c r="AD70" s="711"/>
      <c r="AE70" s="733"/>
      <c r="AF70" s="749">
        <f>[5]DEPA!$M$229</f>
        <v>1438.3466666666668</v>
      </c>
      <c r="AG70" s="711"/>
      <c r="AH70" s="733"/>
      <c r="AI70" s="749">
        <f>[5]DEPA!$N$229</f>
        <v>1438.3466666666668</v>
      </c>
      <c r="AJ70" s="711"/>
      <c r="AK70" s="733"/>
      <c r="AL70" s="749">
        <f>[5]DEPA!$O$229</f>
        <v>1438.3466666666668</v>
      </c>
      <c r="AM70" s="711"/>
      <c r="AN70" s="733"/>
      <c r="AO70" s="749">
        <f>[5]DEPA!$P$229</f>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f>[5]DEPA!$E$240</f>
        <v>2087.673832859015</v>
      </c>
      <c r="I71" s="711"/>
      <c r="J71" s="733"/>
      <c r="K71" s="749">
        <f>[5]DEPA!$F$240</f>
        <v>1800.7473835324845</v>
      </c>
      <c r="L71" s="711"/>
      <c r="M71" s="733"/>
      <c r="N71" s="749">
        <f>[5]DEPA!$G$240</f>
        <v>2083.3141574587762</v>
      </c>
      <c r="O71" s="711"/>
      <c r="P71" s="733"/>
      <c r="Q71" s="749">
        <f>[5]DEPA!$H$240</f>
        <v>4004.986042493329</v>
      </c>
      <c r="R71" s="711"/>
      <c r="S71" s="733"/>
      <c r="T71" s="749">
        <f>[5]DEPA!$I$240</f>
        <v>3670.657400387608</v>
      </c>
      <c r="U71" s="711"/>
      <c r="V71" s="733"/>
      <c r="W71" s="749">
        <f>[5]DEPA!$J$240</f>
        <v>2426.1879529419884</v>
      </c>
      <c r="X71" s="711"/>
      <c r="Y71" s="733"/>
      <c r="Z71" s="749">
        <f>[5]DEPA!$K$240</f>
        <v>2287.3779570920533</v>
      </c>
      <c r="AA71" s="711"/>
      <c r="AB71" s="733"/>
      <c r="AC71" s="749">
        <f>[5]DEPA!$L$240</f>
        <v>2521.1800718091527</v>
      </c>
      <c r="AD71" s="711"/>
      <c r="AE71" s="733"/>
      <c r="AF71" s="749">
        <f>[5]DEPA!$M$240</f>
        <v>1909.2920190954228</v>
      </c>
      <c r="AG71" s="711"/>
      <c r="AH71" s="733"/>
      <c r="AI71" s="749">
        <f>[5]DEPA!$N$240</f>
        <v>3579.0423375094747</v>
      </c>
      <c r="AJ71" s="711"/>
      <c r="AK71" s="733"/>
      <c r="AL71" s="749">
        <f>[5]DEPA!$O$240</f>
        <v>5208.1297278014263</v>
      </c>
      <c r="AM71" s="711"/>
      <c r="AN71" s="733"/>
      <c r="AO71" s="749">
        <f>[5]DEPA!$P$240</f>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0.23096285157300209</v>
      </c>
      <c r="E75" s="757">
        <f>+SUM(E58:E74)</f>
        <v>412783.7268</v>
      </c>
      <c r="F75" s="755" t="s">
        <v>111</v>
      </c>
      <c r="G75" s="756">
        <f>IFERROR(H75/H$30,0)</f>
        <v>0.24266993790987043</v>
      </c>
      <c r="H75" s="757">
        <f>+SUM(H58:H74)</f>
        <v>33491.447276052721</v>
      </c>
      <c r="I75" s="755" t="s">
        <v>111</v>
      </c>
      <c r="J75" s="756">
        <f>IFERROR(K75/K$30,0)</f>
        <v>0.33895021190691804</v>
      </c>
      <c r="K75" s="757">
        <f>+SUM(K58:K74)</f>
        <v>33128.404512358567</v>
      </c>
      <c r="L75" s="755" t="s">
        <v>111</v>
      </c>
      <c r="M75" s="756">
        <f>IFERROR(N75/N$30,0)</f>
        <v>0.22947590011371763</v>
      </c>
      <c r="N75" s="757">
        <f>+SUM(N58:N74)</f>
        <v>33498.47120307447</v>
      </c>
      <c r="O75" s="755" t="s">
        <v>111</v>
      </c>
      <c r="P75" s="756">
        <f>IFERROR(Q75/Q$30,0)</f>
        <v>0.22274409564930289</v>
      </c>
      <c r="Q75" s="757">
        <f>+SUM(Q58:Q74)</f>
        <v>35895.666213716679</v>
      </c>
      <c r="R75" s="755" t="s">
        <v>111</v>
      </c>
      <c r="S75" s="756">
        <f>IFERROR(T75/T$30,0)</f>
        <v>0.17052647338079238</v>
      </c>
      <c r="T75" s="757">
        <f>+SUM(T58:T74)</f>
        <v>35648.21356810235</v>
      </c>
      <c r="U75" s="755" t="s">
        <v>111</v>
      </c>
      <c r="V75" s="756">
        <f>IFERROR(W75/W$30,0)</f>
        <v>0.22752307093676563</v>
      </c>
      <c r="W75" s="757">
        <f>+SUM(W58:W74)</f>
        <v>33846.391297321781</v>
      </c>
      <c r="X75" s="755" t="s">
        <v>111</v>
      </c>
      <c r="Y75" s="756">
        <f>IFERROR(Z75/Z$30,0)</f>
        <v>0.2275485314468087</v>
      </c>
      <c r="Z75" s="757">
        <f>+SUM(Z58:Z74)</f>
        <v>33706.435485578288</v>
      </c>
      <c r="AA75" s="755" t="s">
        <v>111</v>
      </c>
      <c r="AB75" s="756">
        <f>IFERROR(AC75/AC$30,0)</f>
        <v>0.21689212854136217</v>
      </c>
      <c r="AC75" s="757">
        <f>+SUM(AC58:AC74)</f>
        <v>33955.521685587919</v>
      </c>
      <c r="AD75" s="755" t="s">
        <v>111</v>
      </c>
      <c r="AE75" s="756">
        <f>IFERROR(AF75/AF$30,0)</f>
        <v>0.19506244356173494</v>
      </c>
      <c r="AF75" s="757">
        <f>+SUM(AF58:AF74)</f>
        <v>33369.967778290928</v>
      </c>
      <c r="AG75" s="755" t="s">
        <v>111</v>
      </c>
      <c r="AH75" s="756">
        <f>IFERROR(AI75/AI$30,0)</f>
        <v>0.16853883046915494</v>
      </c>
      <c r="AI75" s="757">
        <f>+SUM(AI58:AI74)</f>
        <v>35560.122281499622</v>
      </c>
      <c r="AJ75" s="755" t="s">
        <v>111</v>
      </c>
      <c r="AK75" s="756">
        <f>IFERROR(AL75/AL$30,0)</f>
        <v>0.29694530049114726</v>
      </c>
      <c r="AL75" s="757">
        <f>+SUM(AL58:AL74)</f>
        <v>37032.713587685263</v>
      </c>
      <c r="AM75" s="755" t="s">
        <v>111</v>
      </c>
      <c r="AN75" s="756">
        <f>IFERROR(AO75/AO$30,0)</f>
        <v>0.44818586300198915</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1.2627158122933242</v>
      </c>
      <c r="E77" s="770">
        <f>E44+E57+E75</f>
        <v>2256763.5242543719</v>
      </c>
      <c r="F77" s="755" t="s">
        <v>111</v>
      </c>
      <c r="G77" s="756">
        <f>IFERROR(H77/H$30,0)</f>
        <v>1.3005913071976967</v>
      </c>
      <c r="H77" s="770">
        <f>H44+H57+H75</f>
        <v>179497.65664374214</v>
      </c>
      <c r="I77" s="755" t="s">
        <v>111</v>
      </c>
      <c r="J77" s="756">
        <f>IFERROR(K77/K$30,0)</f>
        <v>1.5914577472258411</v>
      </c>
      <c r="K77" s="770">
        <f>K44+K57+K75</f>
        <v>155546.31377219234</v>
      </c>
      <c r="L77" s="755" t="s">
        <v>111</v>
      </c>
      <c r="M77" s="756">
        <f>IFERROR(N77/N$30,0)</f>
        <v>1.2923419785513521</v>
      </c>
      <c r="N77" s="770">
        <f>N44+N57+N75</f>
        <v>188653.71279325412</v>
      </c>
      <c r="O77" s="755" t="s">
        <v>111</v>
      </c>
      <c r="P77" s="756">
        <f>IFERROR(Q77/Q$30,0)</f>
        <v>1.2122698364612972</v>
      </c>
      <c r="Q77" s="770">
        <f>Q44+Q57+Q75</f>
        <v>195359.76154036302</v>
      </c>
      <c r="R77" s="755" t="s">
        <v>111</v>
      </c>
      <c r="S77" s="756">
        <f>IFERROR(T77/T$30,0)</f>
        <v>1.0605929376352208</v>
      </c>
      <c r="T77" s="770">
        <f>T44+T57+T75</f>
        <v>221714.80357313261</v>
      </c>
      <c r="U77" s="755" t="s">
        <v>111</v>
      </c>
      <c r="V77" s="756">
        <f>IFERROR(W77/W$30,0)</f>
        <v>1.2636063542465386</v>
      </c>
      <c r="W77" s="770">
        <f>W44+W57+W75</f>
        <v>187974.41039944906</v>
      </c>
      <c r="X77" s="755" t="s">
        <v>111</v>
      </c>
      <c r="Y77" s="756">
        <f>IFERROR(Z77/Z$30,0)</f>
        <v>1.2685633114729253</v>
      </c>
      <c r="Z77" s="770">
        <f>Z44+Z57+Z75</f>
        <v>187910.4520941675</v>
      </c>
      <c r="AA77" s="755" t="s">
        <v>111</v>
      </c>
      <c r="AB77" s="756">
        <f>IFERROR(AC77/AC$30,0)</f>
        <v>1.2298290412675918</v>
      </c>
      <c r="AC77" s="770">
        <f>AC44+AC57+AC75</f>
        <v>192535.74097486815</v>
      </c>
      <c r="AD77" s="755" t="s">
        <v>111</v>
      </c>
      <c r="AE77" s="756">
        <f>IFERROR(AF77/AF$30,0)</f>
        <v>1.1703058725673245</v>
      </c>
      <c r="AF77" s="770">
        <f>AF44+AF57+AF75</f>
        <v>200208.03874507209</v>
      </c>
      <c r="AG77" s="755" t="s">
        <v>111</v>
      </c>
      <c r="AH77" s="756">
        <f>IFERROR(AI77/AI$30,0)</f>
        <v>1.0457020667729524</v>
      </c>
      <c r="AI77" s="770">
        <f>AI44+AI57+AI75</f>
        <v>220633.38911841161</v>
      </c>
      <c r="AJ77" s="755" t="s">
        <v>111</v>
      </c>
      <c r="AK77" s="756">
        <f>IFERROR(AL77/AL$30,0)</f>
        <v>1.4224493179333764</v>
      </c>
      <c r="AL77" s="770">
        <f>AL44+AL57+AL75</f>
        <v>177396.84075449925</v>
      </c>
      <c r="AM77" s="755" t="s">
        <v>111</v>
      </c>
      <c r="AN77" s="756">
        <f>IFERROR(AO77/AO$30,0)</f>
        <v>1.988943018789854</v>
      </c>
      <c r="AO77" s="770">
        <f>AO44+AO57+AO75</f>
        <v>149332.40384522005</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84157.371389625943</v>
      </c>
      <c r="F78" s="711"/>
      <c r="G78" s="733"/>
      <c r="H78" s="749">
        <f>'[5]véh neufs'!$E$123</f>
        <v>19827.767250000001</v>
      </c>
      <c r="I78" s="711"/>
      <c r="J78" s="733"/>
      <c r="K78" s="749">
        <f>'[5]véh neufs'!$F$123</f>
        <v>1201.2880890289925</v>
      </c>
      <c r="L78" s="711"/>
      <c r="M78" s="733"/>
      <c r="N78" s="749">
        <f>'[5]véh neufs'!$G$123</f>
        <v>758.49607159347272</v>
      </c>
      <c r="O78" s="711"/>
      <c r="P78" s="733"/>
      <c r="Q78" s="749">
        <f>'[5]véh neufs'!$H$123</f>
        <v>7158.5199510629927</v>
      </c>
      <c r="R78" s="711"/>
      <c r="S78" s="733"/>
      <c r="T78" s="749">
        <f>'[5]véh neufs'!$I$123</f>
        <v>9354.2258593001643</v>
      </c>
      <c r="U78" s="711"/>
      <c r="V78" s="733"/>
      <c r="W78" s="749">
        <f>'[5]véh neufs'!$J$123</f>
        <v>6590.4401189808532</v>
      </c>
      <c r="X78" s="711"/>
      <c r="Y78" s="733"/>
      <c r="Z78" s="749">
        <f>'[5]véh neufs'!$K$123</f>
        <v>6561.4807420660518</v>
      </c>
      <c r="AA78" s="711"/>
      <c r="AB78" s="733"/>
      <c r="AC78" s="749">
        <f>'[5]véh neufs'!$L$123</f>
        <v>6947.771060843972</v>
      </c>
      <c r="AD78" s="711"/>
      <c r="AE78" s="733"/>
      <c r="AF78" s="749">
        <f>'[5]véh neufs'!$M$123</f>
        <v>7613.3408501427211</v>
      </c>
      <c r="AG78" s="711"/>
      <c r="AH78" s="733"/>
      <c r="AI78" s="749">
        <f>'[5]véh neufs'!$N$123</f>
        <v>9443.285860908014</v>
      </c>
      <c r="AJ78" s="711"/>
      <c r="AK78" s="733"/>
      <c r="AL78" s="749">
        <f>'[5]véh neufs'!$O$123</f>
        <v>5488.0002772516173</v>
      </c>
      <c r="AM78" s="711"/>
      <c r="AN78" s="733"/>
      <c r="AO78" s="749">
        <f>'[5]véh neufs'!$P$123</f>
        <v>3212.7552584470782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739261.69357707503</v>
      </c>
      <c r="F81" s="711"/>
      <c r="G81" s="733"/>
      <c r="H81" s="749">
        <f>'[5]véh neufs'!$E$118</f>
        <v>36963.084678853753</v>
      </c>
      <c r="I81" s="711"/>
      <c r="J81" s="733"/>
      <c r="K81" s="749">
        <f>'[5]véh neufs'!$F$118</f>
        <v>36963.084678853753</v>
      </c>
      <c r="L81" s="711"/>
      <c r="M81" s="733"/>
      <c r="N81" s="749">
        <f>'[5]véh neufs'!$G$118</f>
        <v>73926.169357707506</v>
      </c>
      <c r="O81" s="711"/>
      <c r="P81" s="733"/>
      <c r="Q81" s="749">
        <f>'[5]véh neufs'!$H$118</f>
        <v>73926.169357707506</v>
      </c>
      <c r="R81" s="711"/>
      <c r="S81" s="733"/>
      <c r="T81" s="749">
        <f>'[5]véh neufs'!$I$118</f>
        <v>81318.786293478261</v>
      </c>
      <c r="U81" s="711"/>
      <c r="V81" s="733"/>
      <c r="W81" s="749">
        <f>'[5]véh neufs'!$J$118</f>
        <v>59140.935486166003</v>
      </c>
      <c r="X81" s="711"/>
      <c r="Y81" s="733"/>
      <c r="Z81" s="749">
        <f>'[5]véh neufs'!$K$118</f>
        <v>51748.318550395255</v>
      </c>
      <c r="AA81" s="711"/>
      <c r="AB81" s="733"/>
      <c r="AC81" s="749">
        <f>'[5]véh neufs'!$L$118</f>
        <v>73926.169357707506</v>
      </c>
      <c r="AD81" s="711"/>
      <c r="AE81" s="733"/>
      <c r="AF81" s="749">
        <f>'[5]véh neufs'!$M$118</f>
        <v>73926.169357707506</v>
      </c>
      <c r="AG81" s="711"/>
      <c r="AH81" s="733"/>
      <c r="AI81" s="749">
        <f>'[5]véh neufs'!$N$118</f>
        <v>81318.786293478261</v>
      </c>
      <c r="AJ81" s="711"/>
      <c r="AK81" s="733"/>
      <c r="AL81" s="749">
        <f>'[5]véh neufs'!$O$118</f>
        <v>73926.169357707506</v>
      </c>
      <c r="AM81" s="711"/>
      <c r="AN81" s="733"/>
      <c r="AO81" s="749">
        <f>'[5]véh neufs'!$P$118</f>
        <v>22177.85080731225</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f>'[5]véh neufs'!$E$134</f>
        <v>19185.977379285494</v>
      </c>
      <c r="I85" s="711"/>
      <c r="J85" s="733"/>
      <c r="K85" s="749">
        <f>'[5]véh neufs'!$F$134</f>
        <v>13208.943793568151</v>
      </c>
      <c r="L85" s="711"/>
      <c r="M85" s="733"/>
      <c r="N85" s="749">
        <f>'[5]véh neufs'!$G$134</f>
        <v>20079.87475947191</v>
      </c>
      <c r="O85" s="711"/>
      <c r="P85" s="733"/>
      <c r="Q85" s="749">
        <f>'[5]véh neufs'!$H$134</f>
        <v>22241.12819781301</v>
      </c>
      <c r="R85" s="711"/>
      <c r="S85" s="733"/>
      <c r="T85" s="749">
        <f>'[5]véh neufs'!$I$134</f>
        <v>29063.065822300134</v>
      </c>
      <c r="U85" s="711"/>
      <c r="V85" s="733"/>
      <c r="W85" s="749">
        <f>'[5]véh neufs'!$J$134</f>
        <v>20476.135369923384</v>
      </c>
      <c r="X85" s="711"/>
      <c r="Y85" s="733"/>
      <c r="Z85" s="749">
        <f>'[5]véh neufs'!$K$134</f>
        <v>20386.160176881524</v>
      </c>
      <c r="AA85" s="711"/>
      <c r="AB85" s="733"/>
      <c r="AC85" s="749">
        <f>'[5]véh neufs'!$L$134</f>
        <v>21586.342974477557</v>
      </c>
      <c r="AD85" s="711"/>
      <c r="AE85" s="733"/>
      <c r="AF85" s="749">
        <f>'[5]véh neufs'!$M$134</f>
        <v>23654.231743326585</v>
      </c>
      <c r="AG85" s="711"/>
      <c r="AH85" s="733"/>
      <c r="AI85" s="749">
        <f>'[5]véh neufs'!$N$134</f>
        <v>29339.770354326123</v>
      </c>
      <c r="AJ85" s="711"/>
      <c r="AK85" s="733"/>
      <c r="AL85" s="749">
        <f>'[5]véh neufs'!$O$134</f>
        <v>17050.915349877814</v>
      </c>
      <c r="AM85" s="711"/>
      <c r="AN85" s="733"/>
      <c r="AO85" s="749">
        <f>'[5]véh neufs'!$P$134</f>
        <v>9981.854078748318</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1069673.4649667009</v>
      </c>
      <c r="F86" s="772"/>
      <c r="G86" s="773"/>
      <c r="H86" s="774">
        <f>+SUM(H78:H85)</f>
        <v>75976.829308139248</v>
      </c>
      <c r="I86" s="772"/>
      <c r="J86" s="773"/>
      <c r="K86" s="774">
        <f>+SUM(K78:K85)</f>
        <v>51373.316561450891</v>
      </c>
      <c r="L86" s="772"/>
      <c r="M86" s="773"/>
      <c r="N86" s="774">
        <f>+SUM(N78:N85)</f>
        <v>94764.540188772895</v>
      </c>
      <c r="O86" s="772"/>
      <c r="P86" s="773"/>
      <c r="Q86" s="774">
        <f>+SUM(Q78:Q85)</f>
        <v>103325.81750658351</v>
      </c>
      <c r="R86" s="772"/>
      <c r="S86" s="773"/>
      <c r="T86" s="774">
        <f>+SUM(T78:T85)</f>
        <v>119736.07797507856</v>
      </c>
      <c r="U86" s="772"/>
      <c r="V86" s="773"/>
      <c r="W86" s="774">
        <f>+SUM(W78:W85)</f>
        <v>86207.51097507024</v>
      </c>
      <c r="X86" s="772"/>
      <c r="Y86" s="773"/>
      <c r="Z86" s="774">
        <f>+SUM(Z78:Z85)</f>
        <v>78695.959469342837</v>
      </c>
      <c r="AA86" s="772"/>
      <c r="AB86" s="773"/>
      <c r="AC86" s="774">
        <f>+SUM(AC78:AC85)</f>
        <v>102460.28339302904</v>
      </c>
      <c r="AD86" s="772"/>
      <c r="AE86" s="773"/>
      <c r="AF86" s="774">
        <f>+SUM(AF78:AF85)</f>
        <v>105193.74195117681</v>
      </c>
      <c r="AG86" s="772"/>
      <c r="AH86" s="773"/>
      <c r="AI86" s="774">
        <f>+SUM(AI78:AI85)</f>
        <v>120101.84250871241</v>
      </c>
      <c r="AJ86" s="772"/>
      <c r="AK86" s="773"/>
      <c r="AL86" s="774">
        <f>+SUM(AL78:AL85)</f>
        <v>96465.08498483694</v>
      </c>
      <c r="AM86" s="772"/>
      <c r="AN86" s="773"/>
      <c r="AO86" s="774">
        <f>+SUM(AO78:AO85)</f>
        <v>35372.460144507648</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600139.89561063214</v>
      </c>
      <c r="F88" s="779"/>
      <c r="G88" s="780"/>
      <c r="H88" s="781">
        <f>H30-H77+H86</f>
        <v>34491.518010987638</v>
      </c>
      <c r="I88" s="779"/>
      <c r="J88" s="780"/>
      <c r="K88" s="781">
        <f>K30-K77+K86</f>
        <v>-6434.735517439316</v>
      </c>
      <c r="L88" s="779"/>
      <c r="M88" s="780"/>
      <c r="N88" s="781">
        <f>N30-N77+N86</f>
        <v>52088.994107030449</v>
      </c>
      <c r="O88" s="779"/>
      <c r="P88" s="780"/>
      <c r="Q88" s="781">
        <f>Q30-Q77+Q86</f>
        <v>69118.09956620993</v>
      </c>
      <c r="R88" s="779"/>
      <c r="S88" s="780"/>
      <c r="T88" s="781">
        <f>T30-T77+T86</f>
        <v>107069.24719675344</v>
      </c>
      <c r="U88" s="779"/>
      <c r="V88" s="780"/>
      <c r="W88" s="781">
        <f>W30-W77+W86</f>
        <v>46993.361053682951</v>
      </c>
      <c r="X88" s="779"/>
      <c r="Y88" s="780"/>
      <c r="Z88" s="781">
        <f>Z30-Z77+Z86</f>
        <v>38914.06382537348</v>
      </c>
      <c r="AA88" s="779"/>
      <c r="AB88" s="780"/>
      <c r="AC88" s="781">
        <f>AC30-AC77+AC86</f>
        <v>66479.424856471538</v>
      </c>
      <c r="AD88" s="779"/>
      <c r="AE88" s="780"/>
      <c r="AF88" s="781">
        <f>AF30-AF77+AF86</f>
        <v>76058.961435486679</v>
      </c>
      <c r="AG88" s="779"/>
      <c r="AH88" s="780"/>
      <c r="AI88" s="781">
        <f>AI30-AI77+AI86</f>
        <v>110459.13240778478</v>
      </c>
      <c r="AJ88" s="779"/>
      <c r="AK88" s="780"/>
      <c r="AL88" s="781">
        <f>AL30-AL77+AL86</f>
        <v>43780.484250412715</v>
      </c>
      <c r="AM88" s="779"/>
      <c r="AN88" s="780"/>
      <c r="AO88" s="781">
        <f>AO30-AO77+AO86</f>
        <v>-38878.655582121974</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29">
        <v>2021</v>
      </c>
      <c r="D94" s="1130"/>
      <c r="E94" s="1131"/>
      <c r="F94" s="1037" t="s">
        <v>1934</v>
      </c>
      <c r="G94" s="1038"/>
      <c r="H94" s="1039"/>
      <c r="I94" s="1037" t="s">
        <v>1935</v>
      </c>
      <c r="J94" s="1038"/>
      <c r="K94" s="1039"/>
      <c r="L94" s="1037" t="s">
        <v>1936</v>
      </c>
      <c r="M94" s="1038"/>
      <c r="N94" s="1039"/>
      <c r="O94" s="1037" t="s">
        <v>1937</v>
      </c>
      <c r="P94" s="1038"/>
      <c r="Q94" s="1039"/>
      <c r="R94" s="1037" t="s">
        <v>1938</v>
      </c>
      <c r="S94" s="1038"/>
      <c r="T94" s="1039"/>
      <c r="U94" s="1037" t="s">
        <v>1916</v>
      </c>
      <c r="V94" s="1038"/>
      <c r="W94" s="1039"/>
      <c r="X94" s="1037" t="s">
        <v>1939</v>
      </c>
      <c r="Y94" s="1038"/>
      <c r="Z94" s="1039"/>
      <c r="AA94" s="1037" t="s">
        <v>1940</v>
      </c>
      <c r="AB94" s="1038"/>
      <c r="AC94" s="1039"/>
      <c r="AD94" s="1037" t="s">
        <v>3</v>
      </c>
      <c r="AE94" s="1038"/>
      <c r="AF94" s="1039"/>
      <c r="AG94" s="1037" t="s">
        <v>1941</v>
      </c>
      <c r="AH94" s="1038"/>
      <c r="AI94" s="1039"/>
      <c r="AJ94" s="1037" t="s">
        <v>1942</v>
      </c>
      <c r="AK94" s="1038"/>
      <c r="AL94" s="1039"/>
      <c r="AM94" s="1037" t="s">
        <v>1943</v>
      </c>
      <c r="AN94" s="1038"/>
      <c r="AO94" s="1039"/>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f>'[5]véh usagés'!$E$68</f>
        <v>641081.32723401533</v>
      </c>
      <c r="I96" s="707"/>
      <c r="J96" s="708"/>
      <c r="K96" s="790">
        <f>'[5]véh usagés'!$F$68</f>
        <v>810373.52002469823</v>
      </c>
      <c r="L96" s="707"/>
      <c r="M96" s="708"/>
      <c r="N96" s="790">
        <f>'[5]véh usagés'!$G$68</f>
        <v>758716.19304405223</v>
      </c>
      <c r="O96" s="707"/>
      <c r="P96" s="708"/>
      <c r="Q96" s="790">
        <f>'[5]véh usagés'!$H$68</f>
        <v>994929.55394000048</v>
      </c>
      <c r="R96" s="707"/>
      <c r="S96" s="708"/>
      <c r="T96" s="790">
        <f>'[5]véh usagés'!$I$68</f>
        <v>1240477.1936189239</v>
      </c>
      <c r="U96" s="707"/>
      <c r="V96" s="708"/>
      <c r="W96" s="790">
        <f>'[5]véh usagés'!$J$68</f>
        <v>1127432.9567185473</v>
      </c>
      <c r="X96" s="707"/>
      <c r="Y96" s="708"/>
      <c r="Z96" s="790">
        <f>'[5]véh usagés'!$K$68</f>
        <v>1147134.4057891713</v>
      </c>
      <c r="AA96" s="707"/>
      <c r="AB96" s="708"/>
      <c r="AC96" s="790">
        <f>'[5]véh usagés'!$L$68</f>
        <v>1181462.1086358507</v>
      </c>
      <c r="AD96" s="707"/>
      <c r="AE96" s="708"/>
      <c r="AF96" s="790">
        <f>'[5]véh usagés'!$M$68</f>
        <v>952211.20158621995</v>
      </c>
      <c r="AG96" s="707"/>
      <c r="AH96" s="708"/>
      <c r="AI96" s="790">
        <f>'[5]véh usagés'!$N$68</f>
        <v>1285172.0667532524</v>
      </c>
      <c r="AJ96" s="707"/>
      <c r="AK96" s="708"/>
      <c r="AL96" s="790">
        <f>'[5]véh usagés'!$O$68</f>
        <v>1165165.3760065578</v>
      </c>
      <c r="AM96" s="707"/>
      <c r="AN96" s="708"/>
      <c r="AO96" s="790">
        <f>'[5]véh usagés'!$P$68</f>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f>'[5]véh usagés'!$E$4</f>
        <v>19.24044771677282</v>
      </c>
      <c r="G97" s="713">
        <f>IF(F97=0,0,H97/F97)</f>
        <v>750</v>
      </c>
      <c r="H97" s="716">
        <f>'[5]véh usagés'!$E$6</f>
        <v>14430.335787579615</v>
      </c>
      <c r="I97" s="715">
        <f>'[5]véh usagés'!$F$4</f>
        <v>24.321328169648581</v>
      </c>
      <c r="J97" s="713">
        <f>IF(I97=0,0,K97/I97)</f>
        <v>750</v>
      </c>
      <c r="K97" s="716">
        <f>'[5]véh usagés'!$F$6</f>
        <v>18240.996127236434</v>
      </c>
      <c r="L97" s="715">
        <f>'[5]véh usagés'!$G$4</f>
        <v>22.770963096237939</v>
      </c>
      <c r="M97" s="713">
        <f>IF(L97=0,0,N97/L97)</f>
        <v>750</v>
      </c>
      <c r="N97" s="716">
        <f>'[5]véh usagés'!$G$6</f>
        <v>17078.222322178455</v>
      </c>
      <c r="O97" s="715">
        <f>'[5]véh usagés'!$H$4</f>
        <v>29.860314520542744</v>
      </c>
      <c r="P97" s="713">
        <f>IF(O97=0,0,Q97/O97)</f>
        <v>750</v>
      </c>
      <c r="Q97" s="716">
        <f>'[5]véh usagés'!$H$6</f>
        <v>22395.235890407057</v>
      </c>
      <c r="R97" s="715">
        <f>'[5]véh usagés'!$I$4</f>
        <v>37.229810905039251</v>
      </c>
      <c r="S97" s="713">
        <f>IF(R97=0,0,T97/R97)</f>
        <v>750</v>
      </c>
      <c r="T97" s="716">
        <f>'[5]véh usagés'!$I$6</f>
        <v>27922.358178779439</v>
      </c>
      <c r="U97" s="715">
        <f>'[5]véh usagés'!$J$4</f>
        <v>33.83707173550448</v>
      </c>
      <c r="V97" s="713">
        <f>IF(U97=0,0,W97/U97)</f>
        <v>750</v>
      </c>
      <c r="W97" s="716">
        <f>'[5]véh usagés'!$J$6</f>
        <v>25377.803801628361</v>
      </c>
      <c r="X97" s="715">
        <f>'[5]véh usagés'!$K$4</f>
        <v>34.428361303122216</v>
      </c>
      <c r="Y97" s="713">
        <f>IF(X97=0,0,Z97/X97)</f>
        <v>750</v>
      </c>
      <c r="Z97" s="716">
        <f>'[5]véh usagés'!$K$6</f>
        <v>25821.270977341661</v>
      </c>
      <c r="AA97" s="715">
        <f>'[5]véh usagés'!$L$4</f>
        <v>35.458621184045796</v>
      </c>
      <c r="AB97" s="713">
        <f>IF(AA97=0,0,AC97/AA97)</f>
        <v>750</v>
      </c>
      <c r="AC97" s="716">
        <f>'[5]véh usagés'!$L$6</f>
        <v>26593.965888034349</v>
      </c>
      <c r="AD97" s="715">
        <f>'[5]véh usagés'!$M$4</f>
        <v>28.578230344802019</v>
      </c>
      <c r="AE97" s="713">
        <f>IF(AD97=0,0,AF97/AD97)</f>
        <v>750</v>
      </c>
      <c r="AF97" s="716">
        <f>'[5]véh usagés'!$M$6</f>
        <v>21433.672758601515</v>
      </c>
      <c r="AG97" s="715">
        <f>'[5]véh usagés'!$N$4</f>
        <v>38.571215393388869</v>
      </c>
      <c r="AH97" s="713">
        <f>IF(AG97=0,0,AI97/AG97)</f>
        <v>750</v>
      </c>
      <c r="AI97" s="716">
        <f>'[5]véh usagés'!$N$6</f>
        <v>28928.41154504165</v>
      </c>
      <c r="AJ97" s="715">
        <f>'[5]véh usagés'!$O$4</f>
        <v>34.969515638793077</v>
      </c>
      <c r="AK97" s="713">
        <f>IF(AJ97=0,0,AL97/AJ97)</f>
        <v>750</v>
      </c>
      <c r="AL97" s="716">
        <f>'[5]véh usagés'!$O$6</f>
        <v>26227.136729094807</v>
      </c>
      <c r="AM97" s="715">
        <f>'[5]véh usagés'!$P$4</f>
        <v>20.230522869800058</v>
      </c>
      <c r="AN97" s="713">
        <f>IF(AM97=0,0,AO97/AM97)</f>
        <v>750</v>
      </c>
      <c r="AO97" s="716">
        <f>'[5]véh usagés'!$P$6</f>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f>'[5]véh usagés'!$E$20</f>
        <v>1.0973639382189821</v>
      </c>
      <c r="G98" s="713">
        <f>IF(F98=0,0,H98/F98)</f>
        <v>750</v>
      </c>
      <c r="H98" s="716">
        <f>'[5]véh usagés'!$E$22</f>
        <v>823.02295366423664</v>
      </c>
      <c r="I98" s="715">
        <f>'[5]véh usagés'!$F$20</f>
        <v>1.3871479944666489</v>
      </c>
      <c r="J98" s="713">
        <f>IF(I98=0,0,K98/I98)</f>
        <v>750</v>
      </c>
      <c r="K98" s="716">
        <f>'[5]véh usagés'!$F$22</f>
        <v>1040.3609958499867</v>
      </c>
      <c r="L98" s="715">
        <f>'[5]véh usagés'!$G$20</f>
        <v>1.2987241309641409</v>
      </c>
      <c r="M98" s="713">
        <f>IF(L98=0,0,N98/L98)</f>
        <v>750</v>
      </c>
      <c r="N98" s="716">
        <f>'[5]véh usagés'!$G$22</f>
        <v>974.04309822310563</v>
      </c>
      <c r="O98" s="715">
        <f>'[5]véh usagés'!$H$20</f>
        <v>1.7030597635290536</v>
      </c>
      <c r="P98" s="713">
        <f>IF(O98=0,0,Q98/O98)</f>
        <v>750</v>
      </c>
      <c r="Q98" s="716">
        <f>'[5]véh usagés'!$H$22</f>
        <v>1277.2948226467902</v>
      </c>
      <c r="R98" s="715">
        <f>'[5]véh usagés'!$I$20</f>
        <v>2.1233732455345575</v>
      </c>
      <c r="S98" s="713">
        <f>IF(R98=0,0,T98/R98)</f>
        <v>750</v>
      </c>
      <c r="T98" s="716">
        <f>'[5]véh usagés'!$I$22</f>
        <v>1592.5299341509181</v>
      </c>
      <c r="U98" s="715">
        <f>'[5]véh usagés'!$J$20</f>
        <v>1.9298710115306736</v>
      </c>
      <c r="V98" s="713">
        <f>IF(U98=0,0,W98/U98)</f>
        <v>750</v>
      </c>
      <c r="W98" s="716">
        <f>'[5]véh usagés'!$J$22</f>
        <v>1447.4032586480052</v>
      </c>
      <c r="X98" s="715">
        <f>'[5]véh usagés'!$K$20</f>
        <v>1.9635947511286436</v>
      </c>
      <c r="Y98" s="713">
        <f>IF(X98=0,0,Z98/X98)</f>
        <v>750.00000000000011</v>
      </c>
      <c r="Z98" s="716">
        <f>'[5]véh usagés'!$K$22</f>
        <v>1472.6960633464828</v>
      </c>
      <c r="AA98" s="715">
        <f>'[5]véh usagés'!$L$20</f>
        <v>2.0223548203828403</v>
      </c>
      <c r="AB98" s="713">
        <f>IF(AA98=0,0,AC98/AA98)</f>
        <v>750</v>
      </c>
      <c r="AC98" s="716">
        <f>'[5]véh usagés'!$L$22</f>
        <v>1516.7661152871303</v>
      </c>
      <c r="AD98" s="715">
        <f>'[5]véh usagés'!$M$20</f>
        <v>1.6299370919088603</v>
      </c>
      <c r="AE98" s="713">
        <f>IF(AD98=0,0,AF98/AD98)</f>
        <v>750</v>
      </c>
      <c r="AF98" s="716">
        <f>'[5]véh usagés'!$M$22</f>
        <v>1222.4528189316452</v>
      </c>
      <c r="AG98" s="715">
        <f>'[5]véh usagés'!$N$20</f>
        <v>2.1998792049461331</v>
      </c>
      <c r="AH98" s="713">
        <f>IF(AG98=0,0,AI98/AG98)</f>
        <v>750</v>
      </c>
      <c r="AI98" s="716">
        <f>'[5]véh usagés'!$N$22</f>
        <v>1649.9094037095999</v>
      </c>
      <c r="AJ98" s="715">
        <f>'[5]véh usagés'!$O$20</f>
        <v>1.994459066851316</v>
      </c>
      <c r="AK98" s="713">
        <f>IF(AJ98=0,0,AL98/AJ98)</f>
        <v>750</v>
      </c>
      <c r="AL98" s="716">
        <f>'[5]véh usagés'!$O$22</f>
        <v>1495.8443001384869</v>
      </c>
      <c r="AM98" s="715">
        <f>'[5]véh usagés'!$P$20</f>
        <v>1.1538321028403073</v>
      </c>
      <c r="AN98" s="713">
        <f>IF(AM98=0,0,AO98/AM98)</f>
        <v>750</v>
      </c>
      <c r="AO98" s="716">
        <f>'[5]véh usagés'!$P$22</f>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f>'[5]véh usagés'!$E$35</f>
        <v>17.233619349756211</v>
      </c>
      <c r="G102" s="713">
        <f>IF(F102=0,0,H102/F102)</f>
        <v>120</v>
      </c>
      <c r="H102" s="716">
        <f>'[5]véh usagés'!$E$37</f>
        <v>2068.0343219707452</v>
      </c>
      <c r="I102" s="715">
        <f>'[5]véh usagés'!$F$35</f>
        <v>21.784550854855535</v>
      </c>
      <c r="J102" s="713">
        <f>IF(I102=0,0,K102/I102)</f>
        <v>120</v>
      </c>
      <c r="K102" s="716">
        <f>'[5]véh usagés'!$F$37</f>
        <v>2614.1461025826643</v>
      </c>
      <c r="L102" s="715">
        <f>'[5]véh usagés'!$G$35</f>
        <v>20.395892860944919</v>
      </c>
      <c r="M102" s="713">
        <f>IF(L102=0,0,N102/L102)</f>
        <v>120</v>
      </c>
      <c r="N102" s="716">
        <f>'[5]véh usagés'!$G$37</f>
        <v>2447.5071433133903</v>
      </c>
      <c r="O102" s="715">
        <f>'[5]véh usagés'!$H$35</f>
        <v>26.745806630187154</v>
      </c>
      <c r="P102" s="713">
        <f>IF(O102=0,0,Q102/O102)</f>
        <v>120</v>
      </c>
      <c r="Q102" s="716">
        <f>'[5]véh usagés'!$H$37</f>
        <v>3209.4967956224586</v>
      </c>
      <c r="R102" s="715">
        <f>'[5]véh usagés'!$I$35</f>
        <v>33.34664551706517</v>
      </c>
      <c r="S102" s="713">
        <f>IF(R102=0,0,T102/R102)</f>
        <v>120</v>
      </c>
      <c r="T102" s="716">
        <f>'[5]véh usagés'!$I$37</f>
        <v>4001.5974620478205</v>
      </c>
      <c r="U102" s="715">
        <f>'[5]véh usagés'!$J$35</f>
        <v>30.307777801435051</v>
      </c>
      <c r="V102" s="713">
        <f>IF(U102=0,0,W102/U102)</f>
        <v>120</v>
      </c>
      <c r="W102" s="716">
        <f>'[5]véh usagés'!$J$37</f>
        <v>3636.9333361722061</v>
      </c>
      <c r="X102" s="715">
        <f>'[5]véh usagés'!$K$35</f>
        <v>30.837394340707309</v>
      </c>
      <c r="Y102" s="713">
        <f>IF(X102=0,0,Z102/X102)</f>
        <v>120</v>
      </c>
      <c r="Z102" s="716">
        <f>'[5]véh usagés'!$K$37</f>
        <v>3700.4873208848771</v>
      </c>
      <c r="AA102" s="715">
        <f>'[5]véh usagés'!$L$35</f>
        <v>31.760195456384267</v>
      </c>
      <c r="AB102" s="713">
        <f>IF(AA102=0,0,AC102/AA102)</f>
        <v>120</v>
      </c>
      <c r="AC102" s="716">
        <f>'[5]véh usagés'!$L$37</f>
        <v>3811.2234547661119</v>
      </c>
      <c r="AD102" s="715">
        <f>'[5]véh usagés'!$M$35</f>
        <v>25.597447143739217</v>
      </c>
      <c r="AE102" s="713">
        <f>IF(AD102=0,0,AF102/AD102)</f>
        <v>120</v>
      </c>
      <c r="AF102" s="716">
        <f>'[5]véh usagés'!$M$37</f>
        <v>3071.6936572487061</v>
      </c>
      <c r="AG102" s="715">
        <f>'[5]véh usagés'!$N$35</f>
        <v>34.548138054378612</v>
      </c>
      <c r="AH102" s="713">
        <f>IF(AG102=0,0,AI102/AG102)</f>
        <v>120.00000000000001</v>
      </c>
      <c r="AI102" s="716">
        <f>'[5]véh usagés'!$N$37</f>
        <v>4145.7765665254337</v>
      </c>
      <c r="AJ102" s="715">
        <f>'[5]véh usagés'!$O$35</f>
        <v>31.322104882151301</v>
      </c>
      <c r="AK102" s="713">
        <f>IF(AJ102=0,0,AL102/AJ102)</f>
        <v>120</v>
      </c>
      <c r="AL102" s="716">
        <f>'[5]véh usagés'!$O$37</f>
        <v>3758.6525858581563</v>
      </c>
      <c r="AM102" s="715">
        <f>'[5]véh usagés'!$P$35</f>
        <v>18.120427108395255</v>
      </c>
      <c r="AN102" s="713">
        <f>IF(AM102=0,0,AO102/AM102)</f>
        <v>120.00000000000001</v>
      </c>
      <c r="AO102" s="716">
        <f>'[5]véh usagés'!$P$37</f>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f>'[5]véh usagés'!$E$136</f>
        <v>16353.50352375072</v>
      </c>
      <c r="I104" s="715"/>
      <c r="J104" s="713">
        <f>IF(I99=0,0,K104/I99)</f>
        <v>804.09356725146199</v>
      </c>
      <c r="K104" s="716">
        <f>'[5]véh usagés'!$F$136</f>
        <v>20672.020307402596</v>
      </c>
      <c r="L104" s="715"/>
      <c r="M104" s="713">
        <f>IF(L99=0,0,N104/L99)</f>
        <v>804.09356725146199</v>
      </c>
      <c r="N104" s="716">
        <f>'[5]véh usagés'!$G$136</f>
        <v>19354.280665147871</v>
      </c>
      <c r="O104" s="715"/>
      <c r="P104" s="713">
        <f>IF(O99=0,0,Q104/O99)</f>
        <v>804.09356725146199</v>
      </c>
      <c r="Q104" s="716">
        <f>'[5]véh usagés'!$H$136</f>
        <v>25379.906222572354</v>
      </c>
      <c r="R104" s="715"/>
      <c r="S104" s="713">
        <f>IF(R99=0,0,T104/R99)</f>
        <v>804.09356725146199</v>
      </c>
      <c r="T104" s="716">
        <f>'[5]véh usagés'!$I$136</f>
        <v>31643.64222633859</v>
      </c>
      <c r="U104" s="715"/>
      <c r="V104" s="713">
        <f>IF(U99=0,0,W104/U99)</f>
        <v>804.09356725146199</v>
      </c>
      <c r="W104" s="716">
        <f>'[5]véh usagés'!$J$136</f>
        <v>28759.968583142301</v>
      </c>
      <c r="X104" s="715"/>
      <c r="Y104" s="713">
        <f>IF(X99=0,0,Z104/X99)</f>
        <v>804.09356725146199</v>
      </c>
      <c r="Z104" s="716">
        <f>'[5]véh usagés'!$K$136</f>
        <v>29262.537762921016</v>
      </c>
      <c r="AA104" s="715"/>
      <c r="AB104" s="713">
        <f>IF(AA99=0,0,AC104/AA99)</f>
        <v>804.09356725146199</v>
      </c>
      <c r="AC104" s="716">
        <f>'[5]véh usagés'!$L$136</f>
        <v>30138.211699467469</v>
      </c>
      <c r="AD104" s="715"/>
      <c r="AE104" s="713">
        <f>IF(AD99=0,0,AF104/AD99)</f>
        <v>804.09356725146199</v>
      </c>
      <c r="AF104" s="716">
        <f>'[5]véh usagés'!$M$136</f>
        <v>24290.193114314305</v>
      </c>
      <c r="AG104" s="715"/>
      <c r="AH104" s="713">
        <f>IF(AG99=0,0,AI104/AG99)</f>
        <v>804.09356725146199</v>
      </c>
      <c r="AI104" s="716">
        <f>'[5]véh usagés'!$N$136</f>
        <v>32783.774896322007</v>
      </c>
      <c r="AJ104" s="715"/>
      <c r="AK104" s="713">
        <f>IF(AJ99=0,0,AL104/AJ99)</f>
        <v>804.09356725146199</v>
      </c>
      <c r="AL104" s="716">
        <f>'[5]véh usagés'!$O$136</f>
        <v>29722.494280854407</v>
      </c>
      <c r="AM104" s="715"/>
      <c r="AN104" s="713">
        <f>IF(AM99=0,0,AO104/AM99)</f>
        <v>804.09356725146188</v>
      </c>
      <c r="AO104" s="716">
        <f>'[5]véh usagés'!$P$136</f>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f>'[5]véh usagés'!$E$137</f>
        <v>18533.970660250816</v>
      </c>
      <c r="I105" s="715"/>
      <c r="J105" s="713">
        <f>IF(I99=0,0,K105/I99)</f>
        <v>911.30604288499023</v>
      </c>
      <c r="K105" s="716">
        <f>'[5]véh usagés'!$F$137</f>
        <v>23428.289681722941</v>
      </c>
      <c r="L105" s="715"/>
      <c r="M105" s="713">
        <f>IF(L99=0,0,N105/L99)</f>
        <v>911.30604288499035</v>
      </c>
      <c r="N105" s="716">
        <f>'[5]véh usagés'!$G$137</f>
        <v>21934.851420500923</v>
      </c>
      <c r="O105" s="715"/>
      <c r="P105" s="713">
        <f>IF(O99=0,0,Q105/O99)</f>
        <v>911.30604288499023</v>
      </c>
      <c r="Q105" s="716">
        <f>'[5]véh usagés'!$H$137</f>
        <v>28763.893718915333</v>
      </c>
      <c r="R105" s="715"/>
      <c r="S105" s="713">
        <f>IF(R99=0,0,T105/R99)</f>
        <v>911.30604288499023</v>
      </c>
      <c r="T105" s="716">
        <f>'[5]véh usagés'!$I$137</f>
        <v>35862.794523183737</v>
      </c>
      <c r="U105" s="715"/>
      <c r="V105" s="713">
        <f>IF(U99=0,0,W105/U99)</f>
        <v>911.30604288499023</v>
      </c>
      <c r="W105" s="716">
        <f>'[5]véh usagés'!$J$137</f>
        <v>32594.631060894608</v>
      </c>
      <c r="X105" s="715"/>
      <c r="Y105" s="713">
        <f>IF(X99=0,0,Z105/X99)</f>
        <v>911.30604288499012</v>
      </c>
      <c r="Z105" s="716">
        <f>'[5]véh usagés'!$K$137</f>
        <v>33164.209464643813</v>
      </c>
      <c r="AA105" s="715"/>
      <c r="AB105" s="713">
        <f>IF(AA99=0,0,AC105/AA99)</f>
        <v>911.30604288499023</v>
      </c>
      <c r="AC105" s="716">
        <f>'[5]véh usagés'!$L$137</f>
        <v>34156.63992606313</v>
      </c>
      <c r="AD105" s="715"/>
      <c r="AE105" s="713">
        <f>IF(AD99=0,0,AF105/AD99)</f>
        <v>911.30604288499023</v>
      </c>
      <c r="AF105" s="716">
        <f>'[5]véh usagés'!$M$137</f>
        <v>27528.88552955621</v>
      </c>
      <c r="AG105" s="715"/>
      <c r="AH105" s="713">
        <f>IF(AG99=0,0,AI105/AG99)</f>
        <v>911.30604288499035</v>
      </c>
      <c r="AI105" s="716">
        <f>'[5]véh usagés'!$N$137</f>
        <v>37154.944882498276</v>
      </c>
      <c r="AJ105" s="715"/>
      <c r="AK105" s="713">
        <f>IF(AJ99=0,0,AL105/AJ99)</f>
        <v>911.30604288499012</v>
      </c>
      <c r="AL105" s="716">
        <f>'[5]véh usagés'!$O$137</f>
        <v>33685.493518301657</v>
      </c>
      <c r="AM105" s="715"/>
      <c r="AN105" s="713">
        <f>IF(AM99=0,0,AO105/AM99)</f>
        <v>911.30604288499023</v>
      </c>
      <c r="AO105" s="716">
        <f>'[5]véh usagés'!$P$137</f>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f>'[5]véh usagés'!E138</f>
        <v>0</v>
      </c>
      <c r="I106" s="715"/>
      <c r="J106" s="792">
        <f>IF(I99=0,0,K106/I99)</f>
        <v>0</v>
      </c>
      <c r="K106" s="716">
        <f>'[5]véh usagés'!H138</f>
        <v>0</v>
      </c>
      <c r="L106" s="715"/>
      <c r="M106" s="792">
        <f>IF(L99=0,0,N106/L99)</f>
        <v>0</v>
      </c>
      <c r="N106" s="716">
        <f>'[5]véh usagés'!K138</f>
        <v>0</v>
      </c>
      <c r="O106" s="715"/>
      <c r="P106" s="792">
        <f>IF(O99=0,0,Q106/O99)</f>
        <v>0</v>
      </c>
      <c r="Q106" s="716">
        <f>'[5]véh usagés'!N138</f>
        <v>0</v>
      </c>
      <c r="R106" s="715"/>
      <c r="S106" s="792">
        <f>IF(R99=0,0,T106/R99)</f>
        <v>0</v>
      </c>
      <c r="T106" s="716">
        <f>'[5]véh usagés'!Q138</f>
        <v>0</v>
      </c>
      <c r="U106" s="715"/>
      <c r="V106" s="792">
        <f>IF(U99=0,0,W106/U99)</f>
        <v>0</v>
      </c>
      <c r="W106" s="716">
        <f>'[5]véh usagés'!T138</f>
        <v>0</v>
      </c>
      <c r="X106" s="715"/>
      <c r="Y106" s="792">
        <f>IF(X99=0,0,Z106/X99)</f>
        <v>0</v>
      </c>
      <c r="Z106" s="716">
        <f>'[5]véh usagés'!W138</f>
        <v>0</v>
      </c>
      <c r="AA106" s="715"/>
      <c r="AB106" s="792">
        <f>IF(AA99=0,0,AC106/AA99)</f>
        <v>0</v>
      </c>
      <c r="AC106" s="716">
        <f>'[5]véh usagés'!Z138</f>
        <v>0</v>
      </c>
      <c r="AD106" s="715"/>
      <c r="AE106" s="792">
        <f>IF(AD99=0,0,AF106/AD99)</f>
        <v>0</v>
      </c>
      <c r="AF106" s="716">
        <f>'[5]véh usagés'!AC138</f>
        <v>0</v>
      </c>
      <c r="AG106" s="715"/>
      <c r="AH106" s="792">
        <f>IF(AG99=0,0,AI106/AG99)</f>
        <v>0</v>
      </c>
      <c r="AI106" s="716">
        <f>'[5]véh usagés'!AF138</f>
        <v>0</v>
      </c>
      <c r="AJ106" s="715"/>
      <c r="AK106" s="792">
        <f>IF(AJ99=0,0,AL106/AJ99)</f>
        <v>0</v>
      </c>
      <c r="AL106" s="716">
        <f>'[5]véh usagés'!AI138</f>
        <v>0</v>
      </c>
      <c r="AM106" s="715"/>
      <c r="AN106" s="792">
        <f>IF(AM99=0,0,AO106/AM99)</f>
        <v>0</v>
      </c>
      <c r="AO106" s="716">
        <f>'[5]véh usagés'!AL138</f>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f>'[5]véh usagés'!$E$230</f>
        <v>10838.942353141567</v>
      </c>
      <c r="I114" s="711"/>
      <c r="J114" s="748">
        <f>IF(I$99=0,0,K114/(I$97+I$98))</f>
        <v>471.62973415048248</v>
      </c>
      <c r="K114" s="749">
        <f>'[5]véh usagés'!$F$230</f>
        <v>12124.881778695681</v>
      </c>
      <c r="L114" s="711"/>
      <c r="M114" s="748">
        <f>IF(L$99=0,0,N114/(L$97+L$98))</f>
        <v>497.57830715421136</v>
      </c>
      <c r="N114" s="749">
        <f>'[5]véh usagés'!$G$230</f>
        <v>11976.554224242554</v>
      </c>
      <c r="O114" s="711"/>
      <c r="P114" s="748">
        <f>IF(O$99=0,0,Q114/(O$97+O$98))</f>
        <v>438.0947448356996</v>
      </c>
      <c r="Q114" s="749">
        <f>'[5]véh usagés'!$H$230</f>
        <v>13827.748403134117</v>
      </c>
      <c r="R114" s="711"/>
      <c r="S114" s="748">
        <f>IF(R$99=0,0,T114/(R$97+R$98))</f>
        <v>400.41957519365081</v>
      </c>
      <c r="T114" s="749">
        <f>'[5]véh usagés'!$I$230</f>
        <v>15757.785280090277</v>
      </c>
      <c r="U114" s="711"/>
      <c r="V114" s="748">
        <f>IF(U$99=0,0,W114/(U$97+U$98))</f>
        <v>417.89841005175413</v>
      </c>
      <c r="W114" s="749">
        <f>'[5]véh usagés'!$J$230</f>
        <v>14946.948506398108</v>
      </c>
      <c r="X114" s="711"/>
      <c r="Y114" s="748">
        <f>IF(X$99=0,0,Z114/(X$97+X$98))</f>
        <v>419.25084424424927</v>
      </c>
      <c r="Z114" s="749">
        <f>'[5]véh usagés'!$K$230</f>
        <v>15257.358299444291</v>
      </c>
      <c r="AA114" s="711"/>
      <c r="AB114" s="748">
        <f>IF(AA$99=0,0,AC114/(AA$97+AA$98))</f>
        <v>410.9634140626199</v>
      </c>
      <c r="AC114" s="749">
        <f>'[5]véh usagés'!$L$230</f>
        <v>15403.309861179125</v>
      </c>
      <c r="AD114" s="711"/>
      <c r="AE114" s="748">
        <f>IF(AD$99=0,0,AF114/(AD$97+AD$98))</f>
        <v>445.80408951449374</v>
      </c>
      <c r="AF114" s="749">
        <f>'[5]véh usagés'!$M$230</f>
        <v>13466.924580024272</v>
      </c>
      <c r="AG114" s="711"/>
      <c r="AH114" s="748">
        <f>IF(AG$99=0,0,AI114/(AG$97+AG$98))</f>
        <v>399.28542751146796</v>
      </c>
      <c r="AI114" s="749">
        <f>'[5]véh usagés'!$N$230</f>
        <v>16279.303936806695</v>
      </c>
      <c r="AJ114" s="711"/>
      <c r="AK114" s="748">
        <f>IF(AJ$99=0,0,AL114/(AJ$97+AJ$98))</f>
        <v>412.98746649793475</v>
      </c>
      <c r="AL114" s="749">
        <f>'[5]véh usagés'!$O$230</f>
        <v>15265.658265377819</v>
      </c>
      <c r="AM114" s="711"/>
      <c r="AN114" s="748">
        <f>IF(AM$99=0,0,AO114/(AM$97+AM$98))</f>
        <v>499.69169166602779</v>
      </c>
      <c r="AO114" s="749">
        <f>'[5]véh usagés'!$P$230</f>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f>'[5]véh usagés'!$E$238</f>
        <v>10466.242255200459</v>
      </c>
      <c r="I115" s="706"/>
      <c r="J115" s="751">
        <f t="shared" ref="J115:J123" si="49">IF(I$99=0,0,K115/(I$97+I$98))</f>
        <v>514.61988304093563</v>
      </c>
      <c r="K115" s="753">
        <f>'[5]véh usagés'!$F$238</f>
        <v>13230.092996737661</v>
      </c>
      <c r="L115" s="706"/>
      <c r="M115" s="751">
        <f t="shared" ref="M115:M123" si="50">IF(L$99=0,0,N115/(L$97+L$98))</f>
        <v>514.61988304093563</v>
      </c>
      <c r="N115" s="753">
        <f>'[5]véh usagés'!$G$238</f>
        <v>12386.739625694638</v>
      </c>
      <c r="O115" s="706"/>
      <c r="P115" s="751">
        <f t="shared" ref="P115:P123" si="51">IF(O$99=0,0,Q115/(O$97+O$98))</f>
        <v>514.61988304093563</v>
      </c>
      <c r="Q115" s="753">
        <f>'[5]véh usagés'!$H$238</f>
        <v>16243.139982446304</v>
      </c>
      <c r="R115" s="706"/>
      <c r="S115" s="751">
        <f t="shared" ref="S115:S123" si="52">IF(R$99=0,0,T115/(R$97+R$98))</f>
        <v>514.61988304093563</v>
      </c>
      <c r="T115" s="753">
        <f>'[5]véh usagés'!$I$238</f>
        <v>20251.931024856698</v>
      </c>
      <c r="U115" s="706"/>
      <c r="V115" s="751">
        <f t="shared" ref="V115:V123" si="53">IF(U$99=0,0,W115/(U$97+U$98))</f>
        <v>514.61988304093563</v>
      </c>
      <c r="W115" s="753">
        <f>'[5]véh usagés'!$J$238</f>
        <v>18406.379893211069</v>
      </c>
      <c r="X115" s="706"/>
      <c r="Y115" s="751">
        <f t="shared" ref="Y115:Y123" si="54">IF(X$99=0,0,Z115/(X$97+X$98))</f>
        <v>514.61988304093575</v>
      </c>
      <c r="Z115" s="753">
        <f>'[5]véh usagés'!$K$238</f>
        <v>18728.02416826945</v>
      </c>
      <c r="AA115" s="706"/>
      <c r="AB115" s="751">
        <f t="shared" ref="AB115:AB123" si="55">IF(AA$99=0,0,AC115/(AA$97+AA$98))</f>
        <v>514.61988304093563</v>
      </c>
      <c r="AC115" s="753">
        <f>'[5]véh usagés'!$L$238</f>
        <v>19288.455487659179</v>
      </c>
      <c r="AD115" s="706"/>
      <c r="AE115" s="751">
        <f t="shared" ref="AE115:AE123" si="56">IF(AD$99=0,0,AF115/(AD$97+AD$98))</f>
        <v>514.61988304093563</v>
      </c>
      <c r="AF115" s="753">
        <f>'[5]véh usagés'!$M$238</f>
        <v>15545.723593161152</v>
      </c>
      <c r="AG115" s="706"/>
      <c r="AH115" s="751">
        <f t="shared" ref="AH115:AH123" si="57">IF(AG$99=0,0,AI115/(AG$97+AG$98))</f>
        <v>514.61988304093575</v>
      </c>
      <c r="AI115" s="753">
        <f>'[5]véh usagés'!$N$238</f>
        <v>20981.615933646088</v>
      </c>
      <c r="AJ115" s="706"/>
      <c r="AK115" s="751">
        <f t="shared" ref="AK115:AK123" si="58">IF(AJ$99=0,0,AL115/(AJ$97+AJ$98))</f>
        <v>514.61988304093563</v>
      </c>
      <c r="AL115" s="753">
        <f>'[5]véh usagés'!$O$238</f>
        <v>19022.396339746818</v>
      </c>
      <c r="AM115" s="706"/>
      <c r="AN115" s="751">
        <f t="shared" ref="AN115:AN123" si="59">IF(AM$99=0,0,AO115/(AM$97+AM$98))</f>
        <v>514.61988304093575</v>
      </c>
      <c r="AO115" s="753">
        <f>'[5]véh usagés'!$P$238</f>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f>[5]DEPA!$E$10</f>
        <v>1098.2418293695573</v>
      </c>
      <c r="I116" s="711"/>
      <c r="J116" s="748">
        <f t="shared" si="49"/>
        <v>54</v>
      </c>
      <c r="K116" s="749">
        <f>[5]DEPA!$F$10</f>
        <v>1388.2577128622224</v>
      </c>
      <c r="L116" s="711"/>
      <c r="M116" s="748">
        <f t="shared" si="50"/>
        <v>54</v>
      </c>
      <c r="N116" s="749">
        <f>[5]DEPA!$G$10</f>
        <v>1299.7631102689124</v>
      </c>
      <c r="O116" s="711"/>
      <c r="P116" s="748">
        <f t="shared" si="51"/>
        <v>54</v>
      </c>
      <c r="Q116" s="749">
        <f>[5]DEPA!$H$10</f>
        <v>1704.4222113398771</v>
      </c>
      <c r="R116" s="711"/>
      <c r="S116" s="748">
        <f t="shared" si="52"/>
        <v>54</v>
      </c>
      <c r="T116" s="749">
        <f>[5]DEPA!$I$10</f>
        <v>2125.0719441309857</v>
      </c>
      <c r="U116" s="711"/>
      <c r="V116" s="748">
        <f t="shared" si="53"/>
        <v>54</v>
      </c>
      <c r="W116" s="749">
        <f>[5]DEPA!$J$10</f>
        <v>1931.4149083398981</v>
      </c>
      <c r="X116" s="711"/>
      <c r="Y116" s="748">
        <f t="shared" si="54"/>
        <v>54</v>
      </c>
      <c r="Z116" s="749">
        <f>[5]DEPA!$K$10</f>
        <v>1965.1656269295465</v>
      </c>
      <c r="AA116" s="711"/>
      <c r="AB116" s="748">
        <f t="shared" si="55"/>
        <v>54</v>
      </c>
      <c r="AC116" s="749">
        <f>[5]DEPA!$L$10</f>
        <v>2023.9727042391462</v>
      </c>
      <c r="AD116" s="711"/>
      <c r="AE116" s="748">
        <f t="shared" si="56"/>
        <v>53.999999999999993</v>
      </c>
      <c r="AF116" s="749">
        <f>[5]DEPA!$M$10</f>
        <v>1631.2410415823874</v>
      </c>
      <c r="AG116" s="711"/>
      <c r="AH116" s="748">
        <f t="shared" si="57"/>
        <v>54</v>
      </c>
      <c r="AI116" s="749">
        <f>[5]DEPA!$N$10</f>
        <v>2201.6391083100903</v>
      </c>
      <c r="AJ116" s="711"/>
      <c r="AK116" s="748">
        <f t="shared" si="58"/>
        <v>54</v>
      </c>
      <c r="AL116" s="749">
        <f>[5]DEPA!$O$10</f>
        <v>1996.0546341047971</v>
      </c>
      <c r="AM116" s="711"/>
      <c r="AN116" s="748">
        <f t="shared" si="59"/>
        <v>54.000000000000007</v>
      </c>
      <c r="AO116" s="749">
        <f>[5]DEPA!$P$10</f>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f>[5]DEPA!$E$19</f>
        <v>2135.4702237741394</v>
      </c>
      <c r="I117" s="711"/>
      <c r="J117" s="748">
        <f t="shared" si="49"/>
        <v>105</v>
      </c>
      <c r="K117" s="749">
        <f>[5]DEPA!$F$19</f>
        <v>2699.3899972320992</v>
      </c>
      <c r="L117" s="711"/>
      <c r="M117" s="748">
        <f t="shared" si="50"/>
        <v>105</v>
      </c>
      <c r="N117" s="749">
        <f>[5]DEPA!$G$19</f>
        <v>2527.3171588562186</v>
      </c>
      <c r="O117" s="711"/>
      <c r="P117" s="748">
        <f t="shared" si="51"/>
        <v>105</v>
      </c>
      <c r="Q117" s="749">
        <f>[5]DEPA!$H$19</f>
        <v>3314.154299827539</v>
      </c>
      <c r="R117" s="711"/>
      <c r="S117" s="748">
        <f t="shared" si="52"/>
        <v>105</v>
      </c>
      <c r="T117" s="749">
        <f>[5]DEPA!$I$19</f>
        <v>4132.0843358102502</v>
      </c>
      <c r="U117" s="711"/>
      <c r="V117" s="748">
        <f t="shared" si="53"/>
        <v>105</v>
      </c>
      <c r="W117" s="749">
        <f>[5]DEPA!$J$19</f>
        <v>3755.5289884386912</v>
      </c>
      <c r="X117" s="711"/>
      <c r="Y117" s="748">
        <f t="shared" si="54"/>
        <v>105</v>
      </c>
      <c r="Z117" s="749">
        <f>[5]DEPA!$K$19</f>
        <v>3821.1553856963405</v>
      </c>
      <c r="AA117" s="711"/>
      <c r="AB117" s="748">
        <f t="shared" si="55"/>
        <v>105</v>
      </c>
      <c r="AC117" s="749">
        <f>[5]DEPA!$L$19</f>
        <v>3935.5024804650066</v>
      </c>
      <c r="AD117" s="711"/>
      <c r="AE117" s="748">
        <f t="shared" si="56"/>
        <v>105</v>
      </c>
      <c r="AF117" s="749">
        <f>[5]DEPA!$M$19</f>
        <v>3171.8575808546425</v>
      </c>
      <c r="AG117" s="711"/>
      <c r="AH117" s="748">
        <f t="shared" si="57"/>
        <v>105</v>
      </c>
      <c r="AI117" s="749">
        <f>[5]DEPA!$N$19</f>
        <v>4280.9649328251753</v>
      </c>
      <c r="AJ117" s="711"/>
      <c r="AK117" s="748">
        <f t="shared" si="58"/>
        <v>105</v>
      </c>
      <c r="AL117" s="749">
        <f>[5]DEPA!$O$19</f>
        <v>3881.2173440926608</v>
      </c>
      <c r="AM117" s="711"/>
      <c r="AN117" s="748">
        <f t="shared" si="59"/>
        <v>105</v>
      </c>
      <c r="AO117" s="749">
        <f>[5]DEPA!$P$19</f>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f>[5]DEPA!$E$25</f>
        <v>1240.6065109545</v>
      </c>
      <c r="I118" s="706"/>
      <c r="J118" s="751">
        <f t="shared" si="49"/>
        <v>61</v>
      </c>
      <c r="K118" s="753">
        <f>[5]DEPA!$F$25</f>
        <v>1568.217046011029</v>
      </c>
      <c r="L118" s="706"/>
      <c r="M118" s="751">
        <f t="shared" si="50"/>
        <v>61</v>
      </c>
      <c r="N118" s="753">
        <f>[5]DEPA!$G$25</f>
        <v>1468.2509208593269</v>
      </c>
      <c r="O118" s="706"/>
      <c r="P118" s="751">
        <f t="shared" si="51"/>
        <v>61</v>
      </c>
      <c r="Q118" s="753">
        <f>[5]DEPA!$H$25</f>
        <v>1925.3658313283797</v>
      </c>
      <c r="R118" s="706"/>
      <c r="S118" s="751">
        <f t="shared" si="52"/>
        <v>60.999999999999993</v>
      </c>
      <c r="T118" s="753">
        <f>[5]DEPA!$I$25</f>
        <v>2400.5442331850022</v>
      </c>
      <c r="U118" s="706"/>
      <c r="V118" s="751">
        <f t="shared" si="53"/>
        <v>60.999999999999993</v>
      </c>
      <c r="W118" s="753">
        <f>[5]DEPA!$J$25</f>
        <v>2181.7835075691441</v>
      </c>
      <c r="X118" s="706"/>
      <c r="Y118" s="751">
        <f t="shared" si="54"/>
        <v>61</v>
      </c>
      <c r="Z118" s="753">
        <f>[5]DEPA!$K$25</f>
        <v>2219.9093193093026</v>
      </c>
      <c r="AA118" s="706"/>
      <c r="AB118" s="751">
        <f t="shared" si="55"/>
        <v>61</v>
      </c>
      <c r="AC118" s="753">
        <f>[5]DEPA!$L$25</f>
        <v>2286.3395362701467</v>
      </c>
      <c r="AD118" s="706"/>
      <c r="AE118" s="751">
        <f t="shared" si="56"/>
        <v>61</v>
      </c>
      <c r="AF118" s="753">
        <f>[5]DEPA!$M$25</f>
        <v>1842.6982136393638</v>
      </c>
      <c r="AG118" s="706"/>
      <c r="AH118" s="751">
        <f t="shared" si="57"/>
        <v>60.999999999999993</v>
      </c>
      <c r="AI118" s="753">
        <f>[5]DEPA!$N$25</f>
        <v>2487.0367704984351</v>
      </c>
      <c r="AJ118" s="706"/>
      <c r="AK118" s="751">
        <f t="shared" si="58"/>
        <v>61</v>
      </c>
      <c r="AL118" s="753">
        <f>[5]DEPA!$O$25</f>
        <v>2254.8024570443076</v>
      </c>
      <c r="AM118" s="706"/>
      <c r="AN118" s="751">
        <f t="shared" si="59"/>
        <v>61</v>
      </c>
      <c r="AO118" s="753">
        <f>[5]DEPA!$P$25</f>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f>[5]DEPA!$E$35+[5]DEPA!$E$36</f>
        <v>557.47012157472204</v>
      </c>
      <c r="I119" s="711"/>
      <c r="J119" s="748">
        <f t="shared" si="49"/>
        <v>27.410526315789461</v>
      </c>
      <c r="K119" s="749">
        <f>[5]DEPA!$F$35+[5]DEPA!$F$36</f>
        <v>704.68286243532657</v>
      </c>
      <c r="L119" s="711"/>
      <c r="M119" s="748">
        <f t="shared" si="50"/>
        <v>27.410526315789454</v>
      </c>
      <c r="N119" s="749">
        <f>[5]DEPA!$G$35+[5]DEPA!$G$36</f>
        <v>659.76279515404394</v>
      </c>
      <c r="O119" s="711"/>
      <c r="P119" s="748">
        <f t="shared" si="51"/>
        <v>27.410526315789454</v>
      </c>
      <c r="Q119" s="749">
        <f>[5]DEPA!$H$35+[5]DEPA!$H$36</f>
        <v>865.16870142866219</v>
      </c>
      <c r="R119" s="711"/>
      <c r="S119" s="748">
        <f t="shared" si="52"/>
        <v>27.410526315789454</v>
      </c>
      <c r="T119" s="749">
        <f>[5]DEPA!$I$35+[5]DEPA!$I$36</f>
        <v>1078.6914897694119</v>
      </c>
      <c r="U119" s="711"/>
      <c r="V119" s="748">
        <f t="shared" si="53"/>
        <v>27.410526315789468</v>
      </c>
      <c r="W119" s="749">
        <f>[5]DEPA!$J$35+[5]DEPA!$J$36</f>
        <v>980.39072540294228</v>
      </c>
      <c r="X119" s="711"/>
      <c r="Y119" s="748">
        <f t="shared" si="54"/>
        <v>27.410526315789454</v>
      </c>
      <c r="Z119" s="749">
        <f>[5]DEPA!$K$35+[5]DEPA!$K$36</f>
        <v>997.52266910809658</v>
      </c>
      <c r="AA119" s="711"/>
      <c r="AB119" s="748">
        <f t="shared" si="55"/>
        <v>27.410526315789443</v>
      </c>
      <c r="AC119" s="749">
        <f>[5]DEPA!$L$35+[5]DEPA!$L$36</f>
        <v>1027.3732791108637</v>
      </c>
      <c r="AD119" s="711"/>
      <c r="AE119" s="748">
        <f t="shared" si="56"/>
        <v>27.41052631578944</v>
      </c>
      <c r="AF119" s="749">
        <f>[5]DEPA!$M$35+[5]DEPA!$M$36</f>
        <v>828.02176847573719</v>
      </c>
      <c r="AG119" s="711"/>
      <c r="AH119" s="748">
        <f t="shared" si="57"/>
        <v>27.410526315789461</v>
      </c>
      <c r="AI119" s="749">
        <f>[5]DEPA!$N$35+[5]DEPA!$N$36</f>
        <v>1117.5571614112032</v>
      </c>
      <c r="AJ119" s="711"/>
      <c r="AK119" s="748">
        <f t="shared" si="58"/>
        <v>27.410526315789443</v>
      </c>
      <c r="AL119" s="749">
        <f>[5]DEPA!$O$35+[5]DEPA!$O$36</f>
        <v>1013.2020014052409</v>
      </c>
      <c r="AM119" s="711"/>
      <c r="AN119" s="748">
        <f t="shared" si="59"/>
        <v>27.41052631578944</v>
      </c>
      <c r="AO119" s="749">
        <f>[5]DEPA!$P$35+[5]DEPA!$P$36</f>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f>[5]DEPA!$E$47</f>
        <v>1081.4568719840122</v>
      </c>
      <c r="I120" s="711"/>
      <c r="J120" s="748">
        <f t="shared" si="49"/>
        <v>43.606076116015728</v>
      </c>
      <c r="K120" s="749">
        <f>[5]DEPA!$F$47</f>
        <v>1121.0457684391847</v>
      </c>
      <c r="L120" s="711"/>
      <c r="M120" s="748">
        <f t="shared" si="50"/>
        <v>49.005918486367769</v>
      </c>
      <c r="N120" s="749">
        <f>[5]DEPA!$G$47</f>
        <v>1179.5571302486326</v>
      </c>
      <c r="O120" s="711"/>
      <c r="P120" s="748">
        <f t="shared" si="51"/>
        <v>42.343491517432383</v>
      </c>
      <c r="Q120" s="749">
        <f>[5]DEPA!$H$47</f>
        <v>1336.5034712591375</v>
      </c>
      <c r="R120" s="711"/>
      <c r="S120" s="748">
        <f t="shared" si="52"/>
        <v>35.110718730025852</v>
      </c>
      <c r="T120" s="749">
        <f>[5]DEPA!$I$47</f>
        <v>1381.7185798417083</v>
      </c>
      <c r="U120" s="711"/>
      <c r="V120" s="748">
        <f t="shared" si="53"/>
        <v>37.759628304838067</v>
      </c>
      <c r="W120" s="749">
        <f>[5]DEPA!$J$47</f>
        <v>1350.5464637284711</v>
      </c>
      <c r="X120" s="711"/>
      <c r="Y120" s="748">
        <f t="shared" si="54"/>
        <v>37.592671687670652</v>
      </c>
      <c r="Z120" s="749">
        <f>[5]DEPA!$K$47</f>
        <v>1368.070856019591</v>
      </c>
      <c r="AA120" s="711"/>
      <c r="AB120" s="748">
        <f t="shared" si="55"/>
        <v>34.845495532368076</v>
      </c>
      <c r="AC120" s="749">
        <f>[5]DEPA!$L$47</f>
        <v>1306.0431819111132</v>
      </c>
      <c r="AD120" s="711"/>
      <c r="AE120" s="748">
        <f t="shared" si="56"/>
        <v>44.248025096004639</v>
      </c>
      <c r="AF120" s="749">
        <f>[5]DEPA!$M$47</f>
        <v>1336.6517508438931</v>
      </c>
      <c r="AG120" s="711"/>
      <c r="AH120" s="748">
        <f t="shared" si="57"/>
        <v>34.549477003882934</v>
      </c>
      <c r="AI120" s="749">
        <f>[5]DEPA!$N$47</f>
        <v>1408.6199952483109</v>
      </c>
      <c r="AJ120" s="711"/>
      <c r="AK120" s="748">
        <f t="shared" si="58"/>
        <v>32.777189924363412</v>
      </c>
      <c r="AL120" s="749">
        <f>[5]DEPA!$O$47</f>
        <v>1211.5752192862712</v>
      </c>
      <c r="AM120" s="711"/>
      <c r="AN120" s="748">
        <f t="shared" si="59"/>
        <v>48.548804782694084</v>
      </c>
      <c r="AO120" s="749">
        <f>[5]DEPA!$P$47</f>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f>[5]Salaire!$E$40</f>
        <v>6355.5385057471267</v>
      </c>
      <c r="I125" s="711"/>
      <c r="J125" s="733"/>
      <c r="K125" s="749">
        <f>[5]Salaire!$F$40</f>
        <v>6166.1676245210729</v>
      </c>
      <c r="L125" s="711"/>
      <c r="M125" s="733"/>
      <c r="N125" s="749">
        <f>[5]Salaire!$G$40</f>
        <v>6734.2802681992334</v>
      </c>
      <c r="O125" s="711"/>
      <c r="P125" s="733"/>
      <c r="Q125" s="749">
        <f>[5]Salaire!$H$40</f>
        <v>6355.5385057471267</v>
      </c>
      <c r="R125" s="711"/>
      <c r="S125" s="733"/>
      <c r="T125" s="749">
        <f>[5]Salaire!$I$40</f>
        <v>6544.9093869731805</v>
      </c>
      <c r="U125" s="711"/>
      <c r="V125" s="733"/>
      <c r="W125" s="749">
        <f>[5]Salaire!$J$40</f>
        <v>6544.9093869731805</v>
      </c>
      <c r="X125" s="711"/>
      <c r="Y125" s="733"/>
      <c r="Z125" s="749">
        <f>[5]Salaire!$K$40</f>
        <v>6544.9093869731805</v>
      </c>
      <c r="AA125" s="711"/>
      <c r="AB125" s="733"/>
      <c r="AC125" s="749">
        <f>[5]Salaire!$L$40</f>
        <v>6544.9093869731805</v>
      </c>
      <c r="AD125" s="711"/>
      <c r="AE125" s="733"/>
      <c r="AF125" s="749">
        <f>[5]Salaire!$M$40</f>
        <v>6544.9093869731805</v>
      </c>
      <c r="AG125" s="711"/>
      <c r="AH125" s="733"/>
      <c r="AI125" s="749">
        <f>[5]Salaire!$N$40</f>
        <v>6355.5385057471267</v>
      </c>
      <c r="AJ125" s="711"/>
      <c r="AK125" s="733"/>
      <c r="AL125" s="749">
        <f>[5]Salaire!$O$40</f>
        <v>6544.9093869731805</v>
      </c>
      <c r="AM125" s="711"/>
      <c r="AN125" s="733"/>
      <c r="AO125" s="749">
        <f>[5]Salaire!$P$40</f>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f>[5]Salaire!$E$85</f>
        <v>2127.4401145747129</v>
      </c>
      <c r="I126" s="711"/>
      <c r="J126" s="733"/>
      <c r="K126" s="749">
        <f>[5]Salaire!$F$85</f>
        <v>2026.1334424521074</v>
      </c>
      <c r="L126" s="711"/>
      <c r="M126" s="733"/>
      <c r="N126" s="749">
        <f>[5]Salaire!$G$85</f>
        <v>2330.0534588199239</v>
      </c>
      <c r="O126" s="711"/>
      <c r="P126" s="733"/>
      <c r="Q126" s="749">
        <f>[5]Salaire!$H$85</f>
        <v>2127.4401145747129</v>
      </c>
      <c r="R126" s="711"/>
      <c r="S126" s="733"/>
      <c r="T126" s="749">
        <f>[5]Salaire!$I$85</f>
        <v>2228.7467866973179</v>
      </c>
      <c r="U126" s="711"/>
      <c r="V126" s="733"/>
      <c r="W126" s="749">
        <f>[5]Salaire!$J$85</f>
        <v>2228.7467866973179</v>
      </c>
      <c r="X126" s="711"/>
      <c r="Y126" s="733"/>
      <c r="Z126" s="749">
        <f>[5]Salaire!$K$85</f>
        <v>2228.7467866973179</v>
      </c>
      <c r="AA126" s="711"/>
      <c r="AB126" s="733"/>
      <c r="AC126" s="749">
        <f>[5]Salaire!$L$85</f>
        <v>2228.7467866973179</v>
      </c>
      <c r="AD126" s="711"/>
      <c r="AE126" s="733"/>
      <c r="AF126" s="749">
        <f>[5]Salaire!$M$85</f>
        <v>2228.7467866973179</v>
      </c>
      <c r="AG126" s="711"/>
      <c r="AH126" s="733"/>
      <c r="AI126" s="749">
        <f>[5]Salaire!$N$85</f>
        <v>2127.4401145747129</v>
      </c>
      <c r="AJ126" s="711"/>
      <c r="AK126" s="733"/>
      <c r="AL126" s="749">
        <f>[5]Salaire!$O$85</f>
        <v>2228.7467866973179</v>
      </c>
      <c r="AM126" s="711"/>
      <c r="AN126" s="733"/>
      <c r="AO126" s="749">
        <f>[5]Salaire!$P$85</f>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f>[5]Salaire!$E$159</f>
        <v>6708.1630258758623</v>
      </c>
      <c r="I127" s="702"/>
      <c r="J127" s="760"/>
      <c r="K127" s="762">
        <f>[5]Salaire!$F$159</f>
        <v>6388.7266913103458</v>
      </c>
      <c r="L127" s="702"/>
      <c r="M127" s="760"/>
      <c r="N127" s="762">
        <f>[5]Salaire!$G$159</f>
        <v>7347.0356950068963</v>
      </c>
      <c r="O127" s="702"/>
      <c r="P127" s="760"/>
      <c r="Q127" s="762">
        <f>[5]Salaire!$H$159</f>
        <v>6708.1630258758623</v>
      </c>
      <c r="R127" s="702"/>
      <c r="S127" s="760"/>
      <c r="T127" s="762">
        <f>[5]Salaire!$I$159</f>
        <v>7027.5993604413807</v>
      </c>
      <c r="U127" s="702"/>
      <c r="V127" s="760"/>
      <c r="W127" s="762">
        <f>[5]Salaire!$J$159</f>
        <v>7027.5993604413807</v>
      </c>
      <c r="X127" s="702"/>
      <c r="Y127" s="760"/>
      <c r="Z127" s="762">
        <f>[5]Salaire!$K$159</f>
        <v>7027.5993604413807</v>
      </c>
      <c r="AA127" s="702"/>
      <c r="AB127" s="760"/>
      <c r="AC127" s="762">
        <f>[5]Salaire!$L$159</f>
        <v>7027.5993604413807</v>
      </c>
      <c r="AD127" s="702"/>
      <c r="AE127" s="760"/>
      <c r="AF127" s="762">
        <f>[5]Salaire!$M$159</f>
        <v>7027.5993604413807</v>
      </c>
      <c r="AG127" s="702"/>
      <c r="AH127" s="760"/>
      <c r="AI127" s="762">
        <f>[5]Salaire!$N$159</f>
        <v>6708.1630258758623</v>
      </c>
      <c r="AJ127" s="702"/>
      <c r="AK127" s="760"/>
      <c r="AL127" s="762">
        <f>[5]Salaire!$O$159</f>
        <v>7027.5993604413807</v>
      </c>
      <c r="AM127" s="702"/>
      <c r="AN127" s="760"/>
      <c r="AO127" s="762">
        <f>[5]Salaire!$P$159</f>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f>'[5]DAS-VAC'!$E$46</f>
        <v>4379.5591505447674</v>
      </c>
      <c r="I132" s="711"/>
      <c r="J132" s="733"/>
      <c r="K132" s="749">
        <f>'[5]DAS-VAC'!$F$46</f>
        <v>4792.3203040460239</v>
      </c>
      <c r="L132" s="711"/>
      <c r="M132" s="733"/>
      <c r="N132" s="749">
        <f>'[5]DAS-VAC'!$G$46</f>
        <v>4892.9595926355896</v>
      </c>
      <c r="O132" s="711"/>
      <c r="P132" s="733"/>
      <c r="Q132" s="749">
        <f>'[5]DAS-VAC'!$H$46</f>
        <v>5431.4436038133745</v>
      </c>
      <c r="R132" s="711"/>
      <c r="S132" s="733"/>
      <c r="T132" s="749">
        <f>'[5]DAS-VAC'!$I$46</f>
        <v>6217.3166206870619</v>
      </c>
      <c r="U132" s="711"/>
      <c r="V132" s="733"/>
      <c r="W132" s="749">
        <f>'[5]DAS-VAC'!$J$46</f>
        <v>5898.5500720465261</v>
      </c>
      <c r="X132" s="711"/>
      <c r="Y132" s="733"/>
      <c r="Z132" s="749">
        <f>'[5]DAS-VAC'!$K$46</f>
        <v>5974.3965602190747</v>
      </c>
      <c r="AA132" s="711"/>
      <c r="AB132" s="733"/>
      <c r="AC132" s="749">
        <f>'[5]DAS-VAC'!$L$46</f>
        <v>6059.162505954022</v>
      </c>
      <c r="AD132" s="711"/>
      <c r="AE132" s="733"/>
      <c r="AF132" s="749">
        <f>'[5]DAS-VAC'!$M$46</f>
        <v>5377.668444875676</v>
      </c>
      <c r="AG132" s="711"/>
      <c r="AH132" s="733"/>
      <c r="AI132" s="749">
        <f>'[5]DAS-VAC'!$N$46</f>
        <v>6294.2473819980578</v>
      </c>
      <c r="AJ132" s="711"/>
      <c r="AK132" s="733"/>
      <c r="AL132" s="749">
        <f>'[5]DAS-VAC'!$O$46</f>
        <v>6010.7172167083818</v>
      </c>
      <c r="AM132" s="711"/>
      <c r="AN132" s="733"/>
      <c r="AO132" s="749">
        <f>'[5]DAS-VAC'!$P$46</f>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f>'[5]DAS-VAC'!$E$54</f>
        <v>4379.5591505447674</v>
      </c>
      <c r="I133" s="702"/>
      <c r="J133" s="760"/>
      <c r="K133" s="762">
        <f>'[5]DAS-VAC'!$F$54</f>
        <v>4792.3203040460239</v>
      </c>
      <c r="L133" s="702"/>
      <c r="M133" s="760"/>
      <c r="N133" s="762">
        <f>'[5]DAS-VAC'!$G$54</f>
        <v>4892.9595926355896</v>
      </c>
      <c r="O133" s="702"/>
      <c r="P133" s="760"/>
      <c r="Q133" s="762">
        <f>'[5]DAS-VAC'!$H$54</f>
        <v>5431.4436038133745</v>
      </c>
      <c r="R133" s="702"/>
      <c r="S133" s="760"/>
      <c r="T133" s="762">
        <f>'[5]DAS-VAC'!$I$54</f>
        <v>6217.3166206870619</v>
      </c>
      <c r="U133" s="702"/>
      <c r="V133" s="760"/>
      <c r="W133" s="762">
        <f>'[5]DAS-VAC'!$J$54</f>
        <v>5898.5500720465261</v>
      </c>
      <c r="X133" s="702"/>
      <c r="Y133" s="760"/>
      <c r="Z133" s="762">
        <f>'[5]DAS-VAC'!$K$54</f>
        <v>5974.3965602190747</v>
      </c>
      <c r="AA133" s="702"/>
      <c r="AB133" s="760"/>
      <c r="AC133" s="762">
        <f>'[5]DAS-VAC'!$L$54</f>
        <v>6059.162505954022</v>
      </c>
      <c r="AD133" s="702"/>
      <c r="AE133" s="760"/>
      <c r="AF133" s="762">
        <f>'[5]DAS-VAC'!$M$54</f>
        <v>5377.668444875676</v>
      </c>
      <c r="AG133" s="702"/>
      <c r="AH133" s="760"/>
      <c r="AI133" s="762">
        <f>'[5]DAS-VAC'!$N$54</f>
        <v>6294.2473819980578</v>
      </c>
      <c r="AJ133" s="702"/>
      <c r="AK133" s="760"/>
      <c r="AL133" s="762">
        <f>'[5]DAS-VAC'!$O$54</f>
        <v>6010.7172167083818</v>
      </c>
      <c r="AM133" s="702"/>
      <c r="AN133" s="760"/>
      <c r="AO133" s="762">
        <f>'[5]DAS-VAC'!$P$54</f>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f>'[5]DAS-VAC'!$E$62</f>
        <v>3138.6840578904166</v>
      </c>
      <c r="I134" s="711"/>
      <c r="J134" s="733"/>
      <c r="K134" s="749">
        <f>'[5]DAS-VAC'!$F$62</f>
        <v>3434.4962178996507</v>
      </c>
      <c r="L134" s="711"/>
      <c r="M134" s="733"/>
      <c r="N134" s="749">
        <f>'[5]DAS-VAC'!$G$62</f>
        <v>3506.6210413888389</v>
      </c>
      <c r="O134" s="711"/>
      <c r="P134" s="733"/>
      <c r="Q134" s="749">
        <f>'[5]DAS-VAC'!$H$62</f>
        <v>3892.5345827329184</v>
      </c>
      <c r="R134" s="711"/>
      <c r="S134" s="733"/>
      <c r="T134" s="749">
        <f>'[5]DAS-VAC'!$I$62</f>
        <v>4455.7435781590611</v>
      </c>
      <c r="U134" s="711"/>
      <c r="V134" s="733"/>
      <c r="W134" s="749">
        <f>'[5]DAS-VAC'!$J$62</f>
        <v>4227.2942183000105</v>
      </c>
      <c r="X134" s="711"/>
      <c r="Y134" s="733"/>
      <c r="Z134" s="749">
        <f>'[5]DAS-VAC'!$K$62</f>
        <v>4281.6508681570031</v>
      </c>
      <c r="AA134" s="711"/>
      <c r="AB134" s="733"/>
      <c r="AC134" s="749">
        <f>'[5]DAS-VAC'!$L$62</f>
        <v>4342.3997959337157</v>
      </c>
      <c r="AD134" s="711"/>
      <c r="AE134" s="733"/>
      <c r="AF134" s="749">
        <f>'[5]DAS-VAC'!$M$62</f>
        <v>3853.9957188275675</v>
      </c>
      <c r="AG134" s="711"/>
      <c r="AH134" s="733"/>
      <c r="AI134" s="749">
        <f>'[5]DAS-VAC'!$N$62</f>
        <v>4510.8772904319412</v>
      </c>
      <c r="AJ134" s="711"/>
      <c r="AK134" s="733"/>
      <c r="AL134" s="749">
        <f>'[5]DAS-VAC'!$O$62</f>
        <v>4307.6806719743399</v>
      </c>
      <c r="AM134" s="711"/>
      <c r="AN134" s="733"/>
      <c r="AO134" s="749">
        <f>'[5]DAS-VAC'!$P$62</f>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f>'[5]DAS-VAC'!$E$70</f>
        <v>729.9265250907946</v>
      </c>
      <c r="I135" s="711"/>
      <c r="J135" s="733"/>
      <c r="K135" s="749">
        <f>'[5]DAS-VAC'!$F$70</f>
        <v>798.72005067433747</v>
      </c>
      <c r="L135" s="711"/>
      <c r="M135" s="733"/>
      <c r="N135" s="749">
        <f>'[5]DAS-VAC'!$G$70</f>
        <v>815.49326543926497</v>
      </c>
      <c r="O135" s="711"/>
      <c r="P135" s="733"/>
      <c r="Q135" s="749">
        <f>'[5]DAS-VAC'!$H$70</f>
        <v>905.24060063556249</v>
      </c>
      <c r="R135" s="711"/>
      <c r="S135" s="733"/>
      <c r="T135" s="749">
        <f>'[5]DAS-VAC'!$I$70</f>
        <v>1036.2194367811771</v>
      </c>
      <c r="U135" s="711"/>
      <c r="V135" s="733"/>
      <c r="W135" s="749">
        <f>'[5]DAS-VAC'!$J$70</f>
        <v>983.09167867442113</v>
      </c>
      <c r="X135" s="711"/>
      <c r="Y135" s="733"/>
      <c r="Z135" s="749">
        <f>'[5]DAS-VAC'!$K$70</f>
        <v>995.73276003651256</v>
      </c>
      <c r="AA135" s="711"/>
      <c r="AB135" s="733"/>
      <c r="AC135" s="749">
        <f>'[5]DAS-VAC'!$L$70</f>
        <v>1009.8604176590037</v>
      </c>
      <c r="AD135" s="711"/>
      <c r="AE135" s="733"/>
      <c r="AF135" s="749">
        <f>'[5]DAS-VAC'!$M$70</f>
        <v>896.27807414594599</v>
      </c>
      <c r="AG135" s="711"/>
      <c r="AH135" s="733"/>
      <c r="AI135" s="749">
        <f>'[5]DAS-VAC'!$N$70</f>
        <v>1049.0412303330097</v>
      </c>
      <c r="AJ135" s="711"/>
      <c r="AK135" s="733"/>
      <c r="AL135" s="749">
        <f>'[5]DAS-VAC'!$O$70</f>
        <v>1001.7862027847303</v>
      </c>
      <c r="AM135" s="711"/>
      <c r="AN135" s="733"/>
      <c r="AO135" s="749">
        <f>'[5]DAS-VAC'!$P$70</f>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f>[5]DEPA!$E$103</f>
        <v>0</v>
      </c>
      <c r="I138" s="711"/>
      <c r="J138" s="733"/>
      <c r="K138" s="749">
        <f>[5]DEPA!$F$103</f>
        <v>0</v>
      </c>
      <c r="L138" s="711"/>
      <c r="M138" s="733"/>
      <c r="N138" s="749">
        <f>[5]DEPA!$G$103</f>
        <v>0</v>
      </c>
      <c r="O138" s="711"/>
      <c r="P138" s="733"/>
      <c r="Q138" s="749">
        <f>[5]DEPA!$H$103</f>
        <v>0</v>
      </c>
      <c r="R138" s="711"/>
      <c r="S138" s="733"/>
      <c r="T138" s="749">
        <f>[5]DEPA!$I$103</f>
        <v>0</v>
      </c>
      <c r="U138" s="711"/>
      <c r="V138" s="733"/>
      <c r="W138" s="749">
        <f>[5]DEPA!$J$103</f>
        <v>0</v>
      </c>
      <c r="X138" s="711"/>
      <c r="Y138" s="733"/>
      <c r="Z138" s="749">
        <f>[5]DEPA!$K$103</f>
        <v>0</v>
      </c>
      <c r="AA138" s="711"/>
      <c r="AB138" s="733"/>
      <c r="AC138" s="749">
        <f>[5]DEPA!$L$103</f>
        <v>0</v>
      </c>
      <c r="AD138" s="711"/>
      <c r="AE138" s="733"/>
      <c r="AF138" s="749">
        <f>[5]DEPA!$M$103</f>
        <v>0</v>
      </c>
      <c r="AG138" s="711"/>
      <c r="AH138" s="733"/>
      <c r="AI138" s="749">
        <f>[5]DEPA!$N$103</f>
        <v>0</v>
      </c>
      <c r="AJ138" s="711"/>
      <c r="AK138" s="733"/>
      <c r="AL138" s="749">
        <f>[5]DEPA!$O$103</f>
        <v>0</v>
      </c>
      <c r="AM138" s="711"/>
      <c r="AN138" s="733"/>
      <c r="AO138" s="749">
        <f>[5]DEPA!$P$103</f>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f>[5]DEPA!$E$93</f>
        <v>0</v>
      </c>
      <c r="I139" s="711"/>
      <c r="J139" s="733"/>
      <c r="K139" s="749">
        <f>[5]DEPA!$F$93</f>
        <v>0</v>
      </c>
      <c r="L139" s="711"/>
      <c r="M139" s="733"/>
      <c r="N139" s="749">
        <f>[5]DEPA!$G$93</f>
        <v>0</v>
      </c>
      <c r="O139" s="711"/>
      <c r="P139" s="733"/>
      <c r="Q139" s="749">
        <f>[5]DEPA!$H$93</f>
        <v>0</v>
      </c>
      <c r="R139" s="711"/>
      <c r="S139" s="733"/>
      <c r="T139" s="749">
        <f>[5]DEPA!$I$93</f>
        <v>0</v>
      </c>
      <c r="U139" s="711"/>
      <c r="V139" s="733"/>
      <c r="W139" s="749">
        <f>[5]DEPA!$J$93</f>
        <v>0</v>
      </c>
      <c r="X139" s="711"/>
      <c r="Y139" s="733"/>
      <c r="Z139" s="749">
        <f>[5]DEPA!$K$93</f>
        <v>0</v>
      </c>
      <c r="AA139" s="711"/>
      <c r="AB139" s="733"/>
      <c r="AC139" s="749">
        <f>[5]DEPA!$L$93</f>
        <v>0</v>
      </c>
      <c r="AD139" s="711"/>
      <c r="AE139" s="733"/>
      <c r="AF139" s="749">
        <f>[5]DEPA!$M$93</f>
        <v>0</v>
      </c>
      <c r="AG139" s="711"/>
      <c r="AH139" s="733"/>
      <c r="AI139" s="749">
        <f>[5]DEPA!$N$93</f>
        <v>0</v>
      </c>
      <c r="AJ139" s="711"/>
      <c r="AK139" s="733"/>
      <c r="AL139" s="749">
        <f>[5]DEPA!$O$93</f>
        <v>0</v>
      </c>
      <c r="AM139" s="711"/>
      <c r="AN139" s="733"/>
      <c r="AO139" s="749">
        <f>[5]DEPA!$P$93</f>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f>[5]DEPA!$E$116</f>
        <v>215.04</v>
      </c>
      <c r="I140" s="765"/>
      <c r="J140" s="766"/>
      <c r="K140" s="768">
        <f>[5]DEPA!$F$116</f>
        <v>215.04</v>
      </c>
      <c r="L140" s="765"/>
      <c r="M140" s="766"/>
      <c r="N140" s="768">
        <f>[5]DEPA!$G$116</f>
        <v>215.04</v>
      </c>
      <c r="O140" s="765"/>
      <c r="P140" s="766"/>
      <c r="Q140" s="768">
        <f>[5]DEPA!$H$116</f>
        <v>215.04</v>
      </c>
      <c r="R140" s="765"/>
      <c r="S140" s="766"/>
      <c r="T140" s="768">
        <f>[5]DEPA!$I$116</f>
        <v>215.04</v>
      </c>
      <c r="U140" s="765"/>
      <c r="V140" s="766"/>
      <c r="W140" s="768">
        <f>[5]DEPA!$J$116</f>
        <v>215.04</v>
      </c>
      <c r="X140" s="765"/>
      <c r="Y140" s="766"/>
      <c r="Z140" s="768">
        <f>[5]DEPA!$K$116</f>
        <v>215.04</v>
      </c>
      <c r="AA140" s="765"/>
      <c r="AB140" s="766"/>
      <c r="AC140" s="768">
        <f>[5]DEPA!$L$116</f>
        <v>215.04</v>
      </c>
      <c r="AD140" s="765"/>
      <c r="AE140" s="766"/>
      <c r="AF140" s="768">
        <f>[5]DEPA!$M$116</f>
        <v>215.04</v>
      </c>
      <c r="AG140" s="765"/>
      <c r="AH140" s="766"/>
      <c r="AI140" s="768">
        <f>[5]DEPA!$N$116</f>
        <v>215.04</v>
      </c>
      <c r="AJ140" s="765"/>
      <c r="AK140" s="766"/>
      <c r="AL140" s="768">
        <f>[5]DEPA!$O$116</f>
        <v>215.04</v>
      </c>
      <c r="AM140" s="765"/>
      <c r="AN140" s="766"/>
      <c r="AO140" s="768">
        <f>[5]DEPA!$P$116</f>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f>[5]DEPA!$E$134</f>
        <v>2662.7736</v>
      </c>
      <c r="I141" s="711"/>
      <c r="J141" s="733"/>
      <c r="K141" s="749">
        <f>[5]DEPA!$F$134</f>
        <v>2662.7736</v>
      </c>
      <c r="L141" s="711"/>
      <c r="M141" s="733"/>
      <c r="N141" s="749">
        <f>[5]DEPA!$G$134</f>
        <v>2662.7736</v>
      </c>
      <c r="O141" s="711"/>
      <c r="P141" s="733"/>
      <c r="Q141" s="749">
        <f>[5]DEPA!$H$134</f>
        <v>2662.7736</v>
      </c>
      <c r="R141" s="711"/>
      <c r="S141" s="733"/>
      <c r="T141" s="749">
        <f>[5]DEPA!$I$134</f>
        <v>2662.7736</v>
      </c>
      <c r="U141" s="711"/>
      <c r="V141" s="733"/>
      <c r="W141" s="749">
        <f>[5]DEPA!$J$134</f>
        <v>2662.7736</v>
      </c>
      <c r="X141" s="711"/>
      <c r="Y141" s="733"/>
      <c r="Z141" s="749">
        <f>[5]DEPA!$K$134</f>
        <v>2662.7736</v>
      </c>
      <c r="AA141" s="711"/>
      <c r="AB141" s="733"/>
      <c r="AC141" s="749">
        <f>[5]DEPA!$L$134</f>
        <v>2662.7736</v>
      </c>
      <c r="AD141" s="711"/>
      <c r="AE141" s="733"/>
      <c r="AF141" s="749">
        <f>[5]DEPA!$M$134</f>
        <v>2662.7736</v>
      </c>
      <c r="AG141" s="711"/>
      <c r="AH141" s="733"/>
      <c r="AI141" s="749">
        <f>[5]DEPA!$N$134</f>
        <v>2662.7736</v>
      </c>
      <c r="AJ141" s="711"/>
      <c r="AK141" s="733"/>
      <c r="AL141" s="749">
        <f>[5]DEPA!$O$134</f>
        <v>2662.7736</v>
      </c>
      <c r="AM141" s="711"/>
      <c r="AN141" s="733"/>
      <c r="AO141" s="749">
        <f>[5]DEPA!$P$134</f>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f>[5]DEPA!$E$151</f>
        <v>598.68629999999996</v>
      </c>
      <c r="I142" s="711"/>
      <c r="J142" s="733"/>
      <c r="K142" s="749">
        <f>[5]DEPA!$F$151</f>
        <v>598.68629999999996</v>
      </c>
      <c r="L142" s="711"/>
      <c r="M142" s="733"/>
      <c r="N142" s="749">
        <f>[5]DEPA!$G$151</f>
        <v>598.68629999999996</v>
      </c>
      <c r="O142" s="711"/>
      <c r="P142" s="733"/>
      <c r="Q142" s="749">
        <f>[5]DEPA!$H$151</f>
        <v>598.68629999999996</v>
      </c>
      <c r="R142" s="711"/>
      <c r="S142" s="733"/>
      <c r="T142" s="749">
        <f>[5]DEPA!$I$151</f>
        <v>598.68629999999996</v>
      </c>
      <c r="U142" s="711"/>
      <c r="V142" s="733"/>
      <c r="W142" s="749">
        <f>[5]DEPA!$J$151</f>
        <v>598.68629999999996</v>
      </c>
      <c r="X142" s="711"/>
      <c r="Y142" s="733"/>
      <c r="Z142" s="749">
        <f>[5]DEPA!$K$151</f>
        <v>598.68629999999996</v>
      </c>
      <c r="AA142" s="711"/>
      <c r="AB142" s="733"/>
      <c r="AC142" s="749">
        <f>[5]DEPA!$L$151</f>
        <v>598.68629999999996</v>
      </c>
      <c r="AD142" s="711"/>
      <c r="AE142" s="733"/>
      <c r="AF142" s="749">
        <f>[5]DEPA!$M$151</f>
        <v>598.68629999999996</v>
      </c>
      <c r="AG142" s="711"/>
      <c r="AH142" s="733"/>
      <c r="AI142" s="749">
        <f>[5]DEPA!$N$151</f>
        <v>598.68629999999996</v>
      </c>
      <c r="AJ142" s="711"/>
      <c r="AK142" s="733"/>
      <c r="AL142" s="749">
        <f>[5]DEPA!$O$151</f>
        <v>598.68629999999996</v>
      </c>
      <c r="AM142" s="711"/>
      <c r="AN142" s="733"/>
      <c r="AO142" s="749">
        <f>[5]DEPA!$P$151</f>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f>[5]DEPA!$E$182</f>
        <v>2766.5604999999996</v>
      </c>
      <c r="I143" s="765"/>
      <c r="J143" s="766"/>
      <c r="K143" s="768">
        <f>[5]DEPA!$F$182</f>
        <v>2766.5604999999996</v>
      </c>
      <c r="L143" s="765"/>
      <c r="M143" s="766"/>
      <c r="N143" s="768">
        <f>[5]DEPA!$G$182</f>
        <v>2766.5604999999996</v>
      </c>
      <c r="O143" s="765"/>
      <c r="P143" s="766"/>
      <c r="Q143" s="768">
        <f>[5]DEPA!$H$182</f>
        <v>2934.5604999999996</v>
      </c>
      <c r="R143" s="765"/>
      <c r="S143" s="766"/>
      <c r="T143" s="768">
        <f>[5]DEPA!$I$182</f>
        <v>2934.5604999999996</v>
      </c>
      <c r="U143" s="765"/>
      <c r="V143" s="766"/>
      <c r="W143" s="768">
        <f>[5]DEPA!$J$182</f>
        <v>2766.5604999999996</v>
      </c>
      <c r="X143" s="765"/>
      <c r="Y143" s="766"/>
      <c r="Z143" s="768">
        <f>[5]DEPA!$K$182</f>
        <v>2766.5604999999996</v>
      </c>
      <c r="AA143" s="765"/>
      <c r="AB143" s="766"/>
      <c r="AC143" s="768">
        <f>[5]DEPA!$L$182</f>
        <v>2766.5604999999996</v>
      </c>
      <c r="AD143" s="765"/>
      <c r="AE143" s="766"/>
      <c r="AF143" s="768">
        <f>[5]DEPA!$M$182</f>
        <v>2766.5604999999996</v>
      </c>
      <c r="AG143" s="765"/>
      <c r="AH143" s="766"/>
      <c r="AI143" s="768">
        <f>[5]DEPA!$N$182</f>
        <v>2934.5604999999996</v>
      </c>
      <c r="AJ143" s="765"/>
      <c r="AK143" s="766"/>
      <c r="AL143" s="768">
        <f>[5]DEPA!$O$182</f>
        <v>2934.5604999999996</v>
      </c>
      <c r="AM143" s="765"/>
      <c r="AN143" s="766"/>
      <c r="AO143" s="768">
        <f>[5]DEPA!$P$182</f>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f>[5]DEPA!$E$73</f>
        <v>81.351246619967213</v>
      </c>
      <c r="I144" s="711"/>
      <c r="J144" s="733"/>
      <c r="K144" s="749">
        <f>[5]DEPA!$F$73</f>
        <v>102.83390465646092</v>
      </c>
      <c r="L144" s="711"/>
      <c r="M144" s="733"/>
      <c r="N144" s="749">
        <f>[5]DEPA!$G$73</f>
        <v>96.278748908808325</v>
      </c>
      <c r="O144" s="711"/>
      <c r="P144" s="733"/>
      <c r="Q144" s="749">
        <f>[5]DEPA!$H$73</f>
        <v>126.25349713628719</v>
      </c>
      <c r="R144" s="711"/>
      <c r="S144" s="733"/>
      <c r="T144" s="749">
        <f>[5]DEPA!$I$73</f>
        <v>157.41273660229524</v>
      </c>
      <c r="U144" s="711"/>
      <c r="V144" s="733"/>
      <c r="W144" s="749">
        <f>[5]DEPA!$J$73</f>
        <v>143.06777098814061</v>
      </c>
      <c r="X144" s="711"/>
      <c r="Y144" s="733"/>
      <c r="Z144" s="749">
        <f>[5]DEPA!$K$73</f>
        <v>145.56782421700345</v>
      </c>
      <c r="AA144" s="711"/>
      <c r="AB144" s="733"/>
      <c r="AC144" s="749">
        <f>[5]DEPA!$L$73</f>
        <v>149.92390401771453</v>
      </c>
      <c r="AD144" s="711"/>
      <c r="AE144" s="733"/>
      <c r="AF144" s="749">
        <f>[5]DEPA!$M$73</f>
        <v>120.83266974684352</v>
      </c>
      <c r="AG144" s="711"/>
      <c r="AH144" s="733"/>
      <c r="AI144" s="749">
        <f>[5]DEPA!$N$73</f>
        <v>163.08437839334002</v>
      </c>
      <c r="AJ144" s="711"/>
      <c r="AK144" s="733"/>
      <c r="AL144" s="749">
        <f>[5]DEPA!$O$73</f>
        <v>147.85589882257756</v>
      </c>
      <c r="AM144" s="711"/>
      <c r="AN144" s="733"/>
      <c r="AO144" s="749">
        <f>[5]DEPA!$P$73</f>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f>[5]DEPA!$E$82</f>
        <v>10</v>
      </c>
      <c r="I145" s="711"/>
      <c r="J145" s="733"/>
      <c r="K145" s="749">
        <f>[5]DEPA!$F$82</f>
        <v>10</v>
      </c>
      <c r="L145" s="711"/>
      <c r="M145" s="733"/>
      <c r="N145" s="749">
        <f>[5]DEPA!$G$82</f>
        <v>10</v>
      </c>
      <c r="O145" s="711"/>
      <c r="P145" s="733"/>
      <c r="Q145" s="749">
        <f>[5]DEPA!$H$82</f>
        <v>10</v>
      </c>
      <c r="R145" s="711"/>
      <c r="S145" s="733"/>
      <c r="T145" s="749">
        <f>[5]DEPA!$I$82</f>
        <v>10</v>
      </c>
      <c r="U145" s="711"/>
      <c r="V145" s="733"/>
      <c r="W145" s="749">
        <f>[5]DEPA!$J$82</f>
        <v>10</v>
      </c>
      <c r="X145" s="711"/>
      <c r="Y145" s="733"/>
      <c r="Z145" s="749">
        <f>[5]DEPA!$K$82</f>
        <v>10</v>
      </c>
      <c r="AA145" s="711"/>
      <c r="AB145" s="733"/>
      <c r="AC145" s="749">
        <f>[5]DEPA!$L$82</f>
        <v>10</v>
      </c>
      <c r="AD145" s="711"/>
      <c r="AE145" s="733"/>
      <c r="AF145" s="749">
        <f>[5]DEPA!$M$82</f>
        <v>10</v>
      </c>
      <c r="AG145" s="711"/>
      <c r="AH145" s="733"/>
      <c r="AI145" s="749">
        <f>[5]DEPA!$N$82</f>
        <v>10</v>
      </c>
      <c r="AJ145" s="711"/>
      <c r="AK145" s="733"/>
      <c r="AL145" s="749">
        <f>[5]DEPA!$O$82</f>
        <v>10</v>
      </c>
      <c r="AM145" s="711"/>
      <c r="AN145" s="733"/>
      <c r="AO145" s="749">
        <f>[5]DEPA!$P$82</f>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f>[5]DEPA!$E$64</f>
        <v>261.59999999999997</v>
      </c>
      <c r="I146" s="711"/>
      <c r="J146" s="733"/>
      <c r="K146" s="749">
        <f>[5]DEPA!$F$64</f>
        <v>261.59999999999997</v>
      </c>
      <c r="L146" s="711"/>
      <c r="M146" s="733"/>
      <c r="N146" s="749">
        <f>[5]DEPA!$G$64</f>
        <v>261.59999999999997</v>
      </c>
      <c r="O146" s="711"/>
      <c r="P146" s="733"/>
      <c r="Q146" s="749">
        <f>[5]DEPA!$H$64</f>
        <v>261.59999999999997</v>
      </c>
      <c r="R146" s="711"/>
      <c r="S146" s="733"/>
      <c r="T146" s="749">
        <f>[5]DEPA!$I$64</f>
        <v>261.59999999999997</v>
      </c>
      <c r="U146" s="711"/>
      <c r="V146" s="733"/>
      <c r="W146" s="749">
        <f>[5]DEPA!$J$64</f>
        <v>261.59999999999997</v>
      </c>
      <c r="X146" s="711"/>
      <c r="Y146" s="733"/>
      <c r="Z146" s="749">
        <f>[5]DEPA!$K$64</f>
        <v>261.59999999999997</v>
      </c>
      <c r="AA146" s="711"/>
      <c r="AB146" s="733"/>
      <c r="AC146" s="749">
        <f>[5]DEPA!$L$64</f>
        <v>261.59999999999997</v>
      </c>
      <c r="AD146" s="711"/>
      <c r="AE146" s="733"/>
      <c r="AF146" s="749">
        <f>[5]DEPA!$M$64</f>
        <v>261.59999999999997</v>
      </c>
      <c r="AG146" s="711"/>
      <c r="AH146" s="733"/>
      <c r="AI146" s="749">
        <f>[5]DEPA!$N$64</f>
        <v>261.59999999999997</v>
      </c>
      <c r="AJ146" s="711"/>
      <c r="AK146" s="733"/>
      <c r="AL146" s="749">
        <f>[5]DEPA!$O$64</f>
        <v>261.59999999999997</v>
      </c>
      <c r="AM146" s="711"/>
      <c r="AN146" s="733"/>
      <c r="AO146" s="749">
        <f>[5]DEPA!$P$64</f>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f>[5]DEPA!$E$161</f>
        <v>268.09199999999998</v>
      </c>
      <c r="I147" s="711"/>
      <c r="J147" s="733"/>
      <c r="K147" s="749">
        <f>[5]DEPA!$F$161</f>
        <v>268.09199999999998</v>
      </c>
      <c r="L147" s="711"/>
      <c r="M147" s="733"/>
      <c r="N147" s="749">
        <f>[5]DEPA!$G$161</f>
        <v>268.09199999999998</v>
      </c>
      <c r="O147" s="711"/>
      <c r="P147" s="733"/>
      <c r="Q147" s="749">
        <f>[5]DEPA!$H$161</f>
        <v>268.09199999999998</v>
      </c>
      <c r="R147" s="711"/>
      <c r="S147" s="733"/>
      <c r="T147" s="749">
        <f>[5]DEPA!$I$161</f>
        <v>268.09199999999998</v>
      </c>
      <c r="U147" s="711"/>
      <c r="V147" s="733"/>
      <c r="W147" s="749">
        <f>[5]DEPA!$J$161</f>
        <v>268.09199999999998</v>
      </c>
      <c r="X147" s="711"/>
      <c r="Y147" s="733"/>
      <c r="Z147" s="749">
        <f>[5]DEPA!$K$161</f>
        <v>268.09199999999998</v>
      </c>
      <c r="AA147" s="711"/>
      <c r="AB147" s="733"/>
      <c r="AC147" s="749">
        <f>[5]DEPA!$L$161</f>
        <v>268.09199999999998</v>
      </c>
      <c r="AD147" s="711"/>
      <c r="AE147" s="733"/>
      <c r="AF147" s="749">
        <f>[5]DEPA!$M$161</f>
        <v>268.09199999999998</v>
      </c>
      <c r="AG147" s="711"/>
      <c r="AH147" s="733"/>
      <c r="AI147" s="749">
        <f>[5]DEPA!$N$161</f>
        <v>268.09199999999998</v>
      </c>
      <c r="AJ147" s="711"/>
      <c r="AK147" s="733"/>
      <c r="AL147" s="749">
        <f>[5]DEPA!$O$161</f>
        <v>268.09199999999998</v>
      </c>
      <c r="AM147" s="711"/>
      <c r="AN147" s="733"/>
      <c r="AO147" s="749">
        <f>[5]DEPA!$P$161</f>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f>[5]DEPA!$E$171</f>
        <v>103.8</v>
      </c>
      <c r="I148" s="711"/>
      <c r="J148" s="733"/>
      <c r="K148" s="749">
        <f>[5]DEPA!$F$171</f>
        <v>103.8</v>
      </c>
      <c r="L148" s="711"/>
      <c r="M148" s="733"/>
      <c r="N148" s="749">
        <f>[5]DEPA!$G$171</f>
        <v>103.8</v>
      </c>
      <c r="O148" s="711"/>
      <c r="P148" s="733"/>
      <c r="Q148" s="749">
        <f>[5]DEPA!$H$171</f>
        <v>103.8</v>
      </c>
      <c r="R148" s="711"/>
      <c r="S148" s="733"/>
      <c r="T148" s="749">
        <f>[5]DEPA!$I$171</f>
        <v>103.8</v>
      </c>
      <c r="U148" s="711"/>
      <c r="V148" s="733"/>
      <c r="W148" s="749">
        <f>[5]DEPA!$J$171</f>
        <v>103.8</v>
      </c>
      <c r="X148" s="711"/>
      <c r="Y148" s="733"/>
      <c r="Z148" s="749">
        <f>[5]DEPA!$K$171</f>
        <v>103.8</v>
      </c>
      <c r="AA148" s="711"/>
      <c r="AB148" s="733"/>
      <c r="AC148" s="749">
        <f>[5]DEPA!$L$171</f>
        <v>103.8</v>
      </c>
      <c r="AD148" s="711"/>
      <c r="AE148" s="733"/>
      <c r="AF148" s="749">
        <f>[5]DEPA!$M$171</f>
        <v>103.8</v>
      </c>
      <c r="AG148" s="711"/>
      <c r="AH148" s="733"/>
      <c r="AI148" s="749">
        <f>[5]DEPA!$N$171</f>
        <v>103.8</v>
      </c>
      <c r="AJ148" s="711"/>
      <c r="AK148" s="733"/>
      <c r="AL148" s="749">
        <f>[5]DEPA!$O$171</f>
        <v>103.8</v>
      </c>
      <c r="AM148" s="711"/>
      <c r="AN148" s="733"/>
      <c r="AO148" s="749">
        <f>[5]DEPA!$P$171</f>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f>[5]DEPA!$E$214</f>
        <v>430.91999999999996</v>
      </c>
      <c r="I149" s="711"/>
      <c r="J149" s="733"/>
      <c r="K149" s="749">
        <f>[5]DEPA!$F$214</f>
        <v>430.91999999999996</v>
      </c>
      <c r="L149" s="711"/>
      <c r="M149" s="733"/>
      <c r="N149" s="749">
        <f>[5]DEPA!$G$214</f>
        <v>430.91999999999996</v>
      </c>
      <c r="O149" s="711"/>
      <c r="P149" s="733"/>
      <c r="Q149" s="749">
        <f>[5]DEPA!$H$214</f>
        <v>430.91999999999996</v>
      </c>
      <c r="R149" s="711"/>
      <c r="S149" s="733"/>
      <c r="T149" s="749">
        <f>[5]DEPA!$I$214</f>
        <v>430.91999999999996</v>
      </c>
      <c r="U149" s="711"/>
      <c r="V149" s="733"/>
      <c r="W149" s="749">
        <f>[5]DEPA!$J$214</f>
        <v>430.91999999999996</v>
      </c>
      <c r="X149" s="711"/>
      <c r="Y149" s="733"/>
      <c r="Z149" s="749">
        <f>[5]DEPA!$K$214</f>
        <v>430.91999999999996</v>
      </c>
      <c r="AA149" s="711"/>
      <c r="AB149" s="733"/>
      <c r="AC149" s="749">
        <f>[5]DEPA!$L$214</f>
        <v>430.91999999999996</v>
      </c>
      <c r="AD149" s="711"/>
      <c r="AE149" s="733"/>
      <c r="AF149" s="749">
        <f>[5]DEPA!$M$214</f>
        <v>430.91999999999996</v>
      </c>
      <c r="AG149" s="711"/>
      <c r="AH149" s="733"/>
      <c r="AI149" s="749">
        <f>[5]DEPA!$N$214</f>
        <v>430.91999999999996</v>
      </c>
      <c r="AJ149" s="711"/>
      <c r="AK149" s="733"/>
      <c r="AL149" s="749">
        <f>[5]DEPA!$O$214</f>
        <v>430.91999999999996</v>
      </c>
      <c r="AM149" s="711"/>
      <c r="AN149" s="733"/>
      <c r="AO149" s="749">
        <f>[5]DEPA!$P$214</f>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f>[5]DEPA!$E$230</f>
        <v>70.63</v>
      </c>
      <c r="I150" s="711"/>
      <c r="J150" s="733"/>
      <c r="K150" s="749">
        <f>[5]DEPA!$F$230</f>
        <v>70.63</v>
      </c>
      <c r="L150" s="711"/>
      <c r="M150" s="733"/>
      <c r="N150" s="749">
        <f>[5]DEPA!$G$230</f>
        <v>70.63</v>
      </c>
      <c r="O150" s="711"/>
      <c r="P150" s="733"/>
      <c r="Q150" s="749">
        <f>[5]DEPA!$H$230</f>
        <v>70.63</v>
      </c>
      <c r="R150" s="711"/>
      <c r="S150" s="733"/>
      <c r="T150" s="749">
        <f>[5]DEPA!$I$230</f>
        <v>70.63</v>
      </c>
      <c r="U150" s="711"/>
      <c r="V150" s="733"/>
      <c r="W150" s="749">
        <f>[5]DEPA!$J$230</f>
        <v>70.63</v>
      </c>
      <c r="X150" s="711"/>
      <c r="Y150" s="733"/>
      <c r="Z150" s="749">
        <f>[5]DEPA!$K$230</f>
        <v>70.63</v>
      </c>
      <c r="AA150" s="711"/>
      <c r="AB150" s="733"/>
      <c r="AC150" s="749">
        <f>[5]DEPA!$L$230</f>
        <v>70.63</v>
      </c>
      <c r="AD150" s="711"/>
      <c r="AE150" s="733"/>
      <c r="AF150" s="749">
        <f>[5]DEPA!$M$230</f>
        <v>70.63</v>
      </c>
      <c r="AG150" s="711"/>
      <c r="AH150" s="733"/>
      <c r="AI150" s="749">
        <f>[5]DEPA!$N$230</f>
        <v>70.63</v>
      </c>
      <c r="AJ150" s="711"/>
      <c r="AK150" s="733"/>
      <c r="AL150" s="749">
        <f>[5]DEPA!$O$230</f>
        <v>70.63</v>
      </c>
      <c r="AM150" s="711"/>
      <c r="AN150" s="733"/>
      <c r="AO150" s="749">
        <f>[5]DEPA!$P$230</f>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f>[5]DEPA!$E$241</f>
        <v>782.87768732213056</v>
      </c>
      <c r="I151" s="711"/>
      <c r="J151" s="733"/>
      <c r="K151" s="749">
        <f>[5]DEPA!$F$241</f>
        <v>675.2802688246818</v>
      </c>
      <c r="L151" s="711"/>
      <c r="M151" s="733"/>
      <c r="N151" s="749">
        <f>[5]DEPA!$G$241</f>
        <v>781.24280904704108</v>
      </c>
      <c r="O151" s="711"/>
      <c r="P151" s="733"/>
      <c r="Q151" s="749">
        <f>[5]DEPA!$H$241</f>
        <v>1501.8697659349984</v>
      </c>
      <c r="R151" s="711"/>
      <c r="S151" s="733"/>
      <c r="T151" s="749">
        <f>[5]DEPA!$I$241</f>
        <v>1376.496525145353</v>
      </c>
      <c r="U151" s="711"/>
      <c r="V151" s="733"/>
      <c r="W151" s="749">
        <f>[5]DEPA!$J$241</f>
        <v>909.82048235324567</v>
      </c>
      <c r="X151" s="711"/>
      <c r="Y151" s="733"/>
      <c r="Z151" s="749">
        <f>[5]DEPA!$K$241</f>
        <v>857.76673390951987</v>
      </c>
      <c r="AA151" s="711"/>
      <c r="AB151" s="733"/>
      <c r="AC151" s="749">
        <f>[5]DEPA!$L$241</f>
        <v>945.44252692843224</v>
      </c>
      <c r="AD151" s="711"/>
      <c r="AE151" s="733"/>
      <c r="AF151" s="749">
        <f>[5]DEPA!$M$241</f>
        <v>715.98450716078355</v>
      </c>
      <c r="AG151" s="711"/>
      <c r="AH151" s="733"/>
      <c r="AI151" s="749">
        <f>[5]DEPA!$N$241</f>
        <v>1342.1408765660528</v>
      </c>
      <c r="AJ151" s="711"/>
      <c r="AK151" s="733"/>
      <c r="AL151" s="749">
        <f>[5]DEPA!$O$241</f>
        <v>1953.0486479255346</v>
      </c>
      <c r="AM151" s="711"/>
      <c r="AN151" s="733"/>
      <c r="AO151" s="749">
        <f>[5]DEPA!$P$241</f>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f>'[5]véh usagés'!$E$111</f>
        <v>0</v>
      </c>
      <c r="I158" s="788"/>
      <c r="J158" s="798"/>
      <c r="K158" s="749">
        <f>'[5]véh usagés'!$F$111</f>
        <v>0</v>
      </c>
      <c r="L158" s="788"/>
      <c r="M158" s="798"/>
      <c r="N158" s="749">
        <f>'[5]véh usagés'!$G$111</f>
        <v>8500</v>
      </c>
      <c r="O158" s="788"/>
      <c r="P158" s="798"/>
      <c r="Q158" s="749">
        <f>'[5]véh usagés'!$H$111</f>
        <v>0</v>
      </c>
      <c r="R158" s="788"/>
      <c r="S158" s="798"/>
      <c r="T158" s="749">
        <f>'[5]véh usagés'!$I$111</f>
        <v>0</v>
      </c>
      <c r="U158" s="788"/>
      <c r="V158" s="798"/>
      <c r="W158" s="749">
        <f>'[5]véh usagés'!$J$111</f>
        <v>8500</v>
      </c>
      <c r="X158" s="788"/>
      <c r="Y158" s="798"/>
      <c r="Z158" s="749">
        <f>'[5]véh usagés'!$K$111</f>
        <v>0</v>
      </c>
      <c r="AA158" s="788"/>
      <c r="AB158" s="798"/>
      <c r="AC158" s="749">
        <f>'[5]véh usagés'!$L$111</f>
        <v>0</v>
      </c>
      <c r="AD158" s="788"/>
      <c r="AE158" s="798"/>
      <c r="AF158" s="749">
        <f>'[5]véh usagés'!$M$111</f>
        <v>8500</v>
      </c>
      <c r="AG158" s="788"/>
      <c r="AH158" s="798"/>
      <c r="AI158" s="749">
        <f>'[5]véh usagés'!$N$111</f>
        <v>0</v>
      </c>
      <c r="AJ158" s="788"/>
      <c r="AK158" s="798"/>
      <c r="AL158" s="749">
        <f>'[5]véh usagés'!$O$111</f>
        <v>0</v>
      </c>
      <c r="AM158" s="788"/>
      <c r="AN158" s="798"/>
      <c r="AO158" s="749">
        <f>'[5]véh usagés'!$P$111</f>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f>'[5]véh usagés'!$E$116</f>
        <v>0</v>
      </c>
      <c r="I159" s="788"/>
      <c r="J159" s="798"/>
      <c r="K159" s="749">
        <f>'[5]véh usagés'!$F$116</f>
        <v>0</v>
      </c>
      <c r="L159" s="788"/>
      <c r="M159" s="798"/>
      <c r="N159" s="749">
        <f>'[5]véh usagés'!$G$116</f>
        <v>0</v>
      </c>
      <c r="O159" s="788"/>
      <c r="P159" s="798"/>
      <c r="Q159" s="749">
        <f>'[5]véh usagés'!$H$116</f>
        <v>0</v>
      </c>
      <c r="R159" s="788"/>
      <c r="S159" s="798"/>
      <c r="T159" s="749">
        <f>'[5]véh usagés'!$I$116</f>
        <v>0</v>
      </c>
      <c r="U159" s="788"/>
      <c r="V159" s="798"/>
      <c r="W159" s="749">
        <f>'[5]véh usagés'!$J$116</f>
        <v>0</v>
      </c>
      <c r="X159" s="788"/>
      <c r="Y159" s="798"/>
      <c r="Z159" s="749">
        <f>'[5]véh usagés'!$K$116</f>
        <v>0</v>
      </c>
      <c r="AA159" s="788"/>
      <c r="AB159" s="798"/>
      <c r="AC159" s="749">
        <f>'[5]véh usagés'!$L$116</f>
        <v>0</v>
      </c>
      <c r="AD159" s="788"/>
      <c r="AE159" s="798"/>
      <c r="AF159" s="749">
        <f>'[5]véh usagés'!$M$116</f>
        <v>0</v>
      </c>
      <c r="AG159" s="788"/>
      <c r="AH159" s="798"/>
      <c r="AI159" s="749">
        <f>'[5]véh usagés'!$N$116</f>
        <v>0</v>
      </c>
      <c r="AJ159" s="788"/>
      <c r="AK159" s="798"/>
      <c r="AL159" s="749">
        <f>'[5]véh usagés'!$O$116</f>
        <v>0</v>
      </c>
      <c r="AM159" s="788"/>
      <c r="AN159" s="798"/>
      <c r="AO159" s="749">
        <f>'[5]véh usagés'!$P$116</f>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f>'[5]véh usagés'!$E$125</f>
        <v>0</v>
      </c>
      <c r="I160" s="711"/>
      <c r="J160" s="733"/>
      <c r="K160" s="749">
        <f>'[5]véh usagés'!$F$125</f>
        <v>0</v>
      </c>
      <c r="L160" s="711"/>
      <c r="M160" s="733"/>
      <c r="N160" s="749">
        <f>'[5]véh usagés'!$G$125</f>
        <v>0</v>
      </c>
      <c r="O160" s="711"/>
      <c r="P160" s="733"/>
      <c r="Q160" s="749">
        <f>'[5]véh usagés'!$H$125</f>
        <v>0</v>
      </c>
      <c r="R160" s="711"/>
      <c r="S160" s="733"/>
      <c r="T160" s="749">
        <f>'[5]véh usagés'!$I$125</f>
        <v>0</v>
      </c>
      <c r="U160" s="711"/>
      <c r="V160" s="733"/>
      <c r="W160" s="749">
        <f>'[5]véh usagés'!$J$125</f>
        <v>0</v>
      </c>
      <c r="X160" s="711"/>
      <c r="Y160" s="733"/>
      <c r="Z160" s="749">
        <f>'[5]véh usagés'!$K$125</f>
        <v>0</v>
      </c>
      <c r="AA160" s="711"/>
      <c r="AB160" s="733"/>
      <c r="AC160" s="749">
        <f>'[5]véh usagés'!$L$125</f>
        <v>0</v>
      </c>
      <c r="AD160" s="711"/>
      <c r="AE160" s="733"/>
      <c r="AF160" s="749">
        <f>'[5]véh usagés'!$M$125</f>
        <v>0</v>
      </c>
      <c r="AG160" s="711"/>
      <c r="AH160" s="733"/>
      <c r="AI160" s="749">
        <f>'[5]véh usagés'!$N$125</f>
        <v>0</v>
      </c>
      <c r="AJ160" s="711"/>
      <c r="AK160" s="733"/>
      <c r="AL160" s="749">
        <f>'[5]véh usagés'!$O$125</f>
        <v>0</v>
      </c>
      <c r="AM160" s="711"/>
      <c r="AN160" s="733"/>
      <c r="AO160" s="749">
        <f>'[5]véh usagés'!$P$125</f>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f>'[5]véh usagés'!$E$121</f>
        <v>6388.1066408329252</v>
      </c>
      <c r="I164" s="706"/>
      <c r="J164" s="764"/>
      <c r="K164" s="753">
        <f>'[5]véh usagés'!$F$121</f>
        <v>8075.0323631485935</v>
      </c>
      <c r="L164" s="706"/>
      <c r="M164" s="764"/>
      <c r="N164" s="753">
        <f>'[5]véh usagés'!$G$121</f>
        <v>7560.2887580641736</v>
      </c>
      <c r="O164" s="706"/>
      <c r="P164" s="764"/>
      <c r="Q164" s="753">
        <f>'[5]véh usagés'!$H$121</f>
        <v>9914.0558626269521</v>
      </c>
      <c r="R164" s="706"/>
      <c r="S164" s="764"/>
      <c r="T164" s="753">
        <f>'[5]véh usagés'!$I$121</f>
        <v>12360.835141695234</v>
      </c>
      <c r="U164" s="706"/>
      <c r="V164" s="764"/>
      <c r="W164" s="753">
        <f>'[5]véh usagés'!$J$121</f>
        <v>11234.396716843741</v>
      </c>
      <c r="X164" s="706"/>
      <c r="Y164" s="764"/>
      <c r="Z164" s="753">
        <f>'[5]véh usagés'!$K$121</f>
        <v>11430.713396640196</v>
      </c>
      <c r="AA164" s="706"/>
      <c r="AB164" s="764"/>
      <c r="AC164" s="753">
        <f>'[5]véh usagés'!$L$121</f>
        <v>11772.774562991033</v>
      </c>
      <c r="AD164" s="706"/>
      <c r="AE164" s="764"/>
      <c r="AF164" s="753">
        <f>'[5]véh usagés'!$M$121</f>
        <v>9488.3853918708883</v>
      </c>
      <c r="AG164" s="706"/>
      <c r="AH164" s="764"/>
      <c r="AI164" s="753">
        <f>'[5]véh usagés'!$N$121</f>
        <v>12806.200813337025</v>
      </c>
      <c r="AJ164" s="706"/>
      <c r="AK164" s="764"/>
      <c r="AL164" s="753">
        <f>'[5]véh usagés'!$O$121</f>
        <v>11610.384455042904</v>
      </c>
      <c r="AM164" s="706"/>
      <c r="AN164" s="764"/>
      <c r="AO164" s="753">
        <f>'[5]véh usagés'!$P$121</f>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29">
        <v>2021</v>
      </c>
      <c r="D172" s="1130"/>
      <c r="E172" s="1131"/>
      <c r="F172" s="1037" t="s">
        <v>1934</v>
      </c>
      <c r="G172" s="1038"/>
      <c r="H172" s="1039"/>
      <c r="I172" s="1037" t="s">
        <v>1935</v>
      </c>
      <c r="J172" s="1038"/>
      <c r="K172" s="1039"/>
      <c r="L172" s="1037" t="s">
        <v>1936</v>
      </c>
      <c r="M172" s="1038"/>
      <c r="N172" s="1039"/>
      <c r="O172" s="1037" t="s">
        <v>1937</v>
      </c>
      <c r="P172" s="1038"/>
      <c r="Q172" s="1039"/>
      <c r="R172" s="1037" t="s">
        <v>1938</v>
      </c>
      <c r="S172" s="1038"/>
      <c r="T172" s="1039"/>
      <c r="U172" s="1037" t="s">
        <v>1916</v>
      </c>
      <c r="V172" s="1038"/>
      <c r="W172" s="1039"/>
      <c r="X172" s="1037" t="s">
        <v>1939</v>
      </c>
      <c r="Y172" s="1038"/>
      <c r="Z172" s="1039"/>
      <c r="AA172" s="1037" t="s">
        <v>1940</v>
      </c>
      <c r="AB172" s="1038"/>
      <c r="AC172" s="1039"/>
      <c r="AD172" s="1037" t="s">
        <v>3</v>
      </c>
      <c r="AE172" s="1038"/>
      <c r="AF172" s="1039"/>
      <c r="AG172" s="1037" t="s">
        <v>1941</v>
      </c>
      <c r="AH172" s="1038"/>
      <c r="AI172" s="1039"/>
      <c r="AJ172" s="1037" t="s">
        <v>1942</v>
      </c>
      <c r="AK172" s="1038"/>
      <c r="AL172" s="1039"/>
      <c r="AM172" s="1037" t="s">
        <v>1943</v>
      </c>
      <c r="AN172" s="1038"/>
      <c r="AO172" s="1039"/>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f>'[5]Bud men fixes'!$E$70</f>
        <v>309.1242508979725</v>
      </c>
      <c r="G174" s="805">
        <f>'[5]Bud men fixes'!$E$6</f>
        <v>75870.988065822879</v>
      </c>
      <c r="H174" s="749">
        <f>'[5]Bud men fixes'!$E$5</f>
        <v>56941.626710577031</v>
      </c>
      <c r="I174" s="804">
        <f>'[5]Bud men fixes'!$F$70</f>
        <v>302.22260338597385</v>
      </c>
      <c r="J174" s="805">
        <f>'[5]Bud men fixes'!$F$6</f>
        <v>74177.058150922123</v>
      </c>
      <c r="K174" s="749">
        <f>'[5]Bud men fixes'!$F$5</f>
        <v>55670.32225880849</v>
      </c>
      <c r="L174" s="804">
        <f>'[5]Bud men fixes'!$G$70</f>
        <v>395.91441996095165</v>
      </c>
      <c r="M174" s="805">
        <f>'[5]Bud men fixes'!$G$6</f>
        <v>97172.635743349791</v>
      </c>
      <c r="N174" s="749">
        <f>'[5]Bud men fixes'!$G$5</f>
        <v>72928.639682144712</v>
      </c>
      <c r="O174" s="804">
        <f>'[5]Bud men fixes'!$H$70</f>
        <v>724.39540650343611</v>
      </c>
      <c r="P174" s="805">
        <f>'[5]Bud men fixes'!$H$6</f>
        <v>177794.51169587806</v>
      </c>
      <c r="Q174" s="749">
        <f>'[5]Bud men fixes'!$H$5</f>
        <v>133435.83594025267</v>
      </c>
      <c r="R174" s="804">
        <f>'[5]Bud men fixes'!$I$70</f>
        <v>646.98142975837663</v>
      </c>
      <c r="S174" s="805">
        <f>'[5]Bud men fixes'!$I$6</f>
        <v>158794.14246347235</v>
      </c>
      <c r="T174" s="749">
        <f>'[5]Bud men fixes'!$I$5</f>
        <v>119175.94609597976</v>
      </c>
      <c r="U174" s="804">
        <f>'[5]Bud men fixes'!$J$70</f>
        <v>386.59597116892093</v>
      </c>
      <c r="V174" s="805">
        <f>'[5]Bud men fixes'!$J$6</f>
        <v>94885.529781787787</v>
      </c>
      <c r="W174" s="749">
        <f>'[5]Bud men fixes'!$J$5</f>
        <v>71212.153087851053</v>
      </c>
      <c r="X174" s="804">
        <f>'[5]Bud men fixes'!$K$70</f>
        <v>369.57520889424842</v>
      </c>
      <c r="Y174" s="805">
        <f>'[5]Bud men fixes'!$K$6</f>
        <v>90707.979661855235</v>
      </c>
      <c r="Z174" s="749">
        <f>'[5]Bud men fixes'!$K$5</f>
        <v>68076.876936082044</v>
      </c>
      <c r="AA174" s="804">
        <f>'[5]Bud men fixes'!$L$70</f>
        <v>408.25355341348234</v>
      </c>
      <c r="AB174" s="805">
        <f>'[5]Bud men fixes'!$L$6</f>
        <v>100201.13397407754</v>
      </c>
      <c r="AC174" s="749">
        <f>'[5]Bud men fixes'!$L$5</f>
        <v>75201.545573368028</v>
      </c>
      <c r="AD174" s="804">
        <f>'[5]Bud men fixes'!$M$70</f>
        <v>301.96626227632748</v>
      </c>
      <c r="AE174" s="805">
        <f>'[5]Bud men fixes'!$M$6</f>
        <v>74114.142177121088</v>
      </c>
      <c r="AF174" s="749">
        <f>'[5]Bud men fixes'!$M$5</f>
        <v>55623.103447169939</v>
      </c>
      <c r="AG174" s="804">
        <f>'[5]Bud men fixes'!$N$70</f>
        <v>521.01827409100156</v>
      </c>
      <c r="AH174" s="805">
        <f>'[5]Bud men fixes'!$N$6</f>
        <v>127877.93626932583</v>
      </c>
      <c r="AI174" s="749">
        <f>'[5]Bud men fixes'!$N$5</f>
        <v>95973.149911395405</v>
      </c>
      <c r="AJ174" s="804">
        <f>'[5]Bud men fixes'!$O$70</f>
        <v>975.37451453597555</v>
      </c>
      <c r="AK174" s="805">
        <f>'[5]Bud men fixes'!$O$6</f>
        <v>239394.44393992759</v>
      </c>
      <c r="AL174" s="749">
        <f>'[5]Bud men fixes'!$O$5</f>
        <v>179666.95058178654</v>
      </c>
      <c r="AM174" s="804">
        <f>'[5]Bud men fixes'!$P$70</f>
        <v>358.57810511333281</v>
      </c>
      <c r="AN174" s="805">
        <f>'[5]Bud men fixes'!$P$6</f>
        <v>88008.867161633272</v>
      </c>
      <c r="AO174" s="749">
        <f>'[5]Bud men fixes'!$P$5</f>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f>'[5]Bud men fixes'!$E$73</f>
        <v>260.73056767022592</v>
      </c>
      <c r="G177" s="813">
        <f>'[5]Bud men fixes'!$E$9</f>
        <v>46079.956800909669</v>
      </c>
      <c r="H177" s="762">
        <f>'[5]Bud men fixes'!$E$8</f>
        <v>32171.38226530352</v>
      </c>
      <c r="I177" s="812">
        <f>'[5]Bud men fixes'!$F$73</f>
        <v>262.03197676267513</v>
      </c>
      <c r="J177" s="813">
        <f>'[5]Bud men fixes'!$F$9</f>
        <v>46309.960038720368</v>
      </c>
      <c r="K177" s="762">
        <f>'[5]Bud men fixes'!$F$8</f>
        <v>32331.962322221443</v>
      </c>
      <c r="L177" s="812">
        <f>'[5]Bud men fixes'!$G$73</f>
        <v>285.24048684205479</v>
      </c>
      <c r="M177" s="813">
        <f>'[5]Bud men fixes'!$G$9</f>
        <v>50411.692917329121</v>
      </c>
      <c r="N177" s="762">
        <f>'[5]Bud men fixes'!$G$8</f>
        <v>35195.645918063725</v>
      </c>
      <c r="O177" s="812">
        <f>'[5]Bud men fixes'!$H$73</f>
        <v>264.50668118362398</v>
      </c>
      <c r="P177" s="813">
        <f>'[5]Bud men fixes'!$H$9</f>
        <v>46747.324456062386</v>
      </c>
      <c r="Q177" s="762">
        <f>'[5]Bud men fixes'!$H$8</f>
        <v>32637.314558560218</v>
      </c>
      <c r="R177" s="812">
        <f>'[5]Bud men fixes'!$I$73</f>
        <v>376.76791619169114</v>
      </c>
      <c r="S177" s="813">
        <f>'[5]Bud men fixes'!$I$9</f>
        <v>66587.701845687625</v>
      </c>
      <c r="T177" s="762">
        <f>'[5]Bud men fixes'!$I$8</f>
        <v>46489.158388346921</v>
      </c>
      <c r="U177" s="812">
        <f>'[5]Bud men fixes'!$J$73</f>
        <v>354.43283158799522</v>
      </c>
      <c r="V177" s="813">
        <f>'[5]Bud men fixes'!$J$9</f>
        <v>62640.332947290139</v>
      </c>
      <c r="W177" s="762">
        <f>'[5]Bud men fixes'!$J$8</f>
        <v>43733.246217656502</v>
      </c>
      <c r="X177" s="812">
        <f>'[5]Bud men fixes'!$K$73</f>
        <v>430.29789831374308</v>
      </c>
      <c r="Y177" s="813">
        <f>'[5]Bud men fixes'!$K$9</f>
        <v>76048.26984037504</v>
      </c>
      <c r="Z177" s="762">
        <f>'[5]Bud men fixes'!$K$8</f>
        <v>53094.189524096088</v>
      </c>
      <c r="AA177" s="812">
        <f>'[5]Bud men fixes'!$L$73</f>
        <v>450.56955189715893</v>
      </c>
      <c r="AB177" s="813">
        <f>'[5]Bud men fixes'!$L$9</f>
        <v>79630.960315656353</v>
      </c>
      <c r="AC177" s="762">
        <f>'[5]Bud men fixes'!$L$8</f>
        <v>55595.496227062911</v>
      </c>
      <c r="AD177" s="812">
        <f>'[5]Bud men fixes'!$M$73</f>
        <v>346.05881956587018</v>
      </c>
      <c r="AE177" s="813">
        <f>'[5]Bud men fixes'!$M$9</f>
        <v>61160.360285558061</v>
      </c>
      <c r="AF177" s="762">
        <f>'[5]Bud men fixes'!$M$8</f>
        <v>42699.982092681421</v>
      </c>
      <c r="AG177" s="812">
        <f>'[5]Bud men fixes'!$N$73</f>
        <v>331.69197366573701</v>
      </c>
      <c r="AH177" s="813">
        <f>'[5]Bud men fixes'!$N$9</f>
        <v>58621.250106191612</v>
      </c>
      <c r="AI177" s="762">
        <f>'[5]Bud men fixes'!$N$8</f>
        <v>40927.265930054535</v>
      </c>
      <c r="AJ177" s="812">
        <f>'[5]Bud men fixes'!$O$73</f>
        <v>346.23706070096699</v>
      </c>
      <c r="AK177" s="813">
        <f>'[5]Bud men fixes'!$O$9</f>
        <v>61191.86155477554</v>
      </c>
      <c r="AL177" s="762">
        <f>'[5]Bud men fixes'!$O$8</f>
        <v>42721.975155266453</v>
      </c>
      <c r="AM177" s="812">
        <f>'[5]Bud men fixes'!$P$73</f>
        <v>296.43423561825756</v>
      </c>
      <c r="AN177" s="813">
        <f>'[5]Bud men fixes'!$P$9</f>
        <v>52390.008941632252</v>
      </c>
      <c r="AO177" s="762">
        <f>'[5]Bud men fixes'!$P$8</f>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f>'[5]Bud men fixes'!$E$76</f>
        <v>200.69466402901355</v>
      </c>
      <c r="G180" s="805">
        <f>'[5]Bud men fixes'!$E$12</f>
        <v>47328.252104281775</v>
      </c>
      <c r="H180" s="749">
        <f>'[5]Bud men fixes'!$E$11</f>
        <v>34702.332573736632</v>
      </c>
      <c r="I180" s="804">
        <f>'[5]Bud men fixes'!$F$76</f>
        <v>233.23105368099667</v>
      </c>
      <c r="J180" s="805">
        <f>'[5]Bud men fixes'!$F$12</f>
        <v>55001.054266025283</v>
      </c>
      <c r="K180" s="749">
        <f>'[5]Bud men fixes'!$F$11</f>
        <v>40328.235085467459</v>
      </c>
      <c r="L180" s="804">
        <f>'[5]Bud men fixes'!$G$76</f>
        <v>222.73320905479713</v>
      </c>
      <c r="M180" s="805">
        <f>'[5]Bud men fixes'!$G$12</f>
        <v>52525.429717539402</v>
      </c>
      <c r="N180" s="749">
        <f>'[5]Bud men fixes'!$G$11</f>
        <v>38513.041356783542</v>
      </c>
      <c r="O180" s="804">
        <f>'[5]Bud men fixes'!$H$76</f>
        <v>231.4420696166658</v>
      </c>
      <c r="P180" s="805">
        <f>'[5]Bud men fixes'!$H$12</f>
        <v>54579.172153629144</v>
      </c>
      <c r="Q180" s="749">
        <f>'[5]Bud men fixes'!$H$11</f>
        <v>40018.899905731188</v>
      </c>
      <c r="R180" s="804">
        <f>'[5]Bud men fixes'!$I$76</f>
        <v>281.57639574585056</v>
      </c>
      <c r="S180" s="805">
        <f>'[5]Bud men fixes'!$I$12</f>
        <v>66401.957964104484</v>
      </c>
      <c r="T180" s="749">
        <f>'[5]Bud men fixes'!$I$11</f>
        <v>48687.680748074017</v>
      </c>
      <c r="U180" s="804">
        <f>'[5]Bud men fixes'!$J$76</f>
        <v>246.35764538800652</v>
      </c>
      <c r="V180" s="805">
        <f>'[5]Bud men fixes'!$J$12</f>
        <v>58096.595667611946</v>
      </c>
      <c r="W180" s="749">
        <f>'[5]Bud men fixes'!$J$11</f>
        <v>42597.96833014633</v>
      </c>
      <c r="X180" s="804">
        <f>'[5]Bud men fixes'!$K$76</f>
        <v>240.42736984044527</v>
      </c>
      <c r="Y180" s="805">
        <f>'[5]Bud men fixes'!$K$12</f>
        <v>56698.105191939605</v>
      </c>
      <c r="Z180" s="749">
        <f>'[5]Bud men fixes'!$K$11</f>
        <v>41572.557937194295</v>
      </c>
      <c r="AA180" s="804">
        <f>'[5]Bud men fixes'!$L$76</f>
        <v>252.06007127051322</v>
      </c>
      <c r="AB180" s="805">
        <f>'[5]Bud men fixes'!$L$12</f>
        <v>59441.354139786585</v>
      </c>
      <c r="AC180" s="749">
        <f>'[5]Bud men fixes'!$L$11</f>
        <v>43583.980989771517</v>
      </c>
      <c r="AD180" s="804">
        <f>'[5]Bud men fixes'!$M$76</f>
        <v>248.43426877888152</v>
      </c>
      <c r="AE180" s="805">
        <f>'[5]Bud men fixes'!$M$12</f>
        <v>58586.309511497566</v>
      </c>
      <c r="AF180" s="749">
        <f>'[5]Bud men fixes'!$M$11</f>
        <v>42957.039538587269</v>
      </c>
      <c r="AG180" s="804">
        <f>'[5]Bud men fixes'!$N$76</f>
        <v>310.98866456111728</v>
      </c>
      <c r="AH180" s="805">
        <f>'[5]Bud men fixes'!$N$12</f>
        <v>73338.02315638389</v>
      </c>
      <c r="AI180" s="749">
        <f>'[5]Bud men fixes'!$N$11</f>
        <v>53773.388129053397</v>
      </c>
      <c r="AJ180" s="804">
        <f>'[5]Bud men fixes'!$O$76</f>
        <v>257.81050531641455</v>
      </c>
      <c r="AK180" s="805">
        <f>'[5]Bud men fixes'!$O$12</f>
        <v>60797.434001452049</v>
      </c>
      <c r="AL180" s="749">
        <f>'[5]Bud men fixes'!$O$11</f>
        <v>44578.294793128822</v>
      </c>
      <c r="AM180" s="804">
        <f>'[5]Bud men fixes'!$P$76</f>
        <v>217.24408271729797</v>
      </c>
      <c r="AN180" s="805">
        <f>'[5]Bud men fixes'!$P$12</f>
        <v>51230.972007912125</v>
      </c>
      <c r="AO180" s="749">
        <f>'[5]Bud men fixes'!$P$11</f>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f>'[5]Bud men fixes'!$E$79</f>
        <v>0</v>
      </c>
      <c r="G183" s="813">
        <f>'[5]Bud men fixes'!$E$15</f>
        <v>270.33034111310593</v>
      </c>
      <c r="H183" s="762">
        <f>'[5]Bud men fixes'!$E$14</f>
        <v>200.04445242369837</v>
      </c>
      <c r="I183" s="812">
        <f>'[5]Bud men fixes'!$F$79</f>
        <v>0</v>
      </c>
      <c r="J183" s="813">
        <f>'[5]Bud men fixes'!$F$15</f>
        <v>24.986890403775561</v>
      </c>
      <c r="K183" s="762">
        <f>'[5]Bud men fixes'!$F$14</f>
        <v>18.490298898793917</v>
      </c>
      <c r="L183" s="812">
        <f>'[5]Bud men fixes'!$G$79</f>
        <v>0</v>
      </c>
      <c r="M183" s="813">
        <f>'[5]Bud men fixes'!$G$15</f>
        <v>0</v>
      </c>
      <c r="N183" s="762">
        <f>'[5]Bud men fixes'!$G$14</f>
        <v>0</v>
      </c>
      <c r="O183" s="812">
        <f>'[5]Bud men fixes'!$H$79</f>
        <v>0</v>
      </c>
      <c r="P183" s="813">
        <f>'[5]Bud men fixes'!$H$15</f>
        <v>222.34923117043039</v>
      </c>
      <c r="Q183" s="762">
        <f>'[5]Bud men fixes'!$H$14</f>
        <v>164.53843106611848</v>
      </c>
      <c r="R183" s="812">
        <f>'[5]Bud men fixes'!$I$79</f>
        <v>0</v>
      </c>
      <c r="S183" s="813">
        <f>'[5]Bud men fixes'!$I$15</f>
        <v>23.953321364452425</v>
      </c>
      <c r="T183" s="762">
        <f>'[5]Bud men fixes'!$I$14</f>
        <v>17.725457809694795</v>
      </c>
      <c r="U183" s="812">
        <f>'[5]Bud men fixes'!$J$79</f>
        <v>0</v>
      </c>
      <c r="V183" s="813">
        <f>'[5]Bud men fixes'!$J$15</f>
        <v>57.469847928683798</v>
      </c>
      <c r="W183" s="762">
        <f>'[5]Bud men fixes'!$J$14</f>
        <v>42.527687467226009</v>
      </c>
      <c r="X183" s="812">
        <f>'[5]Bud men fixes'!$K$79</f>
        <v>0</v>
      </c>
      <c r="Y183" s="813">
        <f>'[5]Bud men fixes'!$K$15</f>
        <v>49.973780807551123</v>
      </c>
      <c r="Z183" s="762">
        <f>'[5]Bud men fixes'!$K$14</f>
        <v>36.980597797587833</v>
      </c>
      <c r="AA183" s="812">
        <f>'[5]Bud men fixes'!$L$79</f>
        <v>0</v>
      </c>
      <c r="AB183" s="813">
        <f>'[5]Bud men fixes'!$L$15</f>
        <v>240.85478239011712</v>
      </c>
      <c r="AC183" s="762">
        <f>'[5]Bud men fixes'!$L$14</f>
        <v>178.23253896868667</v>
      </c>
      <c r="AD183" s="812">
        <f>'[5]Bud men fixes'!$M$79</f>
        <v>0</v>
      </c>
      <c r="AE183" s="813">
        <f>'[5]Bud men fixes'!$M$15</f>
        <v>106.76534905417911</v>
      </c>
      <c r="AF183" s="762">
        <f>'[5]Bud men fixes'!$M$14</f>
        <v>79.006358300092543</v>
      </c>
      <c r="AG183" s="812">
        <f>'[5]Bud men fixes'!$N$79</f>
        <v>0</v>
      </c>
      <c r="AH183" s="813">
        <f>'[5]Bud men fixes'!$N$15</f>
        <v>295.49577339086181</v>
      </c>
      <c r="AI183" s="762">
        <f>'[5]Bud men fixes'!$N$14</f>
        <v>218.66687230923773</v>
      </c>
      <c r="AJ183" s="812">
        <f>'[5]Bud men fixes'!$O$79</f>
        <v>0</v>
      </c>
      <c r="AK183" s="813">
        <f>'[5]Bud men fixes'!$O$15</f>
        <v>553.85214540778145</v>
      </c>
      <c r="AL183" s="762">
        <f>'[5]Bud men fixes'!$O$14</f>
        <v>409.85058760175826</v>
      </c>
      <c r="AM183" s="812">
        <f>'[5]Bud men fixes'!$P$79</f>
        <v>0</v>
      </c>
      <c r="AN183" s="813">
        <f>'[5]Bud men fixes'!$P$15</f>
        <v>59.968536969061347</v>
      </c>
      <c r="AO183" s="762">
        <f>'[5]Bud men fixes'!$P$14</f>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f>'[5]Bud men fixes'!$E$18</f>
        <v>-2959.7191851556272</v>
      </c>
      <c r="I186" s="804"/>
      <c r="J186" s="805"/>
      <c r="K186" s="749">
        <f>'[5]Bud men fixes'!$F$18</f>
        <v>-3065.6632097438992</v>
      </c>
      <c r="L186" s="804"/>
      <c r="M186" s="805"/>
      <c r="N186" s="749">
        <f>'[5]Bud men fixes'!$G$18</f>
        <v>-3475.7080423797106</v>
      </c>
      <c r="O186" s="804"/>
      <c r="P186" s="805"/>
      <c r="Q186" s="749">
        <f>'[5]Bud men fixes'!$H$18</f>
        <v>-4750.6399655734394</v>
      </c>
      <c r="R186" s="804"/>
      <c r="S186" s="805"/>
      <c r="T186" s="749">
        <f>'[5]Bud men fixes'!$I$18</f>
        <v>-5033.4209187872038</v>
      </c>
      <c r="U186" s="804"/>
      <c r="V186" s="805"/>
      <c r="W186" s="749">
        <f>'[5]Bud men fixes'!$J$18</f>
        <v>-3776.1121398973351</v>
      </c>
      <c r="X186" s="804"/>
      <c r="Y186" s="805"/>
      <c r="Z186" s="749">
        <f>'[5]Bud men fixes'!$K$18</f>
        <v>-3947.0420261874815</v>
      </c>
      <c r="AA186" s="804"/>
      <c r="AB186" s="805"/>
      <c r="AC186" s="749">
        <f>'[5]Bud men fixes'!$L$18</f>
        <v>-4222.0781123780662</v>
      </c>
      <c r="AD186" s="804"/>
      <c r="AE186" s="805"/>
      <c r="AF186" s="749">
        <f>'[5]Bud men fixes'!$M$18</f>
        <v>-3419.54898262199</v>
      </c>
      <c r="AG186" s="804"/>
      <c r="AH186" s="805"/>
      <c r="AI186" s="749">
        <f>'[5]Bud men fixes'!$N$18</f>
        <v>-4500.6152400611772</v>
      </c>
      <c r="AJ186" s="804"/>
      <c r="AK186" s="805"/>
      <c r="AL186" s="749">
        <f>'[5]Bud men fixes'!$O$18</f>
        <v>-6146.4338340456598</v>
      </c>
      <c r="AM186" s="804"/>
      <c r="AN186" s="805"/>
      <c r="AO186" s="749">
        <f>'[5]Bud men fixes'!$P$18</f>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f>'[5]Bud men fixes'!$E$83</f>
        <v>0</v>
      </c>
      <c r="G190" s="831">
        <f>'[5]Bud men fixes'!$E$21</f>
        <v>19187.075768751314</v>
      </c>
      <c r="H190" s="749">
        <f>'[5]Bud men fixes'!$E$20</f>
        <v>4604.8981845003154</v>
      </c>
      <c r="I190" s="804">
        <f>'[5]Bud men fixes'!$F$83</f>
        <v>0</v>
      </c>
      <c r="J190" s="831">
        <f>'[5]Bud men fixes'!$F$21</f>
        <v>18153.058934700417</v>
      </c>
      <c r="K190" s="749">
        <f>'[5]Bud men fixes'!$F$20</f>
        <v>4356.7341443281002</v>
      </c>
      <c r="L190" s="804">
        <f>'[5]Bud men fixes'!$G$83</f>
        <v>0</v>
      </c>
      <c r="M190" s="831">
        <f>'[5]Bud men fixes'!$G$21</f>
        <v>24221.91661324873</v>
      </c>
      <c r="N190" s="749">
        <f>'[5]Bud men fixes'!$G$20</f>
        <v>5813.2599871796947</v>
      </c>
      <c r="O190" s="804">
        <f>'[5]Bud men fixes'!$H$83</f>
        <v>0</v>
      </c>
      <c r="P190" s="831">
        <f>'[5]Bud men fixes'!$H$21</f>
        <v>33882.618586113851</v>
      </c>
      <c r="Q190" s="749">
        <f>'[5]Bud men fixes'!$H$20</f>
        <v>8131.8284606673242</v>
      </c>
      <c r="R190" s="804">
        <f>'[5]Bud men fixes'!$I$83</f>
        <v>0</v>
      </c>
      <c r="S190" s="831">
        <f>'[5]Bud men fixes'!$I$21</f>
        <v>38955.433881342142</v>
      </c>
      <c r="T190" s="749">
        <f>'[5]Bud men fixes'!$I$20</f>
        <v>9349.3041315221144</v>
      </c>
      <c r="U190" s="804">
        <f>'[5]Bud men fixes'!$J$83</f>
        <v>0</v>
      </c>
      <c r="V190" s="831">
        <f>'[5]Bud men fixes'!$J$21</f>
        <v>27930.607628183541</v>
      </c>
      <c r="W190" s="749">
        <f>'[5]Bud men fixes'!$J$20</f>
        <v>6703.3458307640494</v>
      </c>
      <c r="X190" s="804">
        <f>'[5]Bud men fixes'!$K$83</f>
        <v>0</v>
      </c>
      <c r="Y190" s="831">
        <f>'[5]Bud men fixes'!$K$21</f>
        <v>24153.7014980233</v>
      </c>
      <c r="Z190" s="749">
        <f>'[5]Bud men fixes'!$K$20</f>
        <v>5796.888359525592</v>
      </c>
      <c r="AA190" s="804">
        <f>'[5]Bud men fixes'!$L$83</f>
        <v>0</v>
      </c>
      <c r="AB190" s="831">
        <f>'[5]Bud men fixes'!$L$21</f>
        <v>24378.890593754368</v>
      </c>
      <c r="AC190" s="749">
        <f>'[5]Bud men fixes'!$L$20</f>
        <v>5850.9337425010481</v>
      </c>
      <c r="AD190" s="804">
        <f>'[5]Bud men fixes'!$M$83</f>
        <v>0</v>
      </c>
      <c r="AE190" s="831">
        <f>'[5]Bud men fixes'!$M$21</f>
        <v>29072.228396112863</v>
      </c>
      <c r="AF190" s="749">
        <f>'[5]Bud men fixes'!$M$20</f>
        <v>6977.3348150670872</v>
      </c>
      <c r="AG190" s="804">
        <f>'[5]Bud men fixes'!$N$83</f>
        <v>0</v>
      </c>
      <c r="AH190" s="831">
        <f>'[5]Bud men fixes'!$N$21</f>
        <v>25843.985930584855</v>
      </c>
      <c r="AI190" s="749">
        <f>'[5]Bud men fixes'!$N$20</f>
        <v>6202.5566233403651</v>
      </c>
      <c r="AJ190" s="804">
        <f>'[5]Bud men fixes'!$O$83</f>
        <v>0</v>
      </c>
      <c r="AK190" s="831">
        <f>'[5]Bud men fixes'!$O$21</f>
        <v>19876.874014810674</v>
      </c>
      <c r="AL190" s="749">
        <f>'[5]Bud men fixes'!$O$20</f>
        <v>4770.4497635545613</v>
      </c>
      <c r="AM190" s="804">
        <f>'[5]Bud men fixes'!$P$83</f>
        <v>0</v>
      </c>
      <c r="AN190" s="831">
        <f>'[5]Bud men fixes'!$P$21</f>
        <v>14343.608154373955</v>
      </c>
      <c r="AO190" s="749">
        <f>'[5]Bud men fixes'!$P$20</f>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f>[5]Salaire!$E$46</f>
        <v>12044.250946206896</v>
      </c>
      <c r="I200" s="711"/>
      <c r="J200" s="733"/>
      <c r="K200" s="749">
        <f>[5]Salaire!$F$46</f>
        <v>11568.334234482758</v>
      </c>
      <c r="L200" s="711"/>
      <c r="M200" s="733"/>
      <c r="N200" s="749">
        <f>[5]Salaire!$G$46</f>
        <v>12996.084369655171</v>
      </c>
      <c r="O200" s="711"/>
      <c r="P200" s="733"/>
      <c r="Q200" s="749">
        <f>[5]Salaire!$H$46</f>
        <v>12044.250946206896</v>
      </c>
      <c r="R200" s="711"/>
      <c r="S200" s="733"/>
      <c r="T200" s="749">
        <f>[5]Salaire!$I$46</f>
        <v>12520.167657931033</v>
      </c>
      <c r="U200" s="711"/>
      <c r="V200" s="733"/>
      <c r="W200" s="749">
        <f>[5]Salaire!$J$46</f>
        <v>12520.167657931033</v>
      </c>
      <c r="X200" s="711"/>
      <c r="Y200" s="733"/>
      <c r="Z200" s="749">
        <f>[5]Salaire!$K$46</f>
        <v>12520.167657931033</v>
      </c>
      <c r="AA200" s="711"/>
      <c r="AB200" s="733"/>
      <c r="AC200" s="749">
        <f>[5]Salaire!$L$46</f>
        <v>12520.167657931033</v>
      </c>
      <c r="AD200" s="711"/>
      <c r="AE200" s="733"/>
      <c r="AF200" s="749">
        <f>[5]Salaire!$M$46</f>
        <v>12520.167657931033</v>
      </c>
      <c r="AG200" s="711"/>
      <c r="AH200" s="733"/>
      <c r="AI200" s="749">
        <f>[5]Salaire!$N$46</f>
        <v>12044.250946206896</v>
      </c>
      <c r="AJ200" s="711"/>
      <c r="AK200" s="733"/>
      <c r="AL200" s="749">
        <f>[5]Salaire!$O$46</f>
        <v>12520.167657931033</v>
      </c>
      <c r="AM200" s="711"/>
      <c r="AN200" s="733"/>
      <c r="AO200" s="749">
        <f>[5]Salaire!$P$46</f>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f>[5]Salaire!$E$94</f>
        <v>8746.0360371034476</v>
      </c>
      <c r="I201" s="711"/>
      <c r="J201" s="733"/>
      <c r="K201" s="749">
        <f>[5]Salaire!$F$94</f>
        <v>8329.558130574711</v>
      </c>
      <c r="L201" s="711"/>
      <c r="M201" s="733"/>
      <c r="N201" s="749">
        <f>[5]Salaire!$G$94</f>
        <v>9578.9918501609191</v>
      </c>
      <c r="O201" s="711"/>
      <c r="P201" s="733"/>
      <c r="Q201" s="749">
        <f>[5]Salaire!$H$94</f>
        <v>8746.0360371034476</v>
      </c>
      <c r="R201" s="711"/>
      <c r="S201" s="733"/>
      <c r="T201" s="749">
        <f>[5]Salaire!$I$94</f>
        <v>9162.5139436321842</v>
      </c>
      <c r="U201" s="711"/>
      <c r="V201" s="733"/>
      <c r="W201" s="749">
        <f>[5]Salaire!$J$94</f>
        <v>9162.5139436321842</v>
      </c>
      <c r="X201" s="711"/>
      <c r="Y201" s="733"/>
      <c r="Z201" s="749">
        <f>[5]Salaire!$K$94</f>
        <v>9162.5139436321842</v>
      </c>
      <c r="AA201" s="711"/>
      <c r="AB201" s="733"/>
      <c r="AC201" s="749">
        <f>[5]Salaire!$L$94</f>
        <v>9162.5139436321842</v>
      </c>
      <c r="AD201" s="711"/>
      <c r="AE201" s="733"/>
      <c r="AF201" s="749">
        <f>[5]Salaire!$M$94</f>
        <v>9162.5139436321842</v>
      </c>
      <c r="AG201" s="711"/>
      <c r="AH201" s="733"/>
      <c r="AI201" s="749">
        <f>[5]Salaire!$N$94</f>
        <v>8746.0360371034476</v>
      </c>
      <c r="AJ201" s="711"/>
      <c r="AK201" s="733"/>
      <c r="AL201" s="749">
        <f>[5]Salaire!$O$94</f>
        <v>9162.5139436321842</v>
      </c>
      <c r="AM201" s="711"/>
      <c r="AN201" s="733"/>
      <c r="AO201" s="749">
        <f>[5]Salaire!$P$94</f>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f>[5]Salaire!$E$173</f>
        <v>11814.360328496552</v>
      </c>
      <c r="I202" s="702"/>
      <c r="J202" s="760"/>
      <c r="K202" s="762">
        <f>[5]Salaire!$F$173</f>
        <v>11251.771741425286</v>
      </c>
      <c r="L202" s="702"/>
      <c r="M202" s="760"/>
      <c r="N202" s="762">
        <f>[5]Salaire!$G$173</f>
        <v>12939.537502639081</v>
      </c>
      <c r="O202" s="702"/>
      <c r="P202" s="760"/>
      <c r="Q202" s="762">
        <f>[5]Salaire!$H$173</f>
        <v>11814.360328496552</v>
      </c>
      <c r="R202" s="702"/>
      <c r="S202" s="760"/>
      <c r="T202" s="762">
        <f>[5]Salaire!$I$173</f>
        <v>12376.948915567818</v>
      </c>
      <c r="U202" s="702"/>
      <c r="V202" s="760"/>
      <c r="W202" s="762">
        <f>[5]Salaire!$J$173</f>
        <v>12376.948915567818</v>
      </c>
      <c r="X202" s="702"/>
      <c r="Y202" s="760"/>
      <c r="Z202" s="762">
        <f>[5]Salaire!$K$173</f>
        <v>12376.948915567818</v>
      </c>
      <c r="AA202" s="702"/>
      <c r="AB202" s="760"/>
      <c r="AC202" s="762">
        <f>[5]Salaire!$L$173</f>
        <v>12376.948915567818</v>
      </c>
      <c r="AD202" s="702"/>
      <c r="AE202" s="760"/>
      <c r="AF202" s="762">
        <f>[5]Salaire!$M$173</f>
        <v>12376.948915567818</v>
      </c>
      <c r="AG202" s="702"/>
      <c r="AH202" s="760"/>
      <c r="AI202" s="762">
        <f>[5]Salaire!$N$173</f>
        <v>11814.360328496552</v>
      </c>
      <c r="AJ202" s="702"/>
      <c r="AK202" s="760"/>
      <c r="AL202" s="762">
        <f>[5]Salaire!$O$173</f>
        <v>12376.948915567818</v>
      </c>
      <c r="AM202" s="702"/>
      <c r="AN202" s="760"/>
      <c r="AO202" s="762">
        <f>[5]Salaire!$P$173</f>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f>[5]Salaire!$E$219</f>
        <v>30510.931475862068</v>
      </c>
      <c r="I203" s="711"/>
      <c r="J203" s="733"/>
      <c r="K203" s="749">
        <f>[5]Salaire!$F$219</f>
        <v>29891.36331034483</v>
      </c>
      <c r="L203" s="711"/>
      <c r="M203" s="733"/>
      <c r="N203" s="749">
        <f>[5]Salaire!$G$219</f>
        <v>31750.067806896557</v>
      </c>
      <c r="O203" s="711"/>
      <c r="P203" s="733"/>
      <c r="Q203" s="749">
        <f>[5]Salaire!$H$219</f>
        <v>30510.931475862068</v>
      </c>
      <c r="R203" s="711"/>
      <c r="S203" s="733"/>
      <c r="T203" s="749">
        <f>[5]Salaire!$I$219</f>
        <v>31130.499641379309</v>
      </c>
      <c r="U203" s="711"/>
      <c r="V203" s="733"/>
      <c r="W203" s="749">
        <f>[5]Salaire!$J$219</f>
        <v>31130.499641379309</v>
      </c>
      <c r="X203" s="711"/>
      <c r="Y203" s="733"/>
      <c r="Z203" s="749">
        <f>[5]Salaire!$K$219</f>
        <v>31130.499641379309</v>
      </c>
      <c r="AA203" s="711"/>
      <c r="AB203" s="733"/>
      <c r="AC203" s="749">
        <f>[5]Salaire!$L$219</f>
        <v>31130.499641379309</v>
      </c>
      <c r="AD203" s="711"/>
      <c r="AE203" s="733"/>
      <c r="AF203" s="749">
        <f>[5]Salaire!$M$219</f>
        <v>31130.499641379309</v>
      </c>
      <c r="AG203" s="711"/>
      <c r="AH203" s="733"/>
      <c r="AI203" s="749">
        <f>[5]Salaire!$N$219</f>
        <v>30510.931475862068</v>
      </c>
      <c r="AJ203" s="711"/>
      <c r="AK203" s="733"/>
      <c r="AL203" s="749">
        <f>[5]Salaire!$O$219</f>
        <v>31130.499641379309</v>
      </c>
      <c r="AM203" s="711"/>
      <c r="AN203" s="733"/>
      <c r="AO203" s="749">
        <f>[5]Salaire!$P$219</f>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f>'[5]DAS-VAC'!$E$47</f>
        <v>16673.690254520276</v>
      </c>
      <c r="I207" s="711"/>
      <c r="J207" s="733"/>
      <c r="K207" s="749">
        <f>'[5]DAS-VAC'!$F$47</f>
        <v>15991.419290019308</v>
      </c>
      <c r="L207" s="711"/>
      <c r="M207" s="733"/>
      <c r="N207" s="749">
        <f>'[5]DAS-VAC'!$G$47</f>
        <v>17604.907383522208</v>
      </c>
      <c r="O207" s="711"/>
      <c r="P207" s="733"/>
      <c r="Q207" s="749">
        <f>'[5]DAS-VAC'!$H$47</f>
        <v>16673.690254520276</v>
      </c>
      <c r="R207" s="711"/>
      <c r="S207" s="733"/>
      <c r="T207" s="749">
        <f>'[5]DAS-VAC'!$I$47</f>
        <v>16489.311619021239</v>
      </c>
      <c r="U207" s="711"/>
      <c r="V207" s="733"/>
      <c r="W207" s="749">
        <f>'[5]DAS-VAC'!$J$47</f>
        <v>16922.636419021241</v>
      </c>
      <c r="X207" s="711"/>
      <c r="Y207" s="733"/>
      <c r="Z207" s="749">
        <f>'[5]DAS-VAC'!$K$47</f>
        <v>17355.961219021243</v>
      </c>
      <c r="AA207" s="711"/>
      <c r="AB207" s="733"/>
      <c r="AC207" s="749">
        <f>'[5]DAS-VAC'!$L$47</f>
        <v>16922.636419021241</v>
      </c>
      <c r="AD207" s="711"/>
      <c r="AE207" s="733"/>
      <c r="AF207" s="749">
        <f>'[5]DAS-VAC'!$M$47</f>
        <v>16922.636419021241</v>
      </c>
      <c r="AG207" s="711"/>
      <c r="AH207" s="733"/>
      <c r="AI207" s="749">
        <f>'[5]DAS-VAC'!$N$47</f>
        <v>16673.690254520276</v>
      </c>
      <c r="AJ207" s="711"/>
      <c r="AK207" s="733"/>
      <c r="AL207" s="749">
        <f>'[5]DAS-VAC'!$O$47</f>
        <v>16922.636419021241</v>
      </c>
      <c r="AM207" s="711"/>
      <c r="AN207" s="733"/>
      <c r="AO207" s="749">
        <f>'[5]DAS-VAC'!$P$47</f>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f>'[5]DAS-VAC'!$E$55</f>
        <v>16673.690254520276</v>
      </c>
      <c r="I208" s="702"/>
      <c r="J208" s="760"/>
      <c r="K208" s="762">
        <f>'[5]DAS-VAC'!$F$55</f>
        <v>15991.419290019308</v>
      </c>
      <c r="L208" s="702"/>
      <c r="M208" s="760"/>
      <c r="N208" s="762">
        <f>'[5]DAS-VAC'!$G$55</f>
        <v>17604.907383522208</v>
      </c>
      <c r="O208" s="702"/>
      <c r="P208" s="760"/>
      <c r="Q208" s="762">
        <f>'[5]DAS-VAC'!$H$55</f>
        <v>16673.690254520276</v>
      </c>
      <c r="R208" s="702"/>
      <c r="S208" s="760"/>
      <c r="T208" s="762">
        <f>'[5]DAS-VAC'!$I$55</f>
        <v>16489.311619021239</v>
      </c>
      <c r="U208" s="702"/>
      <c r="V208" s="760"/>
      <c r="W208" s="762">
        <f>'[5]DAS-VAC'!$J$55</f>
        <v>16922.636419021241</v>
      </c>
      <c r="X208" s="702"/>
      <c r="Y208" s="760"/>
      <c r="Z208" s="762">
        <f>'[5]DAS-VAC'!$K$55</f>
        <v>17355.961219021243</v>
      </c>
      <c r="AA208" s="702"/>
      <c r="AB208" s="760"/>
      <c r="AC208" s="762">
        <f>'[5]DAS-VAC'!$L$55</f>
        <v>16922.636419021241</v>
      </c>
      <c r="AD208" s="702"/>
      <c r="AE208" s="760"/>
      <c r="AF208" s="762">
        <f>'[5]DAS-VAC'!$M$55</f>
        <v>16922.636419021241</v>
      </c>
      <c r="AG208" s="702"/>
      <c r="AH208" s="760"/>
      <c r="AI208" s="762">
        <f>'[5]DAS-VAC'!$N$55</f>
        <v>16673.690254520276</v>
      </c>
      <c r="AJ208" s="702"/>
      <c r="AK208" s="760"/>
      <c r="AL208" s="762">
        <f>'[5]DAS-VAC'!$O$55</f>
        <v>16922.636419021241</v>
      </c>
      <c r="AM208" s="702"/>
      <c r="AN208" s="760"/>
      <c r="AO208" s="762">
        <f>'[5]DAS-VAC'!$P$55</f>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f>'[5]DAS-VAC'!$E$63</f>
        <v>11949.478015739529</v>
      </c>
      <c r="I209" s="711"/>
      <c r="J209" s="733"/>
      <c r="K209" s="749">
        <f>'[5]DAS-VAC'!$F$63</f>
        <v>11460.517157847171</v>
      </c>
      <c r="L209" s="711"/>
      <c r="M209" s="733"/>
      <c r="N209" s="749">
        <f>'[5]DAS-VAC'!$G$63</f>
        <v>12616.85029152425</v>
      </c>
      <c r="O209" s="711"/>
      <c r="P209" s="733"/>
      <c r="Q209" s="749">
        <f>'[5]DAS-VAC'!$H$63</f>
        <v>11949.478015739529</v>
      </c>
      <c r="R209" s="711"/>
      <c r="S209" s="733"/>
      <c r="T209" s="749">
        <f>'[5]DAS-VAC'!$I$63</f>
        <v>11817.339993631887</v>
      </c>
      <c r="U209" s="711"/>
      <c r="V209" s="733"/>
      <c r="W209" s="749">
        <f>'[5]DAS-VAC'!$J$63</f>
        <v>12127.889433631888</v>
      </c>
      <c r="X209" s="711"/>
      <c r="Y209" s="733"/>
      <c r="Z209" s="749">
        <f>'[5]DAS-VAC'!$K$63</f>
        <v>12438.438873631889</v>
      </c>
      <c r="AA209" s="711"/>
      <c r="AB209" s="733"/>
      <c r="AC209" s="749">
        <f>'[5]DAS-VAC'!$L$63</f>
        <v>12127.889433631888</v>
      </c>
      <c r="AD209" s="711"/>
      <c r="AE209" s="733"/>
      <c r="AF209" s="749">
        <f>'[5]DAS-VAC'!$M$63</f>
        <v>12127.889433631888</v>
      </c>
      <c r="AG209" s="711"/>
      <c r="AH209" s="733"/>
      <c r="AI209" s="749">
        <f>'[5]DAS-VAC'!$N$63</f>
        <v>11949.478015739529</v>
      </c>
      <c r="AJ209" s="711"/>
      <c r="AK209" s="733"/>
      <c r="AL209" s="749">
        <f>'[5]DAS-VAC'!$O$63</f>
        <v>12127.889433631888</v>
      </c>
      <c r="AM209" s="711"/>
      <c r="AN209" s="733"/>
      <c r="AO209" s="749">
        <f>'[5]DAS-VAC'!$P$63</f>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f>'[5]DAS-VAC'!$E$71</f>
        <v>2778.948375753379</v>
      </c>
      <c r="I210" s="711"/>
      <c r="J210" s="733"/>
      <c r="K210" s="749">
        <f>'[5]DAS-VAC'!$F$71</f>
        <v>2665.2365483365516</v>
      </c>
      <c r="L210" s="711"/>
      <c r="M210" s="733"/>
      <c r="N210" s="749">
        <f>'[5]DAS-VAC'!$G$71</f>
        <v>2934.1512305870351</v>
      </c>
      <c r="O210" s="711"/>
      <c r="P210" s="733"/>
      <c r="Q210" s="749">
        <f>'[5]DAS-VAC'!$H$71</f>
        <v>2778.948375753379</v>
      </c>
      <c r="R210" s="711"/>
      <c r="S210" s="733"/>
      <c r="T210" s="749">
        <f>'[5]DAS-VAC'!$I$71</f>
        <v>2748.2186031702067</v>
      </c>
      <c r="U210" s="711"/>
      <c r="V210" s="733"/>
      <c r="W210" s="749">
        <f>'[5]DAS-VAC'!$J$71</f>
        <v>2820.4394031702068</v>
      </c>
      <c r="X210" s="711"/>
      <c r="Y210" s="733"/>
      <c r="Z210" s="749">
        <f>'[5]DAS-VAC'!$K$71</f>
        <v>2892.6602031702073</v>
      </c>
      <c r="AA210" s="711"/>
      <c r="AB210" s="733"/>
      <c r="AC210" s="749">
        <f>'[5]DAS-VAC'!$L$71</f>
        <v>2820.4394031702068</v>
      </c>
      <c r="AD210" s="711"/>
      <c r="AE210" s="733"/>
      <c r="AF210" s="749">
        <f>'[5]DAS-VAC'!$M$71</f>
        <v>2820.4394031702068</v>
      </c>
      <c r="AG210" s="711"/>
      <c r="AH210" s="733"/>
      <c r="AI210" s="749">
        <f>'[5]DAS-VAC'!$N$71</f>
        <v>2778.948375753379</v>
      </c>
      <c r="AJ210" s="711"/>
      <c r="AK210" s="733"/>
      <c r="AL210" s="749">
        <f>'[5]DAS-VAC'!$O$71</f>
        <v>2820.4394031702068</v>
      </c>
      <c r="AM210" s="711"/>
      <c r="AN210" s="733"/>
      <c r="AO210" s="749">
        <f>'[5]DAS-VAC'!$P$71</f>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f>[5]DEPA!$E$104</f>
        <v>7073.1916666666666</v>
      </c>
      <c r="I213" s="711"/>
      <c r="J213" s="733"/>
      <c r="K213" s="749">
        <f>[5]DEPA!$F$104</f>
        <v>7073.1916666666666</v>
      </c>
      <c r="L213" s="711"/>
      <c r="M213" s="733"/>
      <c r="N213" s="749">
        <f>[5]DEPA!$G$104</f>
        <v>7073.1916666666666</v>
      </c>
      <c r="O213" s="711"/>
      <c r="P213" s="733"/>
      <c r="Q213" s="749">
        <f>[5]DEPA!$H$104</f>
        <v>7073.1916666666666</v>
      </c>
      <c r="R213" s="711"/>
      <c r="S213" s="733"/>
      <c r="T213" s="749">
        <f>[5]DEPA!$I$104</f>
        <v>7073.1916666666666</v>
      </c>
      <c r="U213" s="711"/>
      <c r="V213" s="733"/>
      <c r="W213" s="749">
        <f>[5]DEPA!$J$104</f>
        <v>7073.1916666666666</v>
      </c>
      <c r="X213" s="711"/>
      <c r="Y213" s="733"/>
      <c r="Z213" s="749">
        <f>[5]DEPA!$K$104</f>
        <v>7073.1916666666666</v>
      </c>
      <c r="AA213" s="711"/>
      <c r="AB213" s="733"/>
      <c r="AC213" s="749">
        <f>[5]DEPA!$L$104</f>
        <v>7073.1916666666666</v>
      </c>
      <c r="AD213" s="711"/>
      <c r="AE213" s="733"/>
      <c r="AF213" s="749">
        <f>[5]DEPA!$M$104</f>
        <v>7073.1916666666666</v>
      </c>
      <c r="AG213" s="711"/>
      <c r="AH213" s="733"/>
      <c r="AI213" s="749">
        <f>[5]DEPA!$N$104</f>
        <v>7073.1916666666666</v>
      </c>
      <c r="AJ213" s="711"/>
      <c r="AK213" s="733"/>
      <c r="AL213" s="749">
        <f>[5]DEPA!$O$104</f>
        <v>7073.1916666666666</v>
      </c>
      <c r="AM213" s="711"/>
      <c r="AN213" s="733"/>
      <c r="AO213" s="749">
        <f>[5]DEPA!$P$104</f>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f>[5]DEPA!$E$94</f>
        <v>1758.9169876094636</v>
      </c>
      <c r="I214" s="711"/>
      <c r="J214" s="733"/>
      <c r="K214" s="749">
        <f>[5]DEPA!$F$94</f>
        <v>1719.6466132661913</v>
      </c>
      <c r="L214" s="711"/>
      <c r="M214" s="733"/>
      <c r="N214" s="749">
        <f>[5]DEPA!$G$94</f>
        <v>2252.7530495778146</v>
      </c>
      <c r="O214" s="711"/>
      <c r="P214" s="733"/>
      <c r="Q214" s="749">
        <f>[5]DEPA!$H$94</f>
        <v>4121.8098630045515</v>
      </c>
      <c r="R214" s="711"/>
      <c r="S214" s="733"/>
      <c r="T214" s="749">
        <f>[5]DEPA!$I$94</f>
        <v>3681.3243353251628</v>
      </c>
      <c r="U214" s="711"/>
      <c r="V214" s="733"/>
      <c r="W214" s="749">
        <f>[5]DEPA!$J$94</f>
        <v>2199.7310759511602</v>
      </c>
      <c r="X214" s="711"/>
      <c r="Y214" s="733"/>
      <c r="Z214" s="749">
        <f>[5]DEPA!$K$94</f>
        <v>2102.8829386082739</v>
      </c>
      <c r="AA214" s="711"/>
      <c r="AB214" s="733"/>
      <c r="AC214" s="749">
        <f>[5]DEPA!$L$94</f>
        <v>2322.9627189227144</v>
      </c>
      <c r="AD214" s="711"/>
      <c r="AE214" s="733"/>
      <c r="AF214" s="749">
        <f>[5]DEPA!$M$94</f>
        <v>1718.1880323523033</v>
      </c>
      <c r="AG214" s="711"/>
      <c r="AH214" s="733"/>
      <c r="AI214" s="749">
        <f>[5]DEPA!$N$94</f>
        <v>2964.593979577799</v>
      </c>
      <c r="AJ214" s="711"/>
      <c r="AK214" s="733"/>
      <c r="AL214" s="749">
        <f>[5]DEPA!$O$94</f>
        <v>5549.880987709701</v>
      </c>
      <c r="AM214" s="711"/>
      <c r="AN214" s="733"/>
      <c r="AO214" s="749">
        <f>[5]DEPA!$P$94</f>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f>[5]DEPA!$E$117</f>
        <v>16764.080000000002</v>
      </c>
      <c r="I215" s="706"/>
      <c r="J215" s="764"/>
      <c r="K215" s="753">
        <f>[5]DEPA!$F$117</f>
        <v>16764.080000000002</v>
      </c>
      <c r="L215" s="706"/>
      <c r="M215" s="764"/>
      <c r="N215" s="753">
        <f>[5]DEPA!$G$117</f>
        <v>16764.080000000002</v>
      </c>
      <c r="O215" s="706"/>
      <c r="P215" s="764"/>
      <c r="Q215" s="753">
        <f>[5]DEPA!$H$117</f>
        <v>21064.080000000002</v>
      </c>
      <c r="R215" s="706"/>
      <c r="S215" s="764"/>
      <c r="T215" s="753">
        <f>[5]DEPA!$I$117</f>
        <v>21064.080000000002</v>
      </c>
      <c r="U215" s="706"/>
      <c r="V215" s="764"/>
      <c r="W215" s="753">
        <f>[5]DEPA!$J$117</f>
        <v>16764.080000000002</v>
      </c>
      <c r="X215" s="706"/>
      <c r="Y215" s="764"/>
      <c r="Z215" s="753">
        <f>[5]DEPA!$K$117</f>
        <v>16764.080000000002</v>
      </c>
      <c r="AA215" s="706"/>
      <c r="AB215" s="764"/>
      <c r="AC215" s="753">
        <f>[5]DEPA!$L$117</f>
        <v>16764.080000000002</v>
      </c>
      <c r="AD215" s="706"/>
      <c r="AE215" s="764"/>
      <c r="AF215" s="753">
        <f>[5]DEPA!$M$117</f>
        <v>16764.080000000002</v>
      </c>
      <c r="AG215" s="706"/>
      <c r="AH215" s="764"/>
      <c r="AI215" s="753">
        <f>[5]DEPA!$N$117</f>
        <v>22784.080000000002</v>
      </c>
      <c r="AJ215" s="706"/>
      <c r="AK215" s="764"/>
      <c r="AL215" s="753">
        <f>[5]DEPA!$O$117</f>
        <v>21064.080000000002</v>
      </c>
      <c r="AM215" s="706"/>
      <c r="AN215" s="764"/>
      <c r="AO215" s="753">
        <f>[5]DEPA!$P$117</f>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f>[5]DEPA!$E$135</f>
        <v>4425.5472</v>
      </c>
      <c r="I216" s="711"/>
      <c r="J216" s="733"/>
      <c r="K216" s="749">
        <f>[5]DEPA!$F$135</f>
        <v>4425.5472</v>
      </c>
      <c r="L216" s="711"/>
      <c r="M216" s="733"/>
      <c r="N216" s="749">
        <f>[5]DEPA!$G$135</f>
        <v>4425.5472</v>
      </c>
      <c r="O216" s="711"/>
      <c r="P216" s="733"/>
      <c r="Q216" s="749">
        <f>[5]DEPA!$H$135</f>
        <v>4425.5472</v>
      </c>
      <c r="R216" s="711"/>
      <c r="S216" s="733"/>
      <c r="T216" s="749">
        <f>[5]DEPA!$I$135</f>
        <v>4425.5472</v>
      </c>
      <c r="U216" s="711"/>
      <c r="V216" s="733"/>
      <c r="W216" s="749">
        <f>[5]DEPA!$J$135</f>
        <v>4425.5472</v>
      </c>
      <c r="X216" s="711"/>
      <c r="Y216" s="733"/>
      <c r="Z216" s="749">
        <f>[5]DEPA!$K$135</f>
        <v>4425.5472</v>
      </c>
      <c r="AA216" s="711"/>
      <c r="AB216" s="733"/>
      <c r="AC216" s="749">
        <f>[5]DEPA!$L$135</f>
        <v>4425.5472</v>
      </c>
      <c r="AD216" s="711"/>
      <c r="AE216" s="733"/>
      <c r="AF216" s="749">
        <f>[5]DEPA!$M$135</f>
        <v>4425.5472</v>
      </c>
      <c r="AG216" s="711"/>
      <c r="AH216" s="733"/>
      <c r="AI216" s="749">
        <f>[5]DEPA!$N$135</f>
        <v>4425.5472</v>
      </c>
      <c r="AJ216" s="711"/>
      <c r="AK216" s="733"/>
      <c r="AL216" s="749">
        <f>[5]DEPA!$O$135</f>
        <v>4425.5472</v>
      </c>
      <c r="AM216" s="711"/>
      <c r="AN216" s="733"/>
      <c r="AO216" s="749">
        <f>[5]DEPA!$P$135</f>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f>[5]DEPA!$E$152</f>
        <v>1197.3725999999999</v>
      </c>
      <c r="I217" s="711"/>
      <c r="J217" s="733"/>
      <c r="K217" s="749">
        <f>[5]DEPA!$F$152</f>
        <v>1197.3725999999999</v>
      </c>
      <c r="L217" s="711"/>
      <c r="M217" s="733"/>
      <c r="N217" s="749">
        <f>[5]DEPA!$G$152</f>
        <v>1197.3725999999999</v>
      </c>
      <c r="O217" s="711"/>
      <c r="P217" s="733"/>
      <c r="Q217" s="749">
        <f>[5]DEPA!$H$152</f>
        <v>1197.3725999999999</v>
      </c>
      <c r="R217" s="711"/>
      <c r="S217" s="733"/>
      <c r="T217" s="749">
        <f>[5]DEPA!$I$152</f>
        <v>1197.3725999999999</v>
      </c>
      <c r="U217" s="711"/>
      <c r="V217" s="733"/>
      <c r="W217" s="749">
        <f>[5]DEPA!$J$152</f>
        <v>1197.3725999999999</v>
      </c>
      <c r="X217" s="711"/>
      <c r="Y217" s="733"/>
      <c r="Z217" s="749">
        <f>[5]DEPA!$K$152</f>
        <v>1197.3725999999999</v>
      </c>
      <c r="AA217" s="711"/>
      <c r="AB217" s="733"/>
      <c r="AC217" s="749">
        <f>[5]DEPA!$L$152</f>
        <v>1197.3725999999999</v>
      </c>
      <c r="AD217" s="711"/>
      <c r="AE217" s="733"/>
      <c r="AF217" s="749">
        <f>[5]DEPA!$M$152</f>
        <v>1197.3725999999999</v>
      </c>
      <c r="AG217" s="711"/>
      <c r="AH217" s="733"/>
      <c r="AI217" s="749">
        <f>[5]DEPA!$N$152</f>
        <v>1197.3725999999999</v>
      </c>
      <c r="AJ217" s="711"/>
      <c r="AK217" s="733"/>
      <c r="AL217" s="749">
        <f>[5]DEPA!$O$152</f>
        <v>1197.3725999999999</v>
      </c>
      <c r="AM217" s="711"/>
      <c r="AN217" s="733"/>
      <c r="AO217" s="749">
        <f>[5]DEPA!$P$152</f>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f>[5]DEPA!$E$183</f>
        <v>3513.5209999999993</v>
      </c>
      <c r="I218" s="706"/>
      <c r="J218" s="764"/>
      <c r="K218" s="753">
        <f>[5]DEPA!$F$183</f>
        <v>3513.5209999999993</v>
      </c>
      <c r="L218" s="706"/>
      <c r="M218" s="764"/>
      <c r="N218" s="753">
        <f>[5]DEPA!$G$183</f>
        <v>3513.5209999999993</v>
      </c>
      <c r="O218" s="706"/>
      <c r="P218" s="764"/>
      <c r="Q218" s="753">
        <f>[5]DEPA!$H$183</f>
        <v>3849.5209999999993</v>
      </c>
      <c r="R218" s="706"/>
      <c r="S218" s="764"/>
      <c r="T218" s="753">
        <f>[5]DEPA!$I$183</f>
        <v>3849.5209999999993</v>
      </c>
      <c r="U218" s="706"/>
      <c r="V218" s="764"/>
      <c r="W218" s="753">
        <f>[5]DEPA!$J$183</f>
        <v>3513.5209999999993</v>
      </c>
      <c r="X218" s="706"/>
      <c r="Y218" s="764"/>
      <c r="Z218" s="753">
        <f>[5]DEPA!$K$183</f>
        <v>3513.5209999999993</v>
      </c>
      <c r="AA218" s="706"/>
      <c r="AB218" s="764"/>
      <c r="AC218" s="753">
        <f>[5]DEPA!$L$183</f>
        <v>3513.5209999999993</v>
      </c>
      <c r="AD218" s="706"/>
      <c r="AE218" s="764"/>
      <c r="AF218" s="753">
        <f>[5]DEPA!$M$183</f>
        <v>3513.5209999999993</v>
      </c>
      <c r="AG218" s="706"/>
      <c r="AH218" s="764"/>
      <c r="AI218" s="753">
        <f>[5]DEPA!$N$183</f>
        <v>3849.5209999999993</v>
      </c>
      <c r="AJ218" s="706"/>
      <c r="AK218" s="764"/>
      <c r="AL218" s="753">
        <f>[5]DEPA!$O$183</f>
        <v>3849.5209999999993</v>
      </c>
      <c r="AM218" s="706"/>
      <c r="AN218" s="764"/>
      <c r="AO218" s="753">
        <f>[5]DEPA!$P$183</f>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f>[5]DEPA!$E$74</f>
        <v>546</v>
      </c>
      <c r="I219" s="711"/>
      <c r="J219" s="733"/>
      <c r="K219" s="749">
        <f>[5]DEPA!$F$74</f>
        <v>520</v>
      </c>
      <c r="L219" s="711"/>
      <c r="M219" s="733"/>
      <c r="N219" s="749">
        <f>[5]DEPA!$G$74</f>
        <v>572</v>
      </c>
      <c r="O219" s="711"/>
      <c r="P219" s="733"/>
      <c r="Q219" s="749">
        <f>[5]DEPA!$H$74</f>
        <v>546</v>
      </c>
      <c r="R219" s="711"/>
      <c r="S219" s="733"/>
      <c r="T219" s="749">
        <f>[5]DEPA!$I$74</f>
        <v>520</v>
      </c>
      <c r="U219" s="711"/>
      <c r="V219" s="733"/>
      <c r="W219" s="749">
        <f>[5]DEPA!$J$74</f>
        <v>546</v>
      </c>
      <c r="X219" s="711"/>
      <c r="Y219" s="733"/>
      <c r="Z219" s="749">
        <f>[5]DEPA!$K$74</f>
        <v>572</v>
      </c>
      <c r="AA219" s="711"/>
      <c r="AB219" s="733"/>
      <c r="AC219" s="749">
        <f>[5]DEPA!$L$74</f>
        <v>546</v>
      </c>
      <c r="AD219" s="711"/>
      <c r="AE219" s="733"/>
      <c r="AF219" s="749">
        <f>[5]DEPA!$M$74</f>
        <v>546</v>
      </c>
      <c r="AG219" s="711"/>
      <c r="AH219" s="733"/>
      <c r="AI219" s="749">
        <f>[5]DEPA!$N$74</f>
        <v>546</v>
      </c>
      <c r="AJ219" s="711"/>
      <c r="AK219" s="733"/>
      <c r="AL219" s="749">
        <f>[5]DEPA!$O$74</f>
        <v>546</v>
      </c>
      <c r="AM219" s="711"/>
      <c r="AN219" s="733"/>
      <c r="AO219" s="749">
        <f>[5]DEPA!$P$74</f>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f>[5]DEPA!$E$83</f>
        <v>1300</v>
      </c>
      <c r="I220" s="711"/>
      <c r="J220" s="733"/>
      <c r="K220" s="749">
        <f>[5]DEPA!$F$83</f>
        <v>1300</v>
      </c>
      <c r="L220" s="711"/>
      <c r="M220" s="733"/>
      <c r="N220" s="749">
        <f>[5]DEPA!$G$83</f>
        <v>1300</v>
      </c>
      <c r="O220" s="711"/>
      <c r="P220" s="733"/>
      <c r="Q220" s="749">
        <f>[5]DEPA!$H$83</f>
        <v>1300</v>
      </c>
      <c r="R220" s="711"/>
      <c r="S220" s="733"/>
      <c r="T220" s="749">
        <f>[5]DEPA!$I$83</f>
        <v>1300</v>
      </c>
      <c r="U220" s="711"/>
      <c r="V220" s="733"/>
      <c r="W220" s="749">
        <f>[5]DEPA!$J$83</f>
        <v>1300</v>
      </c>
      <c r="X220" s="711"/>
      <c r="Y220" s="733"/>
      <c r="Z220" s="749">
        <f>[5]DEPA!$K$83</f>
        <v>1300</v>
      </c>
      <c r="AA220" s="711"/>
      <c r="AB220" s="733"/>
      <c r="AC220" s="749">
        <f>[5]DEPA!$L$83</f>
        <v>1300</v>
      </c>
      <c r="AD220" s="711"/>
      <c r="AE220" s="733"/>
      <c r="AF220" s="749">
        <f>[5]DEPA!$M$83</f>
        <v>1300</v>
      </c>
      <c r="AG220" s="711"/>
      <c r="AH220" s="733"/>
      <c r="AI220" s="749">
        <f>[5]DEPA!$N$83</f>
        <v>1300</v>
      </c>
      <c r="AJ220" s="711"/>
      <c r="AK220" s="733"/>
      <c r="AL220" s="749">
        <f>[5]DEPA!$O$83</f>
        <v>1300</v>
      </c>
      <c r="AM220" s="711"/>
      <c r="AN220" s="733"/>
      <c r="AO220" s="749">
        <f>[5]DEPA!$P$83</f>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f>[5]DEPA!$E$65</f>
        <v>523.19999999999993</v>
      </c>
      <c r="I221" s="711"/>
      <c r="J221" s="733"/>
      <c r="K221" s="749">
        <f>[5]DEPA!$F$65</f>
        <v>523.19999999999993</v>
      </c>
      <c r="L221" s="711"/>
      <c r="M221" s="733"/>
      <c r="N221" s="749">
        <f>[5]DEPA!$G$65</f>
        <v>523.19999999999993</v>
      </c>
      <c r="O221" s="711"/>
      <c r="P221" s="733"/>
      <c r="Q221" s="749">
        <f>[5]DEPA!$H$65</f>
        <v>523.19999999999993</v>
      </c>
      <c r="R221" s="711"/>
      <c r="S221" s="733"/>
      <c r="T221" s="749">
        <f>[5]DEPA!$I$65</f>
        <v>523.19999999999993</v>
      </c>
      <c r="U221" s="711"/>
      <c r="V221" s="733"/>
      <c r="W221" s="749">
        <f>[5]DEPA!$J$65</f>
        <v>523.19999999999993</v>
      </c>
      <c r="X221" s="711"/>
      <c r="Y221" s="733"/>
      <c r="Z221" s="749">
        <f>[5]DEPA!$K$65</f>
        <v>523.19999999999993</v>
      </c>
      <c r="AA221" s="711"/>
      <c r="AB221" s="733"/>
      <c r="AC221" s="749">
        <f>[5]DEPA!$L$65</f>
        <v>523.19999999999993</v>
      </c>
      <c r="AD221" s="711"/>
      <c r="AE221" s="733"/>
      <c r="AF221" s="749">
        <f>[5]DEPA!$M$65</f>
        <v>523.19999999999993</v>
      </c>
      <c r="AG221" s="711"/>
      <c r="AH221" s="733"/>
      <c r="AI221" s="749">
        <f>[5]DEPA!$N$65</f>
        <v>523.19999999999993</v>
      </c>
      <c r="AJ221" s="711"/>
      <c r="AK221" s="733"/>
      <c r="AL221" s="749">
        <f>[5]DEPA!$O$65</f>
        <v>523.19999999999993</v>
      </c>
      <c r="AM221" s="711"/>
      <c r="AN221" s="733"/>
      <c r="AO221" s="749">
        <f>[5]DEPA!$P$65</f>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f>[5]DEPA!$E$162</f>
        <v>461.18399999999997</v>
      </c>
      <c r="I222" s="711"/>
      <c r="J222" s="733"/>
      <c r="K222" s="749">
        <f>[5]DEPA!$F$162</f>
        <v>461.18399999999997</v>
      </c>
      <c r="L222" s="711"/>
      <c r="M222" s="733"/>
      <c r="N222" s="749">
        <f>[5]DEPA!$G$162</f>
        <v>461.18399999999997</v>
      </c>
      <c r="O222" s="711"/>
      <c r="P222" s="733"/>
      <c r="Q222" s="749">
        <f>[5]DEPA!$H$162</f>
        <v>461.18399999999997</v>
      </c>
      <c r="R222" s="711"/>
      <c r="S222" s="733"/>
      <c r="T222" s="749">
        <f>[5]DEPA!$I$162</f>
        <v>461.18399999999997</v>
      </c>
      <c r="U222" s="711"/>
      <c r="V222" s="733"/>
      <c r="W222" s="749">
        <f>[5]DEPA!$J$162</f>
        <v>461.18399999999997</v>
      </c>
      <c r="X222" s="711"/>
      <c r="Y222" s="733"/>
      <c r="Z222" s="749">
        <f>[5]DEPA!$K$162</f>
        <v>461.18399999999997</v>
      </c>
      <c r="AA222" s="711"/>
      <c r="AB222" s="733"/>
      <c r="AC222" s="749">
        <f>[5]DEPA!$L$162</f>
        <v>461.18399999999997</v>
      </c>
      <c r="AD222" s="711"/>
      <c r="AE222" s="733"/>
      <c r="AF222" s="749">
        <f>[5]DEPA!$M$162</f>
        <v>461.18399999999997</v>
      </c>
      <c r="AG222" s="711"/>
      <c r="AH222" s="733"/>
      <c r="AI222" s="749">
        <f>[5]DEPA!$N$162</f>
        <v>461.18399999999997</v>
      </c>
      <c r="AJ222" s="711"/>
      <c r="AK222" s="733"/>
      <c r="AL222" s="749">
        <f>[5]DEPA!$O$162</f>
        <v>461.18399999999997</v>
      </c>
      <c r="AM222" s="711"/>
      <c r="AN222" s="733"/>
      <c r="AO222" s="749">
        <f>[5]DEPA!$P$162</f>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f>[5]DEPA!$E$172</f>
        <v>207.6</v>
      </c>
      <c r="I223" s="711"/>
      <c r="J223" s="733"/>
      <c r="K223" s="749">
        <f>[5]DEPA!$F$172</f>
        <v>207.6</v>
      </c>
      <c r="L223" s="711"/>
      <c r="M223" s="733"/>
      <c r="N223" s="749">
        <f>[5]DEPA!$G$172</f>
        <v>207.6</v>
      </c>
      <c r="O223" s="711"/>
      <c r="P223" s="733"/>
      <c r="Q223" s="749">
        <f>[5]DEPA!$H$172</f>
        <v>207.6</v>
      </c>
      <c r="R223" s="711"/>
      <c r="S223" s="733"/>
      <c r="T223" s="749">
        <f>[5]DEPA!$I$172</f>
        <v>207.6</v>
      </c>
      <c r="U223" s="711"/>
      <c r="V223" s="733"/>
      <c r="W223" s="749">
        <f>[5]DEPA!$J$172</f>
        <v>207.6</v>
      </c>
      <c r="X223" s="711"/>
      <c r="Y223" s="733"/>
      <c r="Z223" s="749">
        <f>[5]DEPA!$K$172</f>
        <v>207.6</v>
      </c>
      <c r="AA223" s="711"/>
      <c r="AB223" s="733"/>
      <c r="AC223" s="749">
        <f>[5]DEPA!$L$172</f>
        <v>207.6</v>
      </c>
      <c r="AD223" s="711"/>
      <c r="AE223" s="733"/>
      <c r="AF223" s="749">
        <f>[5]DEPA!$M$172</f>
        <v>207.6</v>
      </c>
      <c r="AG223" s="711"/>
      <c r="AH223" s="733"/>
      <c r="AI223" s="749">
        <f>[5]DEPA!$N$172</f>
        <v>207.6</v>
      </c>
      <c r="AJ223" s="711"/>
      <c r="AK223" s="733"/>
      <c r="AL223" s="749">
        <f>[5]DEPA!$O$172</f>
        <v>207.6</v>
      </c>
      <c r="AM223" s="711"/>
      <c r="AN223" s="733"/>
      <c r="AO223" s="749">
        <f>[5]DEPA!$P$172</f>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f>[5]DEPA!$E$215</f>
        <v>961.83999999999992</v>
      </c>
      <c r="I224" s="711"/>
      <c r="J224" s="733"/>
      <c r="K224" s="749">
        <f>[5]DEPA!$F$215</f>
        <v>961.83999999999992</v>
      </c>
      <c r="L224" s="711"/>
      <c r="M224" s="733"/>
      <c r="N224" s="749">
        <f>[5]DEPA!$G$215</f>
        <v>961.83999999999992</v>
      </c>
      <c r="O224" s="711"/>
      <c r="P224" s="733"/>
      <c r="Q224" s="749">
        <f>[5]DEPA!$H$215</f>
        <v>961.83999999999992</v>
      </c>
      <c r="R224" s="711"/>
      <c r="S224" s="733"/>
      <c r="T224" s="749">
        <f>[5]DEPA!$I$215</f>
        <v>961.83999999999992</v>
      </c>
      <c r="U224" s="711"/>
      <c r="V224" s="733"/>
      <c r="W224" s="749">
        <f>[5]DEPA!$J$215</f>
        <v>961.83999999999992</v>
      </c>
      <c r="X224" s="711"/>
      <c r="Y224" s="733"/>
      <c r="Z224" s="749">
        <f>[5]DEPA!$K$215</f>
        <v>961.83999999999992</v>
      </c>
      <c r="AA224" s="711"/>
      <c r="AB224" s="733"/>
      <c r="AC224" s="749">
        <f>[5]DEPA!$L$215</f>
        <v>961.83999999999992</v>
      </c>
      <c r="AD224" s="711"/>
      <c r="AE224" s="733"/>
      <c r="AF224" s="749">
        <f>[5]DEPA!$M$215</f>
        <v>961.83999999999992</v>
      </c>
      <c r="AG224" s="711"/>
      <c r="AH224" s="733"/>
      <c r="AI224" s="749">
        <f>[5]DEPA!$N$215</f>
        <v>961.83999999999992</v>
      </c>
      <c r="AJ224" s="711"/>
      <c r="AK224" s="733"/>
      <c r="AL224" s="749">
        <f>[5]DEPA!$O$215</f>
        <v>961.83999999999992</v>
      </c>
      <c r="AM224" s="711"/>
      <c r="AN224" s="733"/>
      <c r="AO224" s="749">
        <f>[5]DEPA!$P$215</f>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f>[5]DEPA!$E$231</f>
        <v>1391.26</v>
      </c>
      <c r="I225" s="711"/>
      <c r="J225" s="733"/>
      <c r="K225" s="749">
        <f>[5]DEPA!$F$231</f>
        <v>1391.26</v>
      </c>
      <c r="L225" s="711"/>
      <c r="M225" s="733"/>
      <c r="N225" s="749">
        <f>[5]DEPA!$G$231</f>
        <v>1391.26</v>
      </c>
      <c r="O225" s="711"/>
      <c r="P225" s="733"/>
      <c r="Q225" s="749">
        <f>[5]DEPA!$H$231</f>
        <v>1391.26</v>
      </c>
      <c r="R225" s="711"/>
      <c r="S225" s="733"/>
      <c r="T225" s="749">
        <f>[5]DEPA!$I$231</f>
        <v>1391.26</v>
      </c>
      <c r="U225" s="711"/>
      <c r="V225" s="733"/>
      <c r="W225" s="749">
        <f>[5]DEPA!$J$231</f>
        <v>1391.26</v>
      </c>
      <c r="X225" s="711"/>
      <c r="Y225" s="733"/>
      <c r="Z225" s="749">
        <f>[5]DEPA!$K$231</f>
        <v>1391.26</v>
      </c>
      <c r="AA225" s="711"/>
      <c r="AB225" s="733"/>
      <c r="AC225" s="749">
        <f>[5]DEPA!$L$231</f>
        <v>1391.26</v>
      </c>
      <c r="AD225" s="711"/>
      <c r="AE225" s="733"/>
      <c r="AF225" s="749">
        <f>[5]DEPA!$M$231</f>
        <v>1391.26</v>
      </c>
      <c r="AG225" s="711"/>
      <c r="AH225" s="733"/>
      <c r="AI225" s="749">
        <f>[5]DEPA!$N$231</f>
        <v>1391.26</v>
      </c>
      <c r="AJ225" s="711"/>
      <c r="AK225" s="733"/>
      <c r="AL225" s="749">
        <f>[5]DEPA!$O$231</f>
        <v>1391.26</v>
      </c>
      <c r="AM225" s="711"/>
      <c r="AN225" s="733"/>
      <c r="AO225" s="749">
        <f>[5]DEPA!$P$231</f>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f>[5]DEPA!$E$242</f>
        <v>1565.7553746442611</v>
      </c>
      <c r="I226" s="711"/>
      <c r="J226" s="733"/>
      <c r="K226" s="749">
        <f>[5]DEPA!$F$242</f>
        <v>1350.5605376493636</v>
      </c>
      <c r="L226" s="711"/>
      <c r="M226" s="733"/>
      <c r="N226" s="749">
        <f>[5]DEPA!$G$242</f>
        <v>1562.4856180940822</v>
      </c>
      <c r="O226" s="711"/>
      <c r="P226" s="733"/>
      <c r="Q226" s="749">
        <f>[5]DEPA!$H$242</f>
        <v>3003.7395318699969</v>
      </c>
      <c r="R226" s="711"/>
      <c r="S226" s="733"/>
      <c r="T226" s="749">
        <f>[5]DEPA!$I$242</f>
        <v>2752.9930502907059</v>
      </c>
      <c r="U226" s="711"/>
      <c r="V226" s="733"/>
      <c r="W226" s="749">
        <f>[5]DEPA!$J$242</f>
        <v>1819.6409647064913</v>
      </c>
      <c r="X226" s="711"/>
      <c r="Y226" s="733"/>
      <c r="Z226" s="749">
        <f>[5]DEPA!$K$242</f>
        <v>1715.5334678190397</v>
      </c>
      <c r="AA226" s="711"/>
      <c r="AB226" s="733"/>
      <c r="AC226" s="749">
        <f>[5]DEPA!$L$242</f>
        <v>1890.8850538568645</v>
      </c>
      <c r="AD226" s="711"/>
      <c r="AE226" s="733"/>
      <c r="AF226" s="749">
        <f>[5]DEPA!$M$242</f>
        <v>1431.9690143215671</v>
      </c>
      <c r="AG226" s="711"/>
      <c r="AH226" s="733"/>
      <c r="AI226" s="749">
        <f>[5]DEPA!$N$242</f>
        <v>2684.2817531321057</v>
      </c>
      <c r="AJ226" s="711"/>
      <c r="AK226" s="733"/>
      <c r="AL226" s="749">
        <f>[5]DEPA!$O$242</f>
        <v>3906.0972958510692</v>
      </c>
      <c r="AM226" s="711"/>
      <c r="AN226" s="733"/>
      <c r="AO226" s="749">
        <f>[5]DEPA!$P$242</f>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29">
        <v>2021</v>
      </c>
      <c r="D239" s="1130"/>
      <c r="E239" s="1131"/>
      <c r="F239" s="1037" t="s">
        <v>1934</v>
      </c>
      <c r="G239" s="1038"/>
      <c r="H239" s="1039"/>
      <c r="I239" s="1037" t="s">
        <v>1935</v>
      </c>
      <c r="J239" s="1038"/>
      <c r="K239" s="1039"/>
      <c r="L239" s="1037" t="s">
        <v>1936</v>
      </c>
      <c r="M239" s="1038"/>
      <c r="N239" s="1039"/>
      <c r="O239" s="1037" t="s">
        <v>1937</v>
      </c>
      <c r="P239" s="1038"/>
      <c r="Q239" s="1039"/>
      <c r="R239" s="1037" t="s">
        <v>1938</v>
      </c>
      <c r="S239" s="1038"/>
      <c r="T239" s="1039"/>
      <c r="U239" s="1037" t="s">
        <v>1916</v>
      </c>
      <c r="V239" s="1038"/>
      <c r="W239" s="1039"/>
      <c r="X239" s="1037" t="s">
        <v>1939</v>
      </c>
      <c r="Y239" s="1038"/>
      <c r="Z239" s="1039"/>
      <c r="AA239" s="1037" t="s">
        <v>1940</v>
      </c>
      <c r="AB239" s="1038"/>
      <c r="AC239" s="1039"/>
      <c r="AD239" s="1037" t="s">
        <v>3</v>
      </c>
      <c r="AE239" s="1038"/>
      <c r="AF239" s="1039"/>
      <c r="AG239" s="1037" t="s">
        <v>1941</v>
      </c>
      <c r="AH239" s="1038"/>
      <c r="AI239" s="1039"/>
      <c r="AJ239" s="1037" t="s">
        <v>1942</v>
      </c>
      <c r="AK239" s="1038"/>
      <c r="AL239" s="1039"/>
      <c r="AM239" s="1037" t="s">
        <v>1943</v>
      </c>
      <c r="AN239" s="1038"/>
      <c r="AO239" s="1039"/>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f>'[5]Bud men fixes'!$E$31</f>
        <v>78517.102612357092</v>
      </c>
      <c r="H242" s="749">
        <f>'[5]Bud men fixes'!$E$30</f>
        <v>17889.166892491088</v>
      </c>
      <c r="I242" s="804"/>
      <c r="J242" s="805">
        <f>'[5]Bud men fixes'!$F$31</f>
        <v>68119.860316225822</v>
      </c>
      <c r="K242" s="749">
        <f>'[5]Bud men fixes'!$F$30</f>
        <v>15520.281688264424</v>
      </c>
      <c r="L242" s="804"/>
      <c r="M242" s="805">
        <f>'[5]Bud men fixes'!$G$31</f>
        <v>87475.969165700837</v>
      </c>
      <c r="N242" s="749">
        <f>'[5]Bud men fixes'!$G$30</f>
        <v>19930.33567748265</v>
      </c>
      <c r="O242" s="804"/>
      <c r="P242" s="805">
        <f>'[5]Bud men fixes'!$H$31</f>
        <v>75762.233575036022</v>
      </c>
      <c r="Q242" s="749">
        <f>'[5]Bud men fixes'!$H$30</f>
        <v>17261.50348750145</v>
      </c>
      <c r="R242" s="804"/>
      <c r="S242" s="805">
        <f>'[5]Bud men fixes'!$I$31</f>
        <v>104359.36299929337</v>
      </c>
      <c r="T242" s="749">
        <f>'[5]Bud men fixes'!$I$30</f>
        <v>23777.011623893057</v>
      </c>
      <c r="U242" s="804"/>
      <c r="V242" s="805">
        <f>'[5]Bud men fixes'!$J$31</f>
        <v>86548.437574332362</v>
      </c>
      <c r="W242" s="749">
        <f>'[5]Bud men fixes'!$J$30</f>
        <v>19719.00888517897</v>
      </c>
      <c r="X242" s="804"/>
      <c r="Y242" s="805">
        <f>'[5]Bud men fixes'!$K$31</f>
        <v>102548.37313545501</v>
      </c>
      <c r="Z242" s="749">
        <f>'[5]Bud men fixes'!$K$30</f>
        <v>23364.399608969885</v>
      </c>
      <c r="AA242" s="804"/>
      <c r="AB242" s="805">
        <f>'[5]Bud men fixes'!$L$31</f>
        <v>82096.522762792156</v>
      </c>
      <c r="AC242" s="749">
        <f>'[5]Bud men fixes'!$L$30</f>
        <v>18704.694240279401</v>
      </c>
      <c r="AD242" s="804"/>
      <c r="AE242" s="805">
        <f>'[5]Bud men fixes'!$M$31</f>
        <v>62890.384889646244</v>
      </c>
      <c r="AF242" s="749">
        <f>'[5]Bud men fixes'!$M$30</f>
        <v>14328.809314046428</v>
      </c>
      <c r="AG242" s="804"/>
      <c r="AH242" s="805">
        <f>'[5]Bud men fixes'!$N$31</f>
        <v>89718.951661555475</v>
      </c>
      <c r="AI242" s="749">
        <f>'[5]Bud men fixes'!$N$30</f>
        <v>20441.371959646287</v>
      </c>
      <c r="AJ242" s="804"/>
      <c r="AK242" s="805">
        <f>'[5]Bud men fixes'!$O$31</f>
        <v>89900.028650666252</v>
      </c>
      <c r="AL242" s="749">
        <f>'[5]Bud men fixes'!$O$30</f>
        <v>20482.628149327473</v>
      </c>
      <c r="AM242" s="804"/>
      <c r="AN242" s="805">
        <f>'[5]Bud men fixes'!$P$31</f>
        <v>54782.772656939349</v>
      </c>
      <c r="AO242" s="749">
        <f>'[5]Bud men fixes'!$P$30</f>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f>[5]Salaire!$E$50</f>
        <v>283.27471264367819</v>
      </c>
      <c r="I255" s="711"/>
      <c r="J255" s="733"/>
      <c r="K255" s="749">
        <f>[5]Salaire!$F$50</f>
        <v>269.78544061302682</v>
      </c>
      <c r="L255" s="711"/>
      <c r="M255" s="733"/>
      <c r="N255" s="749">
        <f>[5]Salaire!$G$50</f>
        <v>310.25325670498086</v>
      </c>
      <c r="O255" s="711"/>
      <c r="P255" s="733"/>
      <c r="Q255" s="749">
        <f>[5]Salaire!$H$50</f>
        <v>283.27471264367819</v>
      </c>
      <c r="R255" s="711"/>
      <c r="S255" s="733"/>
      <c r="T255" s="749">
        <f>[5]Salaire!$I$50</f>
        <v>296.76398467432955</v>
      </c>
      <c r="U255" s="711"/>
      <c r="V255" s="733"/>
      <c r="W255" s="749">
        <f>[5]Salaire!$J$50</f>
        <v>296.76398467432955</v>
      </c>
      <c r="X255" s="711"/>
      <c r="Y255" s="733"/>
      <c r="Z255" s="749">
        <f>[5]Salaire!$K$50</f>
        <v>296.76398467432955</v>
      </c>
      <c r="AA255" s="711"/>
      <c r="AB255" s="733"/>
      <c r="AC255" s="749">
        <f>[5]Salaire!$L$50</f>
        <v>296.76398467432955</v>
      </c>
      <c r="AD255" s="711"/>
      <c r="AE255" s="733"/>
      <c r="AF255" s="749">
        <f>[5]Salaire!$M$50</f>
        <v>296.76398467432955</v>
      </c>
      <c r="AG255" s="711"/>
      <c r="AH255" s="733"/>
      <c r="AI255" s="749">
        <f>[5]Salaire!$N$50</f>
        <v>283.27471264367819</v>
      </c>
      <c r="AJ255" s="711"/>
      <c r="AK255" s="733"/>
      <c r="AL255" s="749">
        <f>[5]Salaire!$O$50</f>
        <v>296.76398467432955</v>
      </c>
      <c r="AM255" s="711"/>
      <c r="AN255" s="733"/>
      <c r="AO255" s="749">
        <f>[5]Salaire!$P$50</f>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f>[5]Salaire!$E$102</f>
        <v>531.86002864367822</v>
      </c>
      <c r="I256" s="711"/>
      <c r="J256" s="733"/>
      <c r="K256" s="749">
        <f>[5]Salaire!$F$102</f>
        <v>506.53336061302684</v>
      </c>
      <c r="L256" s="711"/>
      <c r="M256" s="733"/>
      <c r="N256" s="749">
        <f>[5]Salaire!$G$102</f>
        <v>582.51336470498097</v>
      </c>
      <c r="O256" s="711"/>
      <c r="P256" s="733"/>
      <c r="Q256" s="749">
        <f>[5]Salaire!$H$102</f>
        <v>531.86002864367822</v>
      </c>
      <c r="R256" s="711"/>
      <c r="S256" s="733"/>
      <c r="T256" s="749">
        <f>[5]Salaire!$I$102</f>
        <v>557.18669667432948</v>
      </c>
      <c r="U256" s="711"/>
      <c r="V256" s="733"/>
      <c r="W256" s="749">
        <f>[5]Salaire!$J$102</f>
        <v>557.18669667432948</v>
      </c>
      <c r="X256" s="711"/>
      <c r="Y256" s="733"/>
      <c r="Z256" s="749">
        <f>[5]Salaire!$K$102</f>
        <v>557.18669667432948</v>
      </c>
      <c r="AA256" s="711"/>
      <c r="AB256" s="733"/>
      <c r="AC256" s="749">
        <f>[5]Salaire!$L$102</f>
        <v>557.18669667432948</v>
      </c>
      <c r="AD256" s="711"/>
      <c r="AE256" s="733"/>
      <c r="AF256" s="749">
        <f>[5]Salaire!$M$102</f>
        <v>557.18669667432948</v>
      </c>
      <c r="AG256" s="711"/>
      <c r="AH256" s="733"/>
      <c r="AI256" s="749">
        <f>[5]Salaire!$N$102</f>
        <v>531.86002864367822</v>
      </c>
      <c r="AJ256" s="711"/>
      <c r="AK256" s="733"/>
      <c r="AL256" s="749">
        <f>[5]Salaire!$O$102</f>
        <v>557.18669667432948</v>
      </c>
      <c r="AM256" s="711"/>
      <c r="AN256" s="733"/>
      <c r="AO256" s="749">
        <f>[5]Salaire!$P$102</f>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f>[5]Salaire!$E$184</f>
        <v>3297.5117336643675</v>
      </c>
      <c r="I257" s="702"/>
      <c r="J257" s="760"/>
      <c r="K257" s="762">
        <f>[5]Salaire!$F$184</f>
        <v>3140.4873653946361</v>
      </c>
      <c r="L257" s="702"/>
      <c r="M257" s="760"/>
      <c r="N257" s="762">
        <f>[5]Salaire!$G$184</f>
        <v>3611.5604702038304</v>
      </c>
      <c r="O257" s="702"/>
      <c r="P257" s="760"/>
      <c r="Q257" s="762">
        <f>[5]Salaire!$H$184</f>
        <v>3297.5117336643675</v>
      </c>
      <c r="R257" s="702"/>
      <c r="S257" s="760"/>
      <c r="T257" s="762">
        <f>[5]Salaire!$I$184</f>
        <v>3454.5361019340994</v>
      </c>
      <c r="U257" s="702"/>
      <c r="V257" s="760"/>
      <c r="W257" s="762">
        <f>[5]Salaire!$J$184</f>
        <v>3454.5361019340994</v>
      </c>
      <c r="X257" s="702"/>
      <c r="Y257" s="760"/>
      <c r="Z257" s="762">
        <f>[5]Salaire!$K$184</f>
        <v>3454.5361019340994</v>
      </c>
      <c r="AA257" s="702"/>
      <c r="AB257" s="760"/>
      <c r="AC257" s="762">
        <f>[5]Salaire!$L$184</f>
        <v>3454.5361019340994</v>
      </c>
      <c r="AD257" s="702"/>
      <c r="AE257" s="760"/>
      <c r="AF257" s="762">
        <f>[5]Salaire!$M$184</f>
        <v>3454.5361019340994</v>
      </c>
      <c r="AG257" s="702"/>
      <c r="AH257" s="760"/>
      <c r="AI257" s="762">
        <f>[5]Salaire!$N$184</f>
        <v>3297.5117336643675</v>
      </c>
      <c r="AJ257" s="702"/>
      <c r="AK257" s="760"/>
      <c r="AL257" s="762">
        <f>[5]Salaire!$O$184</f>
        <v>3454.5361019340994</v>
      </c>
      <c r="AM257" s="702"/>
      <c r="AN257" s="760"/>
      <c r="AO257" s="762">
        <f>[5]Salaire!$P$184</f>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f>[5]Salaire!$E$223</f>
        <v>3462.0771724137931</v>
      </c>
      <c r="I258" s="711"/>
      <c r="J258" s="733"/>
      <c r="K258" s="749">
        <f>[5]Salaire!$F$223</f>
        <v>3344.8354022988506</v>
      </c>
      <c r="L258" s="711"/>
      <c r="M258" s="733"/>
      <c r="N258" s="749">
        <f>[5]Salaire!$G$223</f>
        <v>3696.560712643678</v>
      </c>
      <c r="O258" s="711"/>
      <c r="P258" s="733"/>
      <c r="Q258" s="749">
        <f>[5]Salaire!$H223</f>
        <v>3462.0771724137931</v>
      </c>
      <c r="R258" s="711"/>
      <c r="S258" s="733"/>
      <c r="T258" s="749">
        <f>[5]Salaire!$I$223</f>
        <v>3579.3189425287355</v>
      </c>
      <c r="U258" s="711"/>
      <c r="V258" s="733"/>
      <c r="W258" s="749">
        <f>[5]Salaire!$J$223</f>
        <v>3579.3189425287355</v>
      </c>
      <c r="X258" s="711"/>
      <c r="Y258" s="733"/>
      <c r="Z258" s="749">
        <f>[5]Salaire!$K$223</f>
        <v>3579.3189425287355</v>
      </c>
      <c r="AA258" s="711"/>
      <c r="AB258" s="733"/>
      <c r="AC258" s="749">
        <f>[5]Salaire!$L$223</f>
        <v>3579.3189425287355</v>
      </c>
      <c r="AD258" s="711"/>
      <c r="AE258" s="733"/>
      <c r="AF258" s="749">
        <f>[5]Salaire!$M$223</f>
        <v>3579.3189425287355</v>
      </c>
      <c r="AG258" s="711"/>
      <c r="AH258" s="733"/>
      <c r="AI258" s="749">
        <f>[5]Salaire!$N$223</f>
        <v>3462.0771724137931</v>
      </c>
      <c r="AJ258" s="711"/>
      <c r="AK258" s="733"/>
      <c r="AL258" s="749">
        <f>[5]Salaire!$O$223</f>
        <v>3579.3189425287355</v>
      </c>
      <c r="AM258" s="711"/>
      <c r="AN258" s="733"/>
      <c r="AO258" s="749">
        <f>[5]Salaire!$P$223</f>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f>'[5]DAS-VAC'!$E$48</f>
        <v>908.96683768386197</v>
      </c>
      <c r="I262" s="711"/>
      <c r="J262" s="733"/>
      <c r="K262" s="749">
        <f>'[5]DAS-VAC'!$F$48</f>
        <v>871.39698827034476</v>
      </c>
      <c r="L262" s="711"/>
      <c r="M262" s="733"/>
      <c r="N262" s="749">
        <f>'[5]DAS-VAC'!$G$48</f>
        <v>984.10653651089626</v>
      </c>
      <c r="O262" s="711"/>
      <c r="P262" s="733"/>
      <c r="Q262" s="749">
        <f>'[5]DAS-VAC'!$H$48</f>
        <v>908.96683768386197</v>
      </c>
      <c r="R262" s="711"/>
      <c r="S262" s="733"/>
      <c r="T262" s="749">
        <f>'[5]DAS-VAC'!$I$48</f>
        <v>946.53668709737929</v>
      </c>
      <c r="U262" s="711"/>
      <c r="V262" s="733"/>
      <c r="W262" s="749">
        <f>'[5]DAS-VAC'!$J$48</f>
        <v>946.53668709737929</v>
      </c>
      <c r="X262" s="711"/>
      <c r="Y262" s="733"/>
      <c r="Z262" s="749">
        <f>'[5]DAS-VAC'!$K$48</f>
        <v>946.53668709737929</v>
      </c>
      <c r="AA262" s="711"/>
      <c r="AB262" s="733"/>
      <c r="AC262" s="749">
        <f>'[5]DAS-VAC'!$L$48</f>
        <v>946.53668709737929</v>
      </c>
      <c r="AD262" s="711"/>
      <c r="AE262" s="733"/>
      <c r="AF262" s="749">
        <f>'[5]DAS-VAC'!$M$48</f>
        <v>946.53668709737929</v>
      </c>
      <c r="AG262" s="711"/>
      <c r="AH262" s="733"/>
      <c r="AI262" s="749">
        <f>'[5]DAS-VAC'!$N$48</f>
        <v>908.96683768386197</v>
      </c>
      <c r="AJ262" s="711"/>
      <c r="AK262" s="733"/>
      <c r="AL262" s="749">
        <f>'[5]DAS-VAC'!$O$48</f>
        <v>946.53668709737929</v>
      </c>
      <c r="AM262" s="711"/>
      <c r="AN262" s="733"/>
      <c r="AO262" s="749">
        <f>'[5]DAS-VAC'!$P$48</f>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f>'[5]DAS-VAC'!$E$56</f>
        <v>908.96683768386197</v>
      </c>
      <c r="I263" s="702"/>
      <c r="J263" s="760"/>
      <c r="K263" s="762">
        <f>'[5]DAS-VAC'!$F$56</f>
        <v>871.39698827034476</v>
      </c>
      <c r="L263" s="702"/>
      <c r="M263" s="760"/>
      <c r="N263" s="762">
        <f>'[5]DAS-VAC'!$G$56</f>
        <v>984.10653651089626</v>
      </c>
      <c r="O263" s="702"/>
      <c r="P263" s="760"/>
      <c r="Q263" s="762">
        <f>'[5]DAS-VAC'!$H$56</f>
        <v>908.96683768386197</v>
      </c>
      <c r="R263" s="702"/>
      <c r="S263" s="760"/>
      <c r="T263" s="762">
        <f>'[5]DAS-VAC'!$I$56</f>
        <v>946.53668709737929</v>
      </c>
      <c r="U263" s="702"/>
      <c r="V263" s="760"/>
      <c r="W263" s="762">
        <f>'[5]DAS-VAC'!$J$56</f>
        <v>946.53668709737929</v>
      </c>
      <c r="X263" s="702"/>
      <c r="Y263" s="760"/>
      <c r="Z263" s="762">
        <f>'[5]DAS-VAC'!$K$56</f>
        <v>946.53668709737929</v>
      </c>
      <c r="AA263" s="702"/>
      <c r="AB263" s="760"/>
      <c r="AC263" s="762">
        <f>'[5]DAS-VAC'!$L$56</f>
        <v>946.53668709737929</v>
      </c>
      <c r="AD263" s="702"/>
      <c r="AE263" s="760"/>
      <c r="AF263" s="762">
        <f>'[5]DAS-VAC'!$M$56</f>
        <v>946.53668709737929</v>
      </c>
      <c r="AG263" s="702"/>
      <c r="AH263" s="760"/>
      <c r="AI263" s="762">
        <f>'[5]DAS-VAC'!$N$56</f>
        <v>908.96683768386197</v>
      </c>
      <c r="AJ263" s="702"/>
      <c r="AK263" s="760"/>
      <c r="AL263" s="762">
        <f>'[5]DAS-VAC'!$O$56</f>
        <v>946.53668709737929</v>
      </c>
      <c r="AM263" s="702"/>
      <c r="AN263" s="760"/>
      <c r="AO263" s="762">
        <f>'[5]DAS-VAC'!$P$56</f>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f>'[5]DAS-VAC'!$E$64</f>
        <v>651.42623367343435</v>
      </c>
      <c r="I264" s="711"/>
      <c r="J264" s="733"/>
      <c r="K264" s="749">
        <f>'[5]DAS-VAC'!$F$64</f>
        <v>624.50117492708034</v>
      </c>
      <c r="L264" s="711"/>
      <c r="M264" s="733"/>
      <c r="N264" s="749">
        <f>'[5]DAS-VAC'!$G$64</f>
        <v>705.27635116614226</v>
      </c>
      <c r="O264" s="711"/>
      <c r="P264" s="733"/>
      <c r="Q264" s="749">
        <f>'[5]DAS-VAC'!$H$64</f>
        <v>651.42623367343435</v>
      </c>
      <c r="R264" s="711"/>
      <c r="S264" s="733"/>
      <c r="T264" s="749">
        <f>'[5]DAS-VAC'!$I$64</f>
        <v>678.35129241978848</v>
      </c>
      <c r="U264" s="711"/>
      <c r="V264" s="733"/>
      <c r="W264" s="749">
        <f>'[5]DAS-VAC'!$J$64</f>
        <v>678.35129241978848</v>
      </c>
      <c r="X264" s="711"/>
      <c r="Y264" s="733"/>
      <c r="Z264" s="749">
        <f>'[5]DAS-VAC'!$K$64</f>
        <v>678.35129241978848</v>
      </c>
      <c r="AA264" s="711"/>
      <c r="AB264" s="733"/>
      <c r="AC264" s="749">
        <f>'[5]DAS-VAC'!$L$64</f>
        <v>678.35129241978848</v>
      </c>
      <c r="AD264" s="711"/>
      <c r="AE264" s="733"/>
      <c r="AF264" s="749">
        <f>'[5]DAS-VAC'!$M$64</f>
        <v>678.35129241978848</v>
      </c>
      <c r="AG264" s="711"/>
      <c r="AH264" s="733"/>
      <c r="AI264" s="749">
        <f>'[5]DAS-VAC'!$N$64</f>
        <v>651.42623367343435</v>
      </c>
      <c r="AJ264" s="711"/>
      <c r="AK264" s="733"/>
      <c r="AL264" s="749">
        <f>'[5]DAS-VAC'!$O$64</f>
        <v>678.35129241978848</v>
      </c>
      <c r="AM264" s="711"/>
      <c r="AN264" s="733"/>
      <c r="AO264" s="749">
        <f>'[5]DAS-VAC'!$P$64</f>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f>'[5]DAS-VAC'!$E$72</f>
        <v>151.49447294731033</v>
      </c>
      <c r="I265" s="711"/>
      <c r="J265" s="733"/>
      <c r="K265" s="749">
        <f>'[5]DAS-VAC'!$F$72</f>
        <v>145.23283137839081</v>
      </c>
      <c r="L265" s="711"/>
      <c r="M265" s="733"/>
      <c r="N265" s="749">
        <f>'[5]DAS-VAC'!$G$72</f>
        <v>164.01775608514939</v>
      </c>
      <c r="O265" s="711"/>
      <c r="P265" s="733"/>
      <c r="Q265" s="749">
        <f>'[5]DAS-VAC'!$H$72</f>
        <v>151.49447294731033</v>
      </c>
      <c r="R265" s="711"/>
      <c r="S265" s="733"/>
      <c r="T265" s="749">
        <f>'[5]DAS-VAC'!$I$72</f>
        <v>157.75611451622987</v>
      </c>
      <c r="U265" s="711"/>
      <c r="V265" s="733"/>
      <c r="W265" s="749">
        <f>'[5]DAS-VAC'!$J$72</f>
        <v>157.75611451622987</v>
      </c>
      <c r="X265" s="711"/>
      <c r="Y265" s="733"/>
      <c r="Z265" s="749">
        <f>'[5]DAS-VAC'!$K$72</f>
        <v>157.75611451622987</v>
      </c>
      <c r="AA265" s="711"/>
      <c r="AB265" s="733"/>
      <c r="AC265" s="749">
        <f>'[5]DAS-VAC'!$L$72</f>
        <v>157.75611451622987</v>
      </c>
      <c r="AD265" s="711"/>
      <c r="AE265" s="733"/>
      <c r="AF265" s="749">
        <f>'[5]DAS-VAC'!$M$72</f>
        <v>157.75611451622987</v>
      </c>
      <c r="AG265" s="711"/>
      <c r="AH265" s="733"/>
      <c r="AI265" s="749">
        <f>'[5]DAS-VAC'!$N$72</f>
        <v>151.49447294731033</v>
      </c>
      <c r="AJ265" s="711"/>
      <c r="AK265" s="733"/>
      <c r="AL265" s="749">
        <f>'[5]DAS-VAC'!$O$72</f>
        <v>157.75611451622987</v>
      </c>
      <c r="AM265" s="711"/>
      <c r="AN265" s="733"/>
      <c r="AO265" s="749">
        <f>'[5]DAS-VAC'!$P$72</f>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f>[5]DEPA!$E$105</f>
        <v>0</v>
      </c>
      <c r="I268" s="711"/>
      <c r="J268" s="733"/>
      <c r="K268" s="749">
        <f>[5]DEPA!$F$105</f>
        <v>0</v>
      </c>
      <c r="L268" s="711"/>
      <c r="M268" s="733"/>
      <c r="N268" s="749">
        <f>[5]DEPA!$G$105</f>
        <v>0</v>
      </c>
      <c r="O268" s="711"/>
      <c r="P268" s="733"/>
      <c r="Q268" s="749">
        <f>[5]DEPA!$H$105</f>
        <v>0</v>
      </c>
      <c r="R268" s="711"/>
      <c r="S268" s="733"/>
      <c r="T268" s="749">
        <f>[5]DEPA!$I$105</f>
        <v>0</v>
      </c>
      <c r="U268" s="711"/>
      <c r="V268" s="733"/>
      <c r="W268" s="749">
        <f>[5]DEPA!$J$105</f>
        <v>0</v>
      </c>
      <c r="X268" s="711"/>
      <c r="Y268" s="733"/>
      <c r="Z268" s="749">
        <f>[5]DEPA!$K$105</f>
        <v>0</v>
      </c>
      <c r="AA268" s="711"/>
      <c r="AB268" s="733"/>
      <c r="AC268" s="749">
        <f>[5]DEPA!$L$105</f>
        <v>0</v>
      </c>
      <c r="AD268" s="711"/>
      <c r="AE268" s="733"/>
      <c r="AF268" s="749">
        <f>[5]DEPA!$M$105</f>
        <v>0</v>
      </c>
      <c r="AG268" s="711"/>
      <c r="AH268" s="733"/>
      <c r="AI268" s="749">
        <f>[5]DEPA!$N$105</f>
        <v>0</v>
      </c>
      <c r="AJ268" s="711"/>
      <c r="AK268" s="733"/>
      <c r="AL268" s="749">
        <f>[5]DEPA!$O$105</f>
        <v>0</v>
      </c>
      <c r="AM268" s="711"/>
      <c r="AN268" s="733"/>
      <c r="AO268" s="749">
        <f>[5]DEPA!$P$105</f>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f>[5]DEPA!$E$95</f>
        <v>998.72169351846264</v>
      </c>
      <c r="I269" s="711"/>
      <c r="J269" s="733"/>
      <c r="K269" s="749">
        <f>[5]DEPA!$F$95</f>
        <v>866.47087059673436</v>
      </c>
      <c r="L269" s="711"/>
      <c r="M269" s="733"/>
      <c r="N269" s="749">
        <f>[5]DEPA!$G$95</f>
        <v>1112.6766673836501</v>
      </c>
      <c r="O269" s="711"/>
      <c r="P269" s="733"/>
      <c r="Q269" s="749">
        <f>[5]DEPA!$H$95</f>
        <v>963.68031554049003</v>
      </c>
      <c r="R269" s="711"/>
      <c r="S269" s="733"/>
      <c r="T269" s="749">
        <f>[5]DEPA!$I$95</f>
        <v>1327.4300283816012</v>
      </c>
      <c r="U269" s="711"/>
      <c r="V269" s="733"/>
      <c r="W269" s="749">
        <f>[5]DEPA!$J$95</f>
        <v>1100.8786527995303</v>
      </c>
      <c r="X269" s="711"/>
      <c r="Y269" s="733"/>
      <c r="Z269" s="749">
        <f>[5]DEPA!$K$95</f>
        <v>1304.3946029318499</v>
      </c>
      <c r="AA269" s="711"/>
      <c r="AB269" s="733"/>
      <c r="AC269" s="749">
        <f>[5]DEPA!$L$95</f>
        <v>1044.2511951877461</v>
      </c>
      <c r="AD269" s="711"/>
      <c r="AE269" s="733"/>
      <c r="AF269" s="749">
        <f>[5]DEPA!$M$95</f>
        <v>799.95299894230106</v>
      </c>
      <c r="AG269" s="711"/>
      <c r="AH269" s="733"/>
      <c r="AI269" s="749">
        <f>[5]DEPA!$N$95</f>
        <v>1141.2069518982451</v>
      </c>
      <c r="AJ269" s="711"/>
      <c r="AK269" s="733"/>
      <c r="AL269" s="749">
        <f>[5]DEPA!$O$95</f>
        <v>1143.510214642348</v>
      </c>
      <c r="AM269" s="711"/>
      <c r="AN269" s="733"/>
      <c r="AO269" s="749">
        <f>[5]DEPA!$P$95</f>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f>[5]DEPA!$E$118</f>
        <v>298.94</v>
      </c>
      <c r="I270" s="706"/>
      <c r="J270" s="764"/>
      <c r="K270" s="753">
        <f>[5]DEPA!$F$118</f>
        <v>298.94</v>
      </c>
      <c r="L270" s="706"/>
      <c r="M270" s="764"/>
      <c r="N270" s="753">
        <f>[5]DEPA!$G$118</f>
        <v>298.94</v>
      </c>
      <c r="O270" s="706"/>
      <c r="P270" s="764"/>
      <c r="Q270" s="753">
        <f>[5]DEPA!$H$118</f>
        <v>298.94</v>
      </c>
      <c r="R270" s="706"/>
      <c r="S270" s="764"/>
      <c r="T270" s="753">
        <f>[5]DEPA!$I$118</f>
        <v>298.94</v>
      </c>
      <c r="U270" s="706"/>
      <c r="V270" s="764"/>
      <c r="W270" s="753">
        <f>[5]DEPA!$J$118</f>
        <v>298.94</v>
      </c>
      <c r="X270" s="706"/>
      <c r="Y270" s="764"/>
      <c r="Z270" s="753">
        <f>[5]DEPA!$K$118</f>
        <v>298.94</v>
      </c>
      <c r="AA270" s="706"/>
      <c r="AB270" s="764"/>
      <c r="AC270" s="753">
        <f>[5]DEPA!$L$118</f>
        <v>298.94</v>
      </c>
      <c r="AD270" s="706"/>
      <c r="AE270" s="764"/>
      <c r="AF270" s="753">
        <f>[5]DEPA!$M$118</f>
        <v>298.94</v>
      </c>
      <c r="AG270" s="706"/>
      <c r="AH270" s="764"/>
      <c r="AI270" s="753">
        <f>[5]DEPA!$N$118</f>
        <v>298.94</v>
      </c>
      <c r="AJ270" s="706"/>
      <c r="AK270" s="764"/>
      <c r="AL270" s="753">
        <f>[5]DEPA!$O$118</f>
        <v>298.94</v>
      </c>
      <c r="AM270" s="706"/>
      <c r="AN270" s="764"/>
      <c r="AO270" s="753">
        <f>[5]DEPA!$P$118</f>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f>[5]DEPA!$E$136</f>
        <v>1436.6179333333334</v>
      </c>
      <c r="I271" s="711"/>
      <c r="J271" s="733"/>
      <c r="K271" s="749">
        <f>[5]DEPA!$F$136</f>
        <v>1436.6179333333334</v>
      </c>
      <c r="L271" s="711"/>
      <c r="M271" s="733"/>
      <c r="N271" s="749">
        <f>[5]DEPA!$G$136</f>
        <v>1436.6179333333334</v>
      </c>
      <c r="O271" s="711"/>
      <c r="P271" s="733"/>
      <c r="Q271" s="749">
        <f>[5]DEPA!$H$136</f>
        <v>1436.6179333333334</v>
      </c>
      <c r="R271" s="711"/>
      <c r="S271" s="733"/>
      <c r="T271" s="749">
        <f>[5]DEPA!$I$136</f>
        <v>1436.6179333333334</v>
      </c>
      <c r="U271" s="711"/>
      <c r="V271" s="733"/>
      <c r="W271" s="749">
        <f>[5]DEPA!$J$136</f>
        <v>1436.6179333333334</v>
      </c>
      <c r="X271" s="711"/>
      <c r="Y271" s="733"/>
      <c r="Z271" s="749">
        <f>[5]DEPA!$K$136</f>
        <v>1436.6179333333334</v>
      </c>
      <c r="AA271" s="711"/>
      <c r="AB271" s="733"/>
      <c r="AC271" s="749">
        <f>[5]DEPA!$L$136</f>
        <v>1436.6179333333334</v>
      </c>
      <c r="AD271" s="711"/>
      <c r="AE271" s="733"/>
      <c r="AF271" s="749">
        <f>[5]DEPA!$M$136</f>
        <v>1436.6179333333334</v>
      </c>
      <c r="AG271" s="711"/>
      <c r="AH271" s="733"/>
      <c r="AI271" s="749">
        <f>[5]DEPA!$N$136</f>
        <v>1436.6179333333334</v>
      </c>
      <c r="AJ271" s="711"/>
      <c r="AK271" s="733"/>
      <c r="AL271" s="749">
        <f>[5]DEPA!$O$136</f>
        <v>1436.6179333333334</v>
      </c>
      <c r="AM271" s="711"/>
      <c r="AN271" s="733"/>
      <c r="AO271" s="749">
        <f>[5]DEPA!$P$136</f>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f>[5]DEPA!$E$153</f>
        <v>349.23367500000001</v>
      </c>
      <c r="I272" s="711"/>
      <c r="J272" s="733"/>
      <c r="K272" s="749">
        <f>[5]DEPA!$F$153</f>
        <v>349.23367500000001</v>
      </c>
      <c r="L272" s="711"/>
      <c r="M272" s="733"/>
      <c r="N272" s="749">
        <f>[5]DEPA!$G$153</f>
        <v>349.23367500000001</v>
      </c>
      <c r="O272" s="711"/>
      <c r="P272" s="733"/>
      <c r="Q272" s="749">
        <f>[5]DEPA!$H$153</f>
        <v>349.23367500000001</v>
      </c>
      <c r="R272" s="711"/>
      <c r="S272" s="733"/>
      <c r="T272" s="749">
        <f>[5]DEPA!$I$153</f>
        <v>349.23367500000001</v>
      </c>
      <c r="U272" s="711"/>
      <c r="V272" s="733"/>
      <c r="W272" s="749">
        <f>[5]DEPA!$J$153</f>
        <v>349.23367500000001</v>
      </c>
      <c r="X272" s="711"/>
      <c r="Y272" s="733"/>
      <c r="Z272" s="749">
        <f>[5]DEPA!$K$153</f>
        <v>349.23367500000001</v>
      </c>
      <c r="AA272" s="711"/>
      <c r="AB272" s="733"/>
      <c r="AC272" s="749">
        <f>[5]DEPA!$L$153</f>
        <v>349.23367500000001</v>
      </c>
      <c r="AD272" s="711"/>
      <c r="AE272" s="733"/>
      <c r="AF272" s="749">
        <f>[5]DEPA!$M$153</f>
        <v>349.23367500000001</v>
      </c>
      <c r="AG272" s="711"/>
      <c r="AH272" s="733"/>
      <c r="AI272" s="749">
        <f>[5]DEPA!$N$153</f>
        <v>349.23367500000001</v>
      </c>
      <c r="AJ272" s="711"/>
      <c r="AK272" s="733"/>
      <c r="AL272" s="749">
        <f>[5]DEPA!$O$153</f>
        <v>349.23367500000001</v>
      </c>
      <c r="AM272" s="711"/>
      <c r="AN272" s="733"/>
      <c r="AO272" s="749">
        <f>[5]DEPA!$P$153</f>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f>[5]DEPA!$E$184</f>
        <v>1024.7769583333334</v>
      </c>
      <c r="I273" s="706"/>
      <c r="J273" s="764"/>
      <c r="K273" s="753">
        <f>[5]DEPA!$F$184</f>
        <v>1024.7769583333334</v>
      </c>
      <c r="L273" s="706"/>
      <c r="M273" s="764"/>
      <c r="N273" s="753">
        <f>[5]DEPA!$G$184</f>
        <v>1024.7769583333334</v>
      </c>
      <c r="O273" s="706"/>
      <c r="P273" s="764"/>
      <c r="Q273" s="753">
        <f>[5]DEPA!$H$184</f>
        <v>1122.7769583333334</v>
      </c>
      <c r="R273" s="706"/>
      <c r="S273" s="764"/>
      <c r="T273" s="753">
        <f>[5]DEPA!$I$184</f>
        <v>1122.7769583333334</v>
      </c>
      <c r="U273" s="706"/>
      <c r="V273" s="764"/>
      <c r="W273" s="753">
        <f>[5]DEPA!$J$184</f>
        <v>1024.7769583333334</v>
      </c>
      <c r="X273" s="706"/>
      <c r="Y273" s="764"/>
      <c r="Z273" s="753">
        <f>[5]DEPA!$K$184</f>
        <v>1024.7769583333334</v>
      </c>
      <c r="AA273" s="706"/>
      <c r="AB273" s="764"/>
      <c r="AC273" s="753">
        <f>[5]DEPA!$L$184</f>
        <v>1024.7769583333334</v>
      </c>
      <c r="AD273" s="706"/>
      <c r="AE273" s="764"/>
      <c r="AF273" s="753">
        <f>[5]DEPA!$M$184</f>
        <v>1024.7769583333334</v>
      </c>
      <c r="AG273" s="706"/>
      <c r="AH273" s="764"/>
      <c r="AI273" s="753">
        <f>[5]DEPA!$N$184</f>
        <v>1122.7769583333334</v>
      </c>
      <c r="AJ273" s="706"/>
      <c r="AK273" s="764"/>
      <c r="AL273" s="753">
        <f>[5]DEPA!$O$184</f>
        <v>1122.7769583333334</v>
      </c>
      <c r="AM273" s="706"/>
      <c r="AN273" s="764"/>
      <c r="AO273" s="753">
        <f>[5]DEPA!$P$184</f>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f>[5]DEPA!$E$75</f>
        <v>0</v>
      </c>
      <c r="I274" s="711"/>
      <c r="J274" s="733"/>
      <c r="K274" s="749">
        <f>[5]DEPA!$F$75</f>
        <v>0</v>
      </c>
      <c r="L274" s="711"/>
      <c r="M274" s="733"/>
      <c r="N274" s="749">
        <f>[5]DEPA!$G$75</f>
        <v>0</v>
      </c>
      <c r="O274" s="711"/>
      <c r="P274" s="733"/>
      <c r="Q274" s="749">
        <f>[5]DEPA!$H$75</f>
        <v>0</v>
      </c>
      <c r="R274" s="711"/>
      <c r="S274" s="733"/>
      <c r="T274" s="749">
        <f>[5]DEPA!$I$75</f>
        <v>0</v>
      </c>
      <c r="U274" s="711"/>
      <c r="V274" s="733"/>
      <c r="W274" s="749">
        <f>[5]DEPA!$J$75</f>
        <v>0</v>
      </c>
      <c r="X274" s="711"/>
      <c r="Y274" s="733"/>
      <c r="Z274" s="749">
        <f>[5]DEPA!$K$75</f>
        <v>0</v>
      </c>
      <c r="AA274" s="711"/>
      <c r="AB274" s="733"/>
      <c r="AC274" s="749">
        <f>[5]DEPA!$L$75</f>
        <v>0</v>
      </c>
      <c r="AD274" s="711"/>
      <c r="AE274" s="733"/>
      <c r="AF274" s="749">
        <f>[5]DEPA!$M$75</f>
        <v>0</v>
      </c>
      <c r="AG274" s="711"/>
      <c r="AH274" s="733"/>
      <c r="AI274" s="749">
        <f>[5]DEPA!$N$75</f>
        <v>0</v>
      </c>
      <c r="AJ274" s="711"/>
      <c r="AK274" s="733"/>
      <c r="AL274" s="749">
        <f>[5]DEPA!$O$75</f>
        <v>0</v>
      </c>
      <c r="AM274" s="711"/>
      <c r="AN274" s="733"/>
      <c r="AO274" s="749">
        <f>[5]DEPA!$P$75</f>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f>[5]DEPA!$E$84</f>
        <v>0</v>
      </c>
      <c r="I275" s="711"/>
      <c r="J275" s="733"/>
      <c r="K275" s="749">
        <f>[5]DEPA!$F$84</f>
        <v>0</v>
      </c>
      <c r="L275" s="711"/>
      <c r="M275" s="733"/>
      <c r="N275" s="749">
        <f>[5]DEPA!$G$84</f>
        <v>0</v>
      </c>
      <c r="O275" s="711"/>
      <c r="P275" s="733"/>
      <c r="Q275" s="749">
        <f>[5]DEPA!$H$84</f>
        <v>0</v>
      </c>
      <c r="R275" s="711"/>
      <c r="S275" s="733"/>
      <c r="T275" s="749">
        <f>[5]DEPA!$I$84</f>
        <v>0</v>
      </c>
      <c r="U275" s="711"/>
      <c r="V275" s="733"/>
      <c r="W275" s="749">
        <f>[5]DEPA!$J$84</f>
        <v>0</v>
      </c>
      <c r="X275" s="711"/>
      <c r="Y275" s="733"/>
      <c r="Z275" s="749">
        <f>[5]DEPA!$K$84</f>
        <v>0</v>
      </c>
      <c r="AA275" s="711"/>
      <c r="AB275" s="733"/>
      <c r="AC275" s="749">
        <f>[5]DEPA!$L$84</f>
        <v>0</v>
      </c>
      <c r="AD275" s="711"/>
      <c r="AE275" s="733"/>
      <c r="AF275" s="749">
        <f>[5]DEPA!$M$84</f>
        <v>0</v>
      </c>
      <c r="AG275" s="711"/>
      <c r="AH275" s="733"/>
      <c r="AI275" s="749">
        <f>[5]DEPA!$N$84</f>
        <v>0</v>
      </c>
      <c r="AJ275" s="711"/>
      <c r="AK275" s="733"/>
      <c r="AL275" s="749">
        <f>[5]DEPA!$O$84</f>
        <v>0</v>
      </c>
      <c r="AM275" s="711"/>
      <c r="AN275" s="733"/>
      <c r="AO275" s="749">
        <f>[5]DEPA!$P$84</f>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f>[5]DEPA!$E$66</f>
        <v>152.60000000000002</v>
      </c>
      <c r="I276" s="711"/>
      <c r="J276" s="733"/>
      <c r="K276" s="749">
        <f>[5]DEPA!$F$66</f>
        <v>152.60000000000002</v>
      </c>
      <c r="L276" s="711"/>
      <c r="M276" s="733"/>
      <c r="N276" s="749">
        <f>[5]DEPA!$G$66</f>
        <v>152.60000000000002</v>
      </c>
      <c r="O276" s="711"/>
      <c r="P276" s="733"/>
      <c r="Q276" s="749">
        <f>[5]DEPA!$H$66</f>
        <v>152.60000000000002</v>
      </c>
      <c r="R276" s="711"/>
      <c r="S276" s="733"/>
      <c r="T276" s="749">
        <f>[5]DEPA!$I$66</f>
        <v>152.60000000000002</v>
      </c>
      <c r="U276" s="711"/>
      <c r="V276" s="733"/>
      <c r="W276" s="749">
        <f>[5]DEPA!$J$66</f>
        <v>152.60000000000002</v>
      </c>
      <c r="X276" s="711"/>
      <c r="Y276" s="733"/>
      <c r="Z276" s="749">
        <f>[5]DEPA!$K$66</f>
        <v>152.60000000000002</v>
      </c>
      <c r="AA276" s="711"/>
      <c r="AB276" s="733"/>
      <c r="AC276" s="749">
        <f>[5]DEPA!$L$66</f>
        <v>152.60000000000002</v>
      </c>
      <c r="AD276" s="711"/>
      <c r="AE276" s="733"/>
      <c r="AF276" s="749">
        <f>[5]DEPA!$M$66</f>
        <v>152.60000000000002</v>
      </c>
      <c r="AG276" s="711"/>
      <c r="AH276" s="733"/>
      <c r="AI276" s="749">
        <f>[5]DEPA!$N$66</f>
        <v>152.60000000000002</v>
      </c>
      <c r="AJ276" s="711"/>
      <c r="AK276" s="733"/>
      <c r="AL276" s="749">
        <f>[5]DEPA!$O$66</f>
        <v>152.60000000000002</v>
      </c>
      <c r="AM276" s="711"/>
      <c r="AN276" s="733"/>
      <c r="AO276" s="749">
        <f>[5]DEPA!$P$66</f>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f>[5]DEPA!$E$163</f>
        <v>177.637</v>
      </c>
      <c r="I277" s="711"/>
      <c r="J277" s="733"/>
      <c r="K277" s="749">
        <f>[5]DEPA!$F$163</f>
        <v>177.637</v>
      </c>
      <c r="L277" s="711"/>
      <c r="M277" s="733"/>
      <c r="N277" s="749">
        <f>[5]DEPA!$G$163</f>
        <v>177.637</v>
      </c>
      <c r="O277" s="711"/>
      <c r="P277" s="733"/>
      <c r="Q277" s="749">
        <f>[5]DEPA!$H$163</f>
        <v>177.637</v>
      </c>
      <c r="R277" s="711"/>
      <c r="S277" s="733"/>
      <c r="T277" s="749">
        <f>[5]DEPA!$I$163</f>
        <v>177.637</v>
      </c>
      <c r="U277" s="711"/>
      <c r="V277" s="733"/>
      <c r="W277" s="749">
        <f>[5]DEPA!$J$163</f>
        <v>177.637</v>
      </c>
      <c r="X277" s="711"/>
      <c r="Y277" s="733"/>
      <c r="Z277" s="749">
        <f>[5]DEPA!$K$163</f>
        <v>177.637</v>
      </c>
      <c r="AA277" s="711"/>
      <c r="AB277" s="733"/>
      <c r="AC277" s="749">
        <f>[5]DEPA!$L$163</f>
        <v>177.637</v>
      </c>
      <c r="AD277" s="711"/>
      <c r="AE277" s="733"/>
      <c r="AF277" s="749">
        <f>[5]DEPA!$M$163</f>
        <v>177.637</v>
      </c>
      <c r="AG277" s="711"/>
      <c r="AH277" s="733"/>
      <c r="AI277" s="749">
        <f>[5]DEPA!$N$163</f>
        <v>177.637</v>
      </c>
      <c r="AJ277" s="711"/>
      <c r="AK277" s="733"/>
      <c r="AL277" s="749">
        <f>[5]DEPA!$O$163</f>
        <v>177.637</v>
      </c>
      <c r="AM277" s="711"/>
      <c r="AN277" s="733"/>
      <c r="AO277" s="749">
        <f>[5]DEPA!$P$163</f>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f>[5]DEPA!$E$173</f>
        <v>60.550000000000004</v>
      </c>
      <c r="I278" s="711"/>
      <c r="J278" s="733"/>
      <c r="K278" s="749">
        <f>[5]DEPA!$F$173</f>
        <v>60.550000000000004</v>
      </c>
      <c r="L278" s="711"/>
      <c r="M278" s="733"/>
      <c r="N278" s="749">
        <f>[5]DEPA!$G$173</f>
        <v>60.550000000000004</v>
      </c>
      <c r="O278" s="711"/>
      <c r="P278" s="733"/>
      <c r="Q278" s="749">
        <f>[5]DEPA!$H$173</f>
        <v>60.550000000000004</v>
      </c>
      <c r="R278" s="711"/>
      <c r="S278" s="733"/>
      <c r="T278" s="749">
        <f>[5]DEPA!$I$173</f>
        <v>60.550000000000004</v>
      </c>
      <c r="U278" s="711"/>
      <c r="V278" s="733"/>
      <c r="W278" s="749">
        <f>[5]DEPA!$J$173</f>
        <v>60.550000000000004</v>
      </c>
      <c r="X278" s="711"/>
      <c r="Y278" s="733"/>
      <c r="Z278" s="749">
        <f>[5]DEPA!$K$173</f>
        <v>60.550000000000004</v>
      </c>
      <c r="AA278" s="711"/>
      <c r="AB278" s="733"/>
      <c r="AC278" s="749">
        <f>[5]DEPA!$L$173</f>
        <v>60.550000000000004</v>
      </c>
      <c r="AD278" s="711"/>
      <c r="AE278" s="733"/>
      <c r="AF278" s="749">
        <f>[5]DEPA!$M$173</f>
        <v>60.550000000000004</v>
      </c>
      <c r="AG278" s="711"/>
      <c r="AH278" s="733"/>
      <c r="AI278" s="749">
        <f>[5]DEPA!$N$173</f>
        <v>60.550000000000004</v>
      </c>
      <c r="AJ278" s="711"/>
      <c r="AK278" s="733"/>
      <c r="AL278" s="749">
        <f>[5]DEPA!$O$173</f>
        <v>60.550000000000004</v>
      </c>
      <c r="AM278" s="711"/>
      <c r="AN278" s="733"/>
      <c r="AO278" s="749">
        <f>[5]DEPA!$P$173</f>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f>[5]DEPA!$E$216</f>
        <v>251.37000000000003</v>
      </c>
      <c r="I279" s="711"/>
      <c r="J279" s="733"/>
      <c r="K279" s="749">
        <f>[5]DEPA!$F$216</f>
        <v>251.37000000000003</v>
      </c>
      <c r="L279" s="711"/>
      <c r="M279" s="733"/>
      <c r="N279" s="749">
        <f>[5]DEPA!$G$216</f>
        <v>251.37000000000003</v>
      </c>
      <c r="O279" s="711"/>
      <c r="P279" s="733"/>
      <c r="Q279" s="749">
        <f>[5]DEPA!$H$216</f>
        <v>251.37000000000003</v>
      </c>
      <c r="R279" s="711"/>
      <c r="S279" s="733"/>
      <c r="T279" s="749">
        <f>[5]DEPA!$I$216</f>
        <v>251.37000000000003</v>
      </c>
      <c r="U279" s="711"/>
      <c r="V279" s="733"/>
      <c r="W279" s="749">
        <f>[5]DEPA!$J$216</f>
        <v>251.37000000000003</v>
      </c>
      <c r="X279" s="711"/>
      <c r="Y279" s="733"/>
      <c r="Z279" s="749">
        <f>[5]DEPA!$K$216</f>
        <v>251.37000000000003</v>
      </c>
      <c r="AA279" s="711"/>
      <c r="AB279" s="733"/>
      <c r="AC279" s="749">
        <f>[5]DEPA!$L$216</f>
        <v>251.37000000000003</v>
      </c>
      <c r="AD279" s="711"/>
      <c r="AE279" s="733"/>
      <c r="AF279" s="749">
        <f>[5]DEPA!$M$216</f>
        <v>251.37000000000003</v>
      </c>
      <c r="AG279" s="711"/>
      <c r="AH279" s="733"/>
      <c r="AI279" s="749">
        <f>[5]DEPA!$N$216</f>
        <v>251.37000000000003</v>
      </c>
      <c r="AJ279" s="711"/>
      <c r="AK279" s="733"/>
      <c r="AL279" s="749">
        <f>[5]DEPA!$O$216</f>
        <v>251.37000000000003</v>
      </c>
      <c r="AM279" s="711"/>
      <c r="AN279" s="733"/>
      <c r="AO279" s="749">
        <f>[5]DEPA!$P$216</f>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f>[5]DEPA!$E$232</f>
        <v>41.200833333333343</v>
      </c>
      <c r="I280" s="711"/>
      <c r="J280" s="733"/>
      <c r="K280" s="749">
        <f>[5]DEPA!$F$232</f>
        <v>41.200833333333343</v>
      </c>
      <c r="L280" s="711"/>
      <c r="M280" s="733"/>
      <c r="N280" s="749">
        <f>[5]DEPA!$G$232</f>
        <v>41.200833333333343</v>
      </c>
      <c r="O280" s="711"/>
      <c r="P280" s="733"/>
      <c r="Q280" s="749">
        <f>[5]DEPA!$H$232</f>
        <v>41.200833333333343</v>
      </c>
      <c r="R280" s="711"/>
      <c r="S280" s="733"/>
      <c r="T280" s="749">
        <f>[5]DEPA!$I$232</f>
        <v>41.200833333333343</v>
      </c>
      <c r="U280" s="711"/>
      <c r="V280" s="733"/>
      <c r="W280" s="749">
        <f>[5]DEPA!$J$232</f>
        <v>41.200833333333343</v>
      </c>
      <c r="X280" s="711"/>
      <c r="Y280" s="733"/>
      <c r="Z280" s="749">
        <f>[5]DEPA!$K$232</f>
        <v>41.200833333333343</v>
      </c>
      <c r="AA280" s="711"/>
      <c r="AB280" s="733"/>
      <c r="AC280" s="749">
        <f>[5]DEPA!$L$232</f>
        <v>41.200833333333343</v>
      </c>
      <c r="AD280" s="711"/>
      <c r="AE280" s="733"/>
      <c r="AF280" s="749">
        <f>[5]DEPA!$M$232</f>
        <v>41.200833333333343</v>
      </c>
      <c r="AG280" s="711"/>
      <c r="AH280" s="733"/>
      <c r="AI280" s="749">
        <f>[5]DEPA!$N$232</f>
        <v>41.200833333333343</v>
      </c>
      <c r="AJ280" s="711"/>
      <c r="AK280" s="733"/>
      <c r="AL280" s="749">
        <f>[5]DEPA!$O$232</f>
        <v>41.200833333333343</v>
      </c>
      <c r="AM280" s="711"/>
      <c r="AN280" s="733"/>
      <c r="AO280" s="749">
        <f>[5]DEPA!$P$232</f>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f>[5]DEPA!$E$243</f>
        <v>456.67865093790959</v>
      </c>
      <c r="I281" s="711"/>
      <c r="J281" s="733"/>
      <c r="K281" s="749">
        <f>[5]DEPA!$F$243</f>
        <v>393.91349014773107</v>
      </c>
      <c r="L281" s="711"/>
      <c r="M281" s="733"/>
      <c r="N281" s="749">
        <f>[5]DEPA!$G$243</f>
        <v>455.72497194410732</v>
      </c>
      <c r="O281" s="711"/>
      <c r="P281" s="733"/>
      <c r="Q281" s="749">
        <f>[5]DEPA!$H$243</f>
        <v>876.09069679541574</v>
      </c>
      <c r="R281" s="711"/>
      <c r="S281" s="733"/>
      <c r="T281" s="749">
        <f>[5]DEPA!$I$243</f>
        <v>802.95630633478925</v>
      </c>
      <c r="U281" s="711"/>
      <c r="V281" s="733"/>
      <c r="W281" s="749">
        <f>[5]DEPA!$J$243</f>
        <v>530.72861470605994</v>
      </c>
      <c r="X281" s="711"/>
      <c r="Y281" s="733"/>
      <c r="Z281" s="749">
        <f>[5]DEPA!$K$243</f>
        <v>500.36392811388669</v>
      </c>
      <c r="AA281" s="711"/>
      <c r="AB281" s="733"/>
      <c r="AC281" s="749">
        <f>[5]DEPA!$L$243</f>
        <v>551.50814070825209</v>
      </c>
      <c r="AD281" s="711"/>
      <c r="AE281" s="733"/>
      <c r="AF281" s="749">
        <f>[5]DEPA!$M$243</f>
        <v>417.65762917712379</v>
      </c>
      <c r="AG281" s="711"/>
      <c r="AH281" s="733"/>
      <c r="AI281" s="749">
        <f>[5]DEPA!$N$243</f>
        <v>782.91551133019755</v>
      </c>
      <c r="AJ281" s="711"/>
      <c r="AK281" s="733"/>
      <c r="AL281" s="749">
        <f>[5]DEPA!$O$243</f>
        <v>1139.2783779565621</v>
      </c>
      <c r="AM281" s="711"/>
      <c r="AN281" s="733"/>
      <c r="AO281" s="749">
        <f>[5]DEPA!$P$243</f>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29">
        <v>2021</v>
      </c>
      <c r="D293" s="1130"/>
      <c r="E293" s="1131"/>
      <c r="F293" s="1037" t="s">
        <v>1934</v>
      </c>
      <c r="G293" s="1038"/>
      <c r="H293" s="1039"/>
      <c r="I293" s="1037" t="s">
        <v>1935</v>
      </c>
      <c r="J293" s="1038"/>
      <c r="K293" s="1039"/>
      <c r="L293" s="1037" t="s">
        <v>1936</v>
      </c>
      <c r="M293" s="1038"/>
      <c r="N293" s="1039"/>
      <c r="O293" s="1037" t="s">
        <v>1937</v>
      </c>
      <c r="P293" s="1038"/>
      <c r="Q293" s="1039"/>
      <c r="R293" s="1037" t="s">
        <v>1938</v>
      </c>
      <c r="S293" s="1038"/>
      <c r="T293" s="1039"/>
      <c r="U293" s="1037" t="s">
        <v>1916</v>
      </c>
      <c r="V293" s="1038"/>
      <c r="W293" s="1039"/>
      <c r="X293" s="1037" t="s">
        <v>1939</v>
      </c>
      <c r="Y293" s="1038"/>
      <c r="Z293" s="1039"/>
      <c r="AA293" s="1037" t="s">
        <v>1940</v>
      </c>
      <c r="AB293" s="1038"/>
      <c r="AC293" s="1039"/>
      <c r="AD293" s="1037" t="s">
        <v>3</v>
      </c>
      <c r="AE293" s="1038"/>
      <c r="AF293" s="1039"/>
      <c r="AG293" s="1037" t="s">
        <v>1941</v>
      </c>
      <c r="AH293" s="1038"/>
      <c r="AI293" s="1039"/>
      <c r="AJ293" s="1037" t="s">
        <v>1942</v>
      </c>
      <c r="AK293" s="1038"/>
      <c r="AL293" s="1039"/>
      <c r="AM293" s="1037" t="s">
        <v>1943</v>
      </c>
      <c r="AN293" s="1038"/>
      <c r="AO293" s="1039"/>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f>'[5]Bud men fixes'!$E$37</f>
        <v>56558.019542723647</v>
      </c>
      <c r="G295" s="798">
        <f t="shared" ref="G295:G304" si="75">IF(F295&lt;=0,0,H295/F295)</f>
        <v>0.35812717564768926</v>
      </c>
      <c r="H295" s="749">
        <f>'[5]Bud men fixes'!$E$36</f>
        <v>20254.963799062432</v>
      </c>
      <c r="I295" s="804">
        <f>'[5]Bud men fixes'!$F$37</f>
        <v>59119.003061909214</v>
      </c>
      <c r="J295" s="798">
        <f t="shared" ref="J295:J304" si="76">IF(I295&lt;=0,0,K295/I295)</f>
        <v>0.35812717564768926</v>
      </c>
      <c r="K295" s="749">
        <f>'[5]Bud men fixes'!$F$36</f>
        <v>21172.121593668639</v>
      </c>
      <c r="L295" s="804">
        <f>'[5]Bud men fixes'!$G$37</f>
        <v>59152.790459572665</v>
      </c>
      <c r="M295" s="798">
        <f t="shared" ref="M295:M304" si="77">IF(L295&lt;=0,0,N295/L295)</f>
        <v>0.35812717564768926</v>
      </c>
      <c r="N295" s="749">
        <f>'[5]Bud men fixes'!$G$36</f>
        <v>21184.221778966337</v>
      </c>
      <c r="O295" s="804">
        <f>'[5]Bud men fixes'!$H$37</f>
        <v>96873.973274683376</v>
      </c>
      <c r="P295" s="798">
        <f t="shared" ref="P295:P304" si="78">IF(O295&lt;=0,0,Q295/O295)</f>
        <v>0.35812717564768926</v>
      </c>
      <c r="Q295" s="749">
        <f>'[5]Bud men fixes'!$H$36</f>
        <v>34693.202442632086</v>
      </c>
      <c r="R295" s="804">
        <f>'[5]Bud men fixes'!$I$37</f>
        <v>79286.904101341468</v>
      </c>
      <c r="S295" s="798">
        <f t="shared" ref="S295:S304" si="79">IF(R295&lt;=0,0,T295/R295)</f>
        <v>0.35812717564768926</v>
      </c>
      <c r="T295" s="749">
        <f>'[5]Bud men fixes'!$I$36</f>
        <v>28394.795031662608</v>
      </c>
      <c r="U295" s="804">
        <f>'[5]Bud men fixes'!$J$37</f>
        <v>61003.734554113929</v>
      </c>
      <c r="V295" s="798">
        <f t="shared" ref="V295:V304" si="80">IF(U295&lt;=0,0,W295/U295)</f>
        <v>0.35812717564768926</v>
      </c>
      <c r="W295" s="749">
        <f>'[5]Bud men fixes'!$J$36</f>
        <v>21847.095159826171</v>
      </c>
      <c r="X295" s="804">
        <f>'[5]Bud men fixes'!$K$37</f>
        <v>60661.32114266479</v>
      </c>
      <c r="Y295" s="798">
        <f t="shared" ref="Y295:Y304" si="81">IF(X295&lt;=0,0,Z295/X295)</f>
        <v>0.35812717564768926</v>
      </c>
      <c r="Z295" s="749">
        <f>'[5]Bud men fixes'!$K$36</f>
        <v>21724.467611879998</v>
      </c>
      <c r="AA295" s="804">
        <f>'[5]Bud men fixes'!$L$37</f>
        <v>76778.723065419894</v>
      </c>
      <c r="AB295" s="798">
        <f t="shared" ref="AB295:AB304" si="82">IF(AA295&lt;=0,0,AC295/AA295)</f>
        <v>0.35812717564768926</v>
      </c>
      <c r="AC295" s="749">
        <f>'[5]Bud men fixes'!$L$36</f>
        <v>27496.547241254921</v>
      </c>
      <c r="AD295" s="804">
        <f>'[5]Bud men fixes'!$M$37</f>
        <v>56840.064933360416</v>
      </c>
      <c r="AE295" s="798">
        <f t="shared" ref="AE295:AE304" si="83">IF(AD295&lt;=0,0,AF295/AD295)</f>
        <v>0.35812717564768926</v>
      </c>
      <c r="AF295" s="749">
        <f>'[5]Bud men fixes'!$M$36</f>
        <v>20355.97191821563</v>
      </c>
      <c r="AG295" s="804">
        <f>'[5]Bud men fixes'!$N$37</f>
        <v>71715.511887715809</v>
      </c>
      <c r="AH295" s="798">
        <f t="shared" ref="AH295:AH304" si="84">IF(AG295&lt;=0,0,AI295/AG295)</f>
        <v>0.35812717564768926</v>
      </c>
      <c r="AI295" s="749">
        <f>'[5]Bud men fixes'!$N$36</f>
        <v>25683.273722475948</v>
      </c>
      <c r="AJ295" s="804">
        <f>'[5]Bud men fixes'!$O$37</f>
        <v>106124.16805129041</v>
      </c>
      <c r="AK295" s="798">
        <f t="shared" ref="AK295:AK304" si="85">IF(AJ295&lt;=0,0,AL295/AJ295)</f>
        <v>0.3581271756476892</v>
      </c>
      <c r="AL295" s="749">
        <f>'[5]Bud men fixes'!$O$36</f>
        <v>38005.948572169371</v>
      </c>
      <c r="AM295" s="804">
        <f>'[5]Bud men fixes'!$P$37</f>
        <v>55285.407376308569</v>
      </c>
      <c r="AN295" s="798">
        <f t="shared" ref="AN295:AN304" si="86">IF(AM295&lt;=0,0,AO295/AM295)</f>
        <v>0.35812717564768926</v>
      </c>
      <c r="AO295" s="749">
        <f>'[5]Bud men fixes'!$P$36</f>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f>'[5]Bud men fixes'!$E$40</f>
        <v>52423.803994647475</v>
      </c>
      <c r="G296" s="798">
        <f t="shared" si="75"/>
        <v>0.27367264200070923</v>
      </c>
      <c r="H296" s="749">
        <f>'[5]Bud men fixes'!$E$39</f>
        <v>14346.960942942509</v>
      </c>
      <c r="I296" s="804">
        <f>'[5]Bud men fixes'!$F$40</f>
        <v>49779.877688080589</v>
      </c>
      <c r="J296" s="798">
        <f t="shared" si="76"/>
        <v>0.27367264200070923</v>
      </c>
      <c r="K296" s="749">
        <f>'[5]Bud men fixes'!$F$39</f>
        <v>13623.390645369172</v>
      </c>
      <c r="L296" s="804">
        <f>'[5]Bud men fixes'!$G$40</f>
        <v>43344.181100867499</v>
      </c>
      <c r="M296" s="798">
        <f t="shared" si="77"/>
        <v>0.27367264200070923</v>
      </c>
      <c r="N296" s="749">
        <f>'[5]Bud men fixes'!$G$39</f>
        <v>11862.116557231619</v>
      </c>
      <c r="O296" s="804">
        <f>'[5]Bud men fixes'!$H$40</f>
        <v>34350.507933775058</v>
      </c>
      <c r="P296" s="798">
        <f t="shared" si="78"/>
        <v>0.27367264200070923</v>
      </c>
      <c r="Q296" s="749">
        <f>'[5]Bud men fixes'!$H$39</f>
        <v>9400.794260302544</v>
      </c>
      <c r="R296" s="804">
        <f>'[5]Bud men fixes'!$I$40</f>
        <v>45479.984691792146</v>
      </c>
      <c r="S296" s="798">
        <f t="shared" si="79"/>
        <v>0.27367264200070923</v>
      </c>
      <c r="T296" s="749">
        <f>'[5]Bud men fixes'!$I$39</f>
        <v>12446.627568754568</v>
      </c>
      <c r="U296" s="804">
        <f>'[5]Bud men fixes'!$J$40</f>
        <v>37081.656491933565</v>
      </c>
      <c r="V296" s="798">
        <f t="shared" si="80"/>
        <v>0.27367264200070923</v>
      </c>
      <c r="W296" s="749">
        <f>'[5]Bud men fixes'!$J$39</f>
        <v>10148.234901910209</v>
      </c>
      <c r="X296" s="804">
        <f>'[5]Bud men fixes'!$K$40</f>
        <v>56981.848119371069</v>
      </c>
      <c r="Y296" s="798">
        <f t="shared" si="81"/>
        <v>0.27367264200070923</v>
      </c>
      <c r="Z296" s="749">
        <f>'[5]Bud men fixes'!$K$39</f>
        <v>15594.372920911424</v>
      </c>
      <c r="AA296" s="804">
        <f>'[5]Bud men fixes'!$L$40</f>
        <v>36415.224001468006</v>
      </c>
      <c r="AB296" s="798">
        <f t="shared" si="82"/>
        <v>0.27367264200070923</v>
      </c>
      <c r="AC296" s="749">
        <f>'[5]Bud men fixes'!$L$39</f>
        <v>9965.8505615293889</v>
      </c>
      <c r="AD296" s="804">
        <f>'[5]Bud men fixes'!$M$40</f>
        <v>33745.96065581825</v>
      </c>
      <c r="AE296" s="798">
        <f t="shared" si="83"/>
        <v>0.27367264200070923</v>
      </c>
      <c r="AF296" s="749">
        <f>'[5]Bud men fixes'!$M$39</f>
        <v>9235.3462095297673</v>
      </c>
      <c r="AG296" s="804">
        <f>'[5]Bud men fixes'!$N$40</f>
        <v>41911.357513050338</v>
      </c>
      <c r="AH296" s="798">
        <f t="shared" si="84"/>
        <v>0.27367264200070923</v>
      </c>
      <c r="AI296" s="749">
        <f>'[5]Bud men fixes'!$N$39</f>
        <v>11469.991940432761</v>
      </c>
      <c r="AJ296" s="804">
        <f>'[5]Bud men fixes'!$O$40</f>
        <v>53003.994339095931</v>
      </c>
      <c r="AK296" s="798">
        <f t="shared" si="85"/>
        <v>0.27367264200070923</v>
      </c>
      <c r="AL296" s="749">
        <f>'[5]Bud men fixes'!$O$39</f>
        <v>14505.74316737102</v>
      </c>
      <c r="AM296" s="804">
        <f>'[5]Bud men fixes'!$P$40</f>
        <v>36323.203470100096</v>
      </c>
      <c r="AN296" s="798">
        <f t="shared" si="86"/>
        <v>0.27367264200070923</v>
      </c>
      <c r="AO296" s="749">
        <f>'[5]Bud men fixes'!$P$39</f>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f>'[5]Bud men fixes'!$E$43</f>
        <v>72277.206868378125</v>
      </c>
      <c r="G297" s="798">
        <f t="shared" si="75"/>
        <v>0.23983607715678656</v>
      </c>
      <c r="H297" s="749">
        <f>'[5]Bud men fixes'!$E$42</f>
        <v>17334.681763161359</v>
      </c>
      <c r="I297" s="804">
        <f>'[5]Bud men fixes'!$F$43</f>
        <v>86359.142361086677</v>
      </c>
      <c r="J297" s="798">
        <f t="shared" si="76"/>
        <v>0.23983607715678654</v>
      </c>
      <c r="K297" s="749">
        <f>'[5]Bud men fixes'!$F$42</f>
        <v>20712.037930507497</v>
      </c>
      <c r="L297" s="804">
        <f>'[5]Bud men fixes'!$G$43</f>
        <v>73637.814532344011</v>
      </c>
      <c r="M297" s="798">
        <f t="shared" si="77"/>
        <v>0.23983607715678656</v>
      </c>
      <c r="N297" s="749">
        <f>'[5]Bud men fixes'!$G$42</f>
        <v>17661.004567836397</v>
      </c>
      <c r="O297" s="804">
        <f>'[5]Bud men fixes'!$H$43</f>
        <v>54593.585542272544</v>
      </c>
      <c r="P297" s="798">
        <f t="shared" si="78"/>
        <v>0.23983607715678654</v>
      </c>
      <c r="Q297" s="749">
        <f>'[5]Bud men fixes'!$H$42</f>
        <v>13093.511394382103</v>
      </c>
      <c r="R297" s="804">
        <f>'[5]Bud men fixes'!$I$43</f>
        <v>87434.073358148133</v>
      </c>
      <c r="S297" s="798">
        <f t="shared" si="79"/>
        <v>0.23983607715678656</v>
      </c>
      <c r="T297" s="749">
        <f>'[5]Bud men fixes'!$I$42</f>
        <v>20969.845164056951</v>
      </c>
      <c r="U297" s="804">
        <f>'[5]Bud men fixes'!$J$43</f>
        <v>83010.273455644725</v>
      </c>
      <c r="V297" s="798">
        <f t="shared" si="80"/>
        <v>0.23983607715678651</v>
      </c>
      <c r="W297" s="749">
        <f>'[5]Bud men fixes'!$J$42</f>
        <v>19908.858349313956</v>
      </c>
      <c r="X297" s="804">
        <f>'[5]Bud men fixes'!$K$43</f>
        <v>93288.902236146867</v>
      </c>
      <c r="Y297" s="798">
        <f t="shared" si="81"/>
        <v>0.23983607715678654</v>
      </c>
      <c r="Z297" s="749">
        <f>'[5]Bud men fixes'!$K$42</f>
        <v>22374.044354580437</v>
      </c>
      <c r="AA297" s="804">
        <f>'[5]Bud men fixes'!$L$43</f>
        <v>128595.36795157875</v>
      </c>
      <c r="AB297" s="798">
        <f t="shared" si="82"/>
        <v>0.23983607715678654</v>
      </c>
      <c r="AC297" s="749">
        <f>'[5]Bud men fixes'!$L$42</f>
        <v>30841.808590040197</v>
      </c>
      <c r="AD297" s="804">
        <f>'[5]Bud men fixes'!$M$43</f>
        <v>102558.26618351226</v>
      </c>
      <c r="AE297" s="798">
        <f t="shared" si="83"/>
        <v>0.23983607715678654</v>
      </c>
      <c r="AF297" s="749">
        <f>'[5]Bud men fixes'!$M$42</f>
        <v>24597.172241455097</v>
      </c>
      <c r="AG297" s="804">
        <f>'[5]Bud men fixes'!$N$43</f>
        <v>81400.524187672578</v>
      </c>
      <c r="AH297" s="798">
        <f t="shared" si="84"/>
        <v>0.23983607715678651</v>
      </c>
      <c r="AI297" s="749">
        <f>'[5]Bud men fixes'!$N$42</f>
        <v>19522.782399677508</v>
      </c>
      <c r="AJ297" s="804">
        <f>'[5]Bud men fixes'!$O$43</f>
        <v>60828.735665644577</v>
      </c>
      <c r="AK297" s="798">
        <f t="shared" si="85"/>
        <v>0.23983607715678654</v>
      </c>
      <c r="AL297" s="749">
        <f>'[5]Bud men fixes'!$O$42</f>
        <v>14588.925340455306</v>
      </c>
      <c r="AM297" s="804">
        <f>'[5]Bud men fixes'!$P$43</f>
        <v>74041.85652833608</v>
      </c>
      <c r="AN297" s="798">
        <f t="shared" si="86"/>
        <v>0.23983607715678654</v>
      </c>
      <c r="AO297" s="749">
        <f>'[5]Bud men fixes'!$P$42</f>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f>'[5]Bud men fixes'!$E$46</f>
        <v>41032.786125816012</v>
      </c>
      <c r="G298" s="798">
        <f t="shared" si="75"/>
        <v>0.32994466198333777</v>
      </c>
      <c r="H298" s="749">
        <f>'[5]Bud men fixes'!$E$45</f>
        <v>13538.548748516956</v>
      </c>
      <c r="I298" s="804">
        <f>'[5]Bud men fixes'!$F$46</f>
        <v>38929.913805087061</v>
      </c>
      <c r="J298" s="798">
        <f t="shared" si="76"/>
        <v>0.32994466198333777</v>
      </c>
      <c r="K298" s="749">
        <f>'[5]Bud men fixes'!$F$45</f>
        <v>12844.717251459924</v>
      </c>
      <c r="L298" s="804">
        <f>'[5]Bud men fixes'!$G$46</f>
        <v>39856.178455491056</v>
      </c>
      <c r="M298" s="798">
        <f t="shared" si="77"/>
        <v>0.32994466198333777</v>
      </c>
      <c r="N298" s="749">
        <f>'[5]Bud men fixes'!$G$45</f>
        <v>13150.333328444585</v>
      </c>
      <c r="O298" s="804">
        <f>'[5]Bud men fixes'!$H$46</f>
        <v>46239.681459358391</v>
      </c>
      <c r="P298" s="798">
        <f t="shared" si="78"/>
        <v>0.32994466198333777</v>
      </c>
      <c r="Q298" s="749">
        <f>'[5]Bud men fixes'!$H$45</f>
        <v>15256.536069325215</v>
      </c>
      <c r="R298" s="804">
        <f>'[5]Bud men fixes'!$I$46</f>
        <v>69067.162508301903</v>
      </c>
      <c r="S298" s="798">
        <f t="shared" si="79"/>
        <v>0.32994466198333777</v>
      </c>
      <c r="T298" s="749">
        <f>'[5]Bud men fixes'!$I$45</f>
        <v>22788.34158794993</v>
      </c>
      <c r="U298" s="804">
        <f>'[5]Bud men fixes'!$J$46</f>
        <v>58798.338788738147</v>
      </c>
      <c r="V298" s="798">
        <f t="shared" si="80"/>
        <v>0.32994466198333777</v>
      </c>
      <c r="W298" s="749">
        <f>'[5]Bud men fixes'!$J$45</f>
        <v>19400.198016831986</v>
      </c>
      <c r="X298" s="804">
        <f>'[5]Bud men fixes'!$K$46</f>
        <v>55737.793221153479</v>
      </c>
      <c r="Y298" s="798">
        <f t="shared" si="81"/>
        <v>0.32994466198333777</v>
      </c>
      <c r="Z298" s="749">
        <f>'[5]Bud men fixes'!$K$45</f>
        <v>18390.387344050661</v>
      </c>
      <c r="AA298" s="804">
        <f>'[5]Bud men fixes'!$L$46</f>
        <v>63123.239019784436</v>
      </c>
      <c r="AB298" s="798">
        <f t="shared" si="82"/>
        <v>0.32994466198333772</v>
      </c>
      <c r="AC298" s="749">
        <f>'[5]Bud men fixes'!$L$45</f>
        <v>20827.175761676212</v>
      </c>
      <c r="AD298" s="804">
        <f>'[5]Bud men fixes'!$M$46</f>
        <v>55883.798129063332</v>
      </c>
      <c r="AE298" s="798">
        <f t="shared" si="83"/>
        <v>0.32994466198333777</v>
      </c>
      <c r="AF298" s="749">
        <f>'[5]Bud men fixes'!$M$45</f>
        <v>18438.560884038885</v>
      </c>
      <c r="AG298" s="804">
        <f>'[5]Bud men fixes'!$N$46</f>
        <v>75198.436561639828</v>
      </c>
      <c r="AH298" s="798">
        <f t="shared" si="84"/>
        <v>0.32994466198333777</v>
      </c>
      <c r="AI298" s="749">
        <f>'[5]Bud men fixes'!$N$45</f>
        <v>24811.322733005723</v>
      </c>
      <c r="AJ298" s="804">
        <f>'[5]Bud men fixes'!$O$46</f>
        <v>60582.203881613321</v>
      </c>
      <c r="AK298" s="798">
        <f t="shared" si="85"/>
        <v>0.32994466198333777</v>
      </c>
      <c r="AL298" s="749">
        <f>'[5]Bud men fixes'!$O$45</f>
        <v>19988.77478192456</v>
      </c>
      <c r="AM298" s="804">
        <f>'[5]Bud men fixes'!$P$46</f>
        <v>34053.155135543893</v>
      </c>
      <c r="AN298" s="798">
        <f t="shared" si="86"/>
        <v>0.32994466198333777</v>
      </c>
      <c r="AO298" s="749">
        <f>'[5]Bud men fixes'!$P$45</f>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f>'[5]Bud men fixes'!$E$49</f>
        <v>11548.272056930771</v>
      </c>
      <c r="G299" s="798">
        <f t="shared" si="75"/>
        <v>0.29678579936093841</v>
      </c>
      <c r="H299" s="749">
        <f>'[5]Bud men fixes'!$E$48</f>
        <v>3427.3631536537873</v>
      </c>
      <c r="I299" s="804">
        <f>'[5]Bud men fixes'!$F$49</f>
        <v>8846.8791380232742</v>
      </c>
      <c r="J299" s="798">
        <f t="shared" si="76"/>
        <v>0.29678579936093841</v>
      </c>
      <c r="K299" s="749">
        <f>'[5]Bud men fixes'!$F$48</f>
        <v>2625.628096827847</v>
      </c>
      <c r="L299" s="804">
        <f>'[5]Bud men fixes'!$G$49</f>
        <v>9578.1763980452179</v>
      </c>
      <c r="M299" s="798">
        <f t="shared" si="77"/>
        <v>0.29678579936093841</v>
      </c>
      <c r="N299" s="749">
        <f>'[5]Bud men fixes'!$G$48</f>
        <v>2842.6667387139237</v>
      </c>
      <c r="O299" s="804">
        <f>'[5]Bud men fixes'!$H$49</f>
        <v>12511.403821668857</v>
      </c>
      <c r="P299" s="798">
        <f t="shared" si="78"/>
        <v>0.29678579936093841</v>
      </c>
      <c r="Q299" s="749">
        <f>'[5]Bud men fixes'!$H$48</f>
        <v>3713.2069843414915</v>
      </c>
      <c r="R299" s="804">
        <f>'[5]Bud men fixes'!$I$49</f>
        <v>14856.011564380127</v>
      </c>
      <c r="S299" s="798">
        <f t="shared" si="79"/>
        <v>0.29678579936093841</v>
      </c>
      <c r="T299" s="749">
        <f>'[5]Bud men fixes'!$I$48</f>
        <v>4409.0532674499009</v>
      </c>
      <c r="U299" s="804">
        <f>'[5]Bud men fixes'!$J$49</f>
        <v>12283.166558827203</v>
      </c>
      <c r="V299" s="798">
        <f t="shared" si="80"/>
        <v>0.29678579936093841</v>
      </c>
      <c r="W299" s="749">
        <f>'[5]Bud men fixes'!$J$48</f>
        <v>3645.4694058450782</v>
      </c>
      <c r="X299" s="804">
        <f>'[5]Bud men fixes'!$K$49</f>
        <v>14844.440786534014</v>
      </c>
      <c r="Y299" s="798">
        <f t="shared" si="81"/>
        <v>0.29678579936093841</v>
      </c>
      <c r="Z299" s="749">
        <f>'[5]Bud men fixes'!$K$48</f>
        <v>4405.6192248976149</v>
      </c>
      <c r="AA299" s="804">
        <f>'[5]Bud men fixes'!$L$49</f>
        <v>13537.756635942922</v>
      </c>
      <c r="AB299" s="798">
        <f t="shared" si="82"/>
        <v>0.29678579936093841</v>
      </c>
      <c r="AC299" s="749">
        <f>'[5]Bud men fixes'!$L$48</f>
        <v>4017.8139247521685</v>
      </c>
      <c r="AD299" s="804">
        <f>'[5]Bud men fixes'!$M$49</f>
        <v>10057.82321221679</v>
      </c>
      <c r="AE299" s="798">
        <f t="shared" si="83"/>
        <v>0.29678579936093841</v>
      </c>
      <c r="AF299" s="749">
        <f>'[5]Bud men fixes'!$M$48</f>
        <v>2985.0191018687615</v>
      </c>
      <c r="AG299" s="804">
        <f>'[5]Bud men fixes'!$N$49</f>
        <v>17322.289240608017</v>
      </c>
      <c r="AH299" s="798">
        <f t="shared" si="84"/>
        <v>0.29678579936093841</v>
      </c>
      <c r="AI299" s="749">
        <f>'[5]Bud men fixes'!$N$48</f>
        <v>5141.0094590352328</v>
      </c>
      <c r="AJ299" s="804">
        <f>'[5]Bud men fixes'!$O$49</f>
        <v>22510.112996751133</v>
      </c>
      <c r="AK299" s="798">
        <f t="shared" si="85"/>
        <v>0.29678579936093841</v>
      </c>
      <c r="AL299" s="749">
        <f>'[5]Bud men fixes'!$O$48</f>
        <v>6680.6818794458341</v>
      </c>
      <c r="AM299" s="804">
        <f>'[5]Bud men fixes'!$P$49</f>
        <v>12103.667590071675</v>
      </c>
      <c r="AN299" s="798">
        <f t="shared" si="86"/>
        <v>0.29678579936093841</v>
      </c>
      <c r="AO299" s="749">
        <f>'[5]Bud men fixes'!$P$48</f>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f>'[5]Bud men fixes'!$E$52</f>
        <v>59510.634595705029</v>
      </c>
      <c r="G300" s="798">
        <f t="shared" si="75"/>
        <v>0.19081606757663094</v>
      </c>
      <c r="H300" s="749">
        <f>'[5]Bud men fixes'!$E$51</f>
        <v>11355.585272542243</v>
      </c>
      <c r="I300" s="804">
        <f>'[5]Bud men fixes'!$F$52</f>
        <v>56324.520110096171</v>
      </c>
      <c r="J300" s="798">
        <f t="shared" si="76"/>
        <v>0.19081606757663094</v>
      </c>
      <c r="K300" s="749">
        <f>'[5]Bud men fixes'!$F$51</f>
        <v>10747.62343554942</v>
      </c>
      <c r="L300" s="804">
        <f>'[5]Bud men fixes'!$G$52</f>
        <v>57358.521558253393</v>
      </c>
      <c r="M300" s="798">
        <f t="shared" si="77"/>
        <v>0.19081606757663094</v>
      </c>
      <c r="N300" s="749">
        <f>'[5]Bud men fixes'!$G$51</f>
        <v>10944.927525755322</v>
      </c>
      <c r="O300" s="804">
        <f>'[5]Bud men fixes'!$H$52</f>
        <v>43358.307457594434</v>
      </c>
      <c r="P300" s="798">
        <f t="shared" si="78"/>
        <v>0.19081606757663097</v>
      </c>
      <c r="Q300" s="749">
        <f>'[5]Bud men fixes'!$H$51</f>
        <v>8273.4617258366816</v>
      </c>
      <c r="R300" s="804">
        <f>'[5]Bud men fixes'!$I$52</f>
        <v>54567.944395506944</v>
      </c>
      <c r="S300" s="798">
        <f t="shared" si="79"/>
        <v>0.19081606757663097</v>
      </c>
      <c r="T300" s="749">
        <f>'[5]Bud men fixes'!$I$51</f>
        <v>10412.440565290894</v>
      </c>
      <c r="U300" s="804">
        <f>'[5]Bud men fixes'!$J$52</f>
        <v>54161.758987495748</v>
      </c>
      <c r="V300" s="798">
        <f t="shared" si="80"/>
        <v>0.19081606757663094</v>
      </c>
      <c r="W300" s="749">
        <f>'[5]Bud men fixes'!$J$51</f>
        <v>10334.933863027187</v>
      </c>
      <c r="X300" s="804">
        <f>'[5]Bud men fixes'!$K$52</f>
        <v>51653.179368916273</v>
      </c>
      <c r="Y300" s="798">
        <f t="shared" si="81"/>
        <v>0.19081606757663094</v>
      </c>
      <c r="Z300" s="749">
        <f>'[5]Bud men fixes'!$K$51</f>
        <v>9856.2565650069664</v>
      </c>
      <c r="AA300" s="804">
        <f>'[5]Bud men fixes'!$L$52</f>
        <v>42942.062858260448</v>
      </c>
      <c r="AB300" s="798">
        <f t="shared" si="82"/>
        <v>0.19081606757663094</v>
      </c>
      <c r="AC300" s="749">
        <f>'[5]Bud men fixes'!$L$51</f>
        <v>8194.0355682417594</v>
      </c>
      <c r="AD300" s="804">
        <f>'[5]Bud men fixes'!$M$52</f>
        <v>50401.259647053143</v>
      </c>
      <c r="AE300" s="798">
        <f t="shared" si="83"/>
        <v>0.19081606757663094</v>
      </c>
      <c r="AF300" s="749">
        <f>'[5]Bud men fixes'!$M$51</f>
        <v>9617.3701667594141</v>
      </c>
      <c r="AG300" s="804">
        <f>'[5]Bud men fixes'!$N$52</f>
        <v>53940.227900699661</v>
      </c>
      <c r="AH300" s="798">
        <f t="shared" si="84"/>
        <v>0.19081606757663097</v>
      </c>
      <c r="AI300" s="749">
        <f>'[5]Bud men fixes'!$N$51</f>
        <v>10292.662172198781</v>
      </c>
      <c r="AJ300" s="804">
        <f>'[5]Bud men fixes'!$O$52</f>
        <v>55523.666682395837</v>
      </c>
      <c r="AK300" s="798">
        <f t="shared" si="85"/>
        <v>0.19081606757663094</v>
      </c>
      <c r="AL300" s="749">
        <f>'[5]Bud men fixes'!$O$51</f>
        <v>10594.807733770376</v>
      </c>
      <c r="AM300" s="804">
        <f>'[5]Bud men fixes'!$P$52</f>
        <v>48701.81643802295</v>
      </c>
      <c r="AN300" s="798">
        <f t="shared" si="86"/>
        <v>0.19081606757663094</v>
      </c>
      <c r="AO300" s="749">
        <f>'[5]Bud men fixes'!$P$51</f>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f>'[5]Bud men fixes'!$E$55</f>
        <v>9299.8945100890614</v>
      </c>
      <c r="I302" s="804"/>
      <c r="J302" s="798">
        <f t="shared" si="76"/>
        <v>0</v>
      </c>
      <c r="K302" s="749">
        <f>'[5]Bud men fixes'!$F$55</f>
        <v>9490.3813998439782</v>
      </c>
      <c r="L302" s="804"/>
      <c r="M302" s="798">
        <f t="shared" si="77"/>
        <v>0</v>
      </c>
      <c r="N302" s="749">
        <f>'[5]Bud men fixes'!$G$55</f>
        <v>8969.4594467607076</v>
      </c>
      <c r="O302" s="804"/>
      <c r="P302" s="798">
        <f t="shared" si="78"/>
        <v>0</v>
      </c>
      <c r="Q302" s="749">
        <f>'[5]Bud men fixes'!$H$55</f>
        <v>9127.9645427277192</v>
      </c>
      <c r="R302" s="804"/>
      <c r="S302" s="798">
        <f t="shared" si="79"/>
        <v>0</v>
      </c>
      <c r="T302" s="749">
        <f>'[5]Bud men fixes'!$I$55</f>
        <v>11117.747793097567</v>
      </c>
      <c r="U302" s="804"/>
      <c r="V302" s="798">
        <f t="shared" si="80"/>
        <v>0</v>
      </c>
      <c r="W302" s="749">
        <f>'[5]Bud men fixes'!$J$55</f>
        <v>9711.6505853186191</v>
      </c>
      <c r="X302" s="804"/>
      <c r="Y302" s="798">
        <f t="shared" si="81"/>
        <v>0</v>
      </c>
      <c r="Z302" s="749">
        <f>'[5]Bud men fixes'!$K$55</f>
        <v>10562.177689201206</v>
      </c>
      <c r="AA302" s="804"/>
      <c r="AB302" s="798">
        <f t="shared" si="82"/>
        <v>0</v>
      </c>
      <c r="AC302" s="749">
        <f>'[5]Bud men fixes'!$L$55</f>
        <v>11456.971757632731</v>
      </c>
      <c r="AD302" s="804"/>
      <c r="AE302" s="798">
        <f t="shared" si="83"/>
        <v>0</v>
      </c>
      <c r="AF302" s="749">
        <f>'[5]Bud men fixes'!$M$55</f>
        <v>9811.4571788389731</v>
      </c>
      <c r="AG302" s="804"/>
      <c r="AH302" s="798">
        <f t="shared" si="84"/>
        <v>0</v>
      </c>
      <c r="AI302" s="749">
        <f>'[5]Bud men fixes'!$N$55</f>
        <v>10825.96821907405</v>
      </c>
      <c r="AJ302" s="804"/>
      <c r="AK302" s="798">
        <f t="shared" si="85"/>
        <v>0</v>
      </c>
      <c r="AL302" s="749">
        <f>'[5]Bud men fixes'!$O$55</f>
        <v>11367.587361020038</v>
      </c>
      <c r="AM302" s="804"/>
      <c r="AN302" s="798">
        <f t="shared" si="86"/>
        <v>0</v>
      </c>
      <c r="AO302" s="749">
        <f>'[5]Bud men fixes'!$P$55</f>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f>'[5]Bud men fixes'!$E$56</f>
        <v>100</v>
      </c>
      <c r="I303" s="804"/>
      <c r="J303" s="798">
        <f t="shared" si="76"/>
        <v>0</v>
      </c>
      <c r="K303" s="749">
        <f>'[5]Bud men fixes'!$F$56</f>
        <v>100</v>
      </c>
      <c r="L303" s="804"/>
      <c r="M303" s="798">
        <f t="shared" si="77"/>
        <v>0</v>
      </c>
      <c r="N303" s="749">
        <f>'[5]Bud men fixes'!$G$56</f>
        <v>100</v>
      </c>
      <c r="O303" s="804"/>
      <c r="P303" s="798">
        <f t="shared" si="78"/>
        <v>0</v>
      </c>
      <c r="Q303" s="749">
        <f>'[5]Bud men fixes'!$H$56</f>
        <v>100</v>
      </c>
      <c r="R303" s="804"/>
      <c r="S303" s="798">
        <f t="shared" si="79"/>
        <v>0</v>
      </c>
      <c r="T303" s="749">
        <f>'[5]Bud men fixes'!$I$56</f>
        <v>100</v>
      </c>
      <c r="U303" s="804"/>
      <c r="V303" s="798">
        <f t="shared" si="80"/>
        <v>0</v>
      </c>
      <c r="W303" s="749">
        <f>'[5]Bud men fixes'!$J$56</f>
        <v>100</v>
      </c>
      <c r="X303" s="804"/>
      <c r="Y303" s="798">
        <f t="shared" si="81"/>
        <v>0</v>
      </c>
      <c r="Z303" s="749">
        <f>'[5]Bud men fixes'!$K$56</f>
        <v>100</v>
      </c>
      <c r="AA303" s="804"/>
      <c r="AB303" s="798">
        <f t="shared" si="82"/>
        <v>0</v>
      </c>
      <c r="AC303" s="749">
        <f>'[5]Bud men fixes'!$L$56</f>
        <v>100</v>
      </c>
      <c r="AD303" s="804"/>
      <c r="AE303" s="798">
        <f t="shared" si="83"/>
        <v>0</v>
      </c>
      <c r="AF303" s="749">
        <f>'[5]Bud men fixes'!$M$56</f>
        <v>100</v>
      </c>
      <c r="AG303" s="804"/>
      <c r="AH303" s="798">
        <f t="shared" si="84"/>
        <v>0</v>
      </c>
      <c r="AI303" s="749">
        <f>'[5]Bud men fixes'!$N$56</f>
        <v>100</v>
      </c>
      <c r="AJ303" s="804"/>
      <c r="AK303" s="798">
        <f t="shared" si="85"/>
        <v>0</v>
      </c>
      <c r="AL303" s="749">
        <f>'[5]Bud men fixes'!$O$56</f>
        <v>100</v>
      </c>
      <c r="AM303" s="804"/>
      <c r="AN303" s="798">
        <f t="shared" si="86"/>
        <v>0</v>
      </c>
      <c r="AO303" s="749">
        <f>'[5]Bud men fixes'!$P$56</f>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f>'[5]Bud men fixes'!$E$58</f>
        <v>44733.070931018294</v>
      </c>
      <c r="G307" s="798">
        <f>IF(F307&lt;=0,0,H307/F307)</f>
        <v>0.19499999999999998</v>
      </c>
      <c r="H307" s="749">
        <f>'[5]Bud men fixes'!$E$57</f>
        <v>8722.9488315485669</v>
      </c>
      <c r="I307" s="804">
        <f>'[5]Bud men fixes'!$F$58</f>
        <v>39790.081769045617</v>
      </c>
      <c r="J307" s="798">
        <f>IF(I307&lt;=0,0,K307/I307)</f>
        <v>0.19500000000000001</v>
      </c>
      <c r="K307" s="749">
        <f>'[5]Bud men fixes'!$F$57</f>
        <v>7759.0659449638952</v>
      </c>
      <c r="L307" s="804">
        <f>'[5]Bud men fixes'!$G$58</f>
        <v>26460.109588023632</v>
      </c>
      <c r="M307" s="798">
        <f>IF(L307&lt;=0,0,N307/L307)</f>
        <v>0.19500000000000001</v>
      </c>
      <c r="N307" s="749">
        <f>'[5]Bud men fixes'!$G$57</f>
        <v>5159.7213696646086</v>
      </c>
      <c r="O307" s="804">
        <f>'[5]Bud men fixes'!$H$58</f>
        <v>24486.258868781351</v>
      </c>
      <c r="P307" s="798">
        <f>IF(O307&lt;=0,0,Q307/O307)</f>
        <v>0.19500000000000001</v>
      </c>
      <c r="Q307" s="749">
        <f>'[5]Bud men fixes'!$H$57</f>
        <v>4774.820479412364</v>
      </c>
      <c r="R307" s="804">
        <f>'[5]Bud men fixes'!$I$58</f>
        <v>39747.724268615071</v>
      </c>
      <c r="S307" s="798">
        <f>IF(R307&lt;=0,0,T307/R307)</f>
        <v>0.19500000000000001</v>
      </c>
      <c r="T307" s="749">
        <f>'[5]Bud men fixes'!$I$57</f>
        <v>7750.8062323799395</v>
      </c>
      <c r="U307" s="804">
        <f>'[5]Bud men fixes'!$J$58</f>
        <v>22830.049108010149</v>
      </c>
      <c r="V307" s="798">
        <f>IF(U307&lt;=0,0,W307/U307)</f>
        <v>0.19500000000000001</v>
      </c>
      <c r="W307" s="749">
        <f>'[5]Bud men fixes'!$J$57</f>
        <v>4451.8595760619792</v>
      </c>
      <c r="X307" s="804">
        <f>'[5]Bud men fixes'!$K$58</f>
        <v>18211.2175369998</v>
      </c>
      <c r="Y307" s="798">
        <f>IF(X307&lt;=0,0,Z307/X307)</f>
        <v>0.19500000000000001</v>
      </c>
      <c r="Z307" s="749">
        <f>'[5]Bud men fixes'!$K$57</f>
        <v>3551.1874197149614</v>
      </c>
      <c r="AA307" s="804">
        <f>'[5]Bud men fixes'!$L$58</f>
        <v>28062.427708201438</v>
      </c>
      <c r="AB307" s="798">
        <f>IF(AA307&lt;=0,0,AC307/AA307)</f>
        <v>0.19500000000000001</v>
      </c>
      <c r="AC307" s="749">
        <f>'[5]Bud men fixes'!$L$57</f>
        <v>5472.1734030992802</v>
      </c>
      <c r="AD307" s="804">
        <f>'[5]Bud men fixes'!$M$58</f>
        <v>33836.988060425458</v>
      </c>
      <c r="AE307" s="798">
        <f>IF(AD307&lt;=0,0,AF307/AD307)</f>
        <v>0.19500000000000001</v>
      </c>
      <c r="AF307" s="749">
        <f>'[5]Bud men fixes'!$M$57</f>
        <v>6598.2126717829642</v>
      </c>
      <c r="AG307" s="804">
        <f>'[5]Bud men fixes'!$N$58</f>
        <v>77297.34137505063</v>
      </c>
      <c r="AH307" s="798">
        <f>IF(AG307&lt;=0,0,AI307/AG307)</f>
        <v>0.19500000000000001</v>
      </c>
      <c r="AI307" s="749">
        <f>'[5]Bud men fixes'!$N$57</f>
        <v>15072.981568134874</v>
      </c>
      <c r="AJ307" s="804">
        <f>'[5]Bud men fixes'!$O$58</f>
        <v>100395.72511645118</v>
      </c>
      <c r="AK307" s="798">
        <f>IF(AJ307&lt;=0,0,AL307/AJ307)</f>
        <v>0.19500000000000001</v>
      </c>
      <c r="AL307" s="749">
        <f>'[5]Bud men fixes'!$O$57</f>
        <v>19577.166397707981</v>
      </c>
      <c r="AM307" s="804">
        <f>'[5]Bud men fixes'!$P$58</f>
        <v>31242.005669377369</v>
      </c>
      <c r="AN307" s="798">
        <f>IF(AM307&lt;=0,0,AO307/AM307)</f>
        <v>0.19500000000000001</v>
      </c>
      <c r="AO307" s="749">
        <f>'[5]Bud men fixes'!$P$57</f>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f>'[5]Bud men fixes'!$E$61</f>
        <v>13115.788065400957</v>
      </c>
      <c r="G308" s="798">
        <f>IF(F308&lt;=0,0,H308/F308)</f>
        <v>0.30006987567403659</v>
      </c>
      <c r="H308" s="749">
        <f>'[5]Bud men fixes'!$E$60</f>
        <v>3935.6528941518782</v>
      </c>
      <c r="I308" s="804">
        <f>'[5]Bud men fixes'!$F$61</f>
        <v>13802.65360619588</v>
      </c>
      <c r="J308" s="798">
        <f>IF(I308&lt;=0,0,K308/I308)</f>
        <v>0.30006987567403659</v>
      </c>
      <c r="K308" s="749">
        <f>'[5]Bud men fixes'!$F$60</f>
        <v>4141.76055158299</v>
      </c>
      <c r="L308" s="804">
        <f>'[5]Bud men fixes'!$G$61</f>
        <v>15129.102968859246</v>
      </c>
      <c r="M308" s="798">
        <f>IF(L308&lt;=0,0,N308/L308)</f>
        <v>0.30006987567403665</v>
      </c>
      <c r="N308" s="749">
        <f>'[5]Bud men fixes'!$G$60</f>
        <v>4539.7880469252923</v>
      </c>
      <c r="O308" s="804">
        <f>'[5]Bud men fixes'!$H$61</f>
        <v>22448.181251008446</v>
      </c>
      <c r="P308" s="798">
        <f>IF(O308&lt;=0,0,Q308/O308)</f>
        <v>0.30006987567403659</v>
      </c>
      <c r="Q308" s="749">
        <f>'[5]Bud men fixes'!$H$60</f>
        <v>6736.0229570983438</v>
      </c>
      <c r="R308" s="804">
        <f>'[5]Bud men fixes'!$I$61</f>
        <v>22742.311918463936</v>
      </c>
      <c r="S308" s="798">
        <f>IF(R308&lt;=0,0,T308/R308)</f>
        <v>0.30006987567403659</v>
      </c>
      <c r="T308" s="749">
        <f>'[5]Bud men fixes'!$I$60</f>
        <v>6824.2827099136339</v>
      </c>
      <c r="U308" s="804">
        <f>'[5]Bud men fixes'!$J$61</f>
        <v>19208.182918302584</v>
      </c>
      <c r="V308" s="798">
        <f>IF(U308&lt;=0,0,W308/U308)</f>
        <v>0.30006987567403659</v>
      </c>
      <c r="W308" s="749">
        <f>'[5]Bud men fixes'!$J$60</f>
        <v>5763.7970602192099</v>
      </c>
      <c r="X308" s="804">
        <f>'[5]Bud men fixes'!$K$61</f>
        <v>18914.808314957238</v>
      </c>
      <c r="Y308" s="798">
        <f>IF(X308&lt;=0,0,Z308/X308)</f>
        <v>0.30006987567403659</v>
      </c>
      <c r="Z308" s="749">
        <f>'[5]Bud men fixes'!$K$60</f>
        <v>5675.7641794674519</v>
      </c>
      <c r="AA308" s="804">
        <f>'[5]Bud men fixes'!$L$61</f>
        <v>18848.193513687947</v>
      </c>
      <c r="AB308" s="798">
        <f>IF(AA308&lt;=0,0,AC308/AA308)</f>
        <v>0.30006987567403659</v>
      </c>
      <c r="AC308" s="749">
        <f>'[5]Bud men fixes'!$L$60</f>
        <v>5655.7750843325257</v>
      </c>
      <c r="AD308" s="804">
        <f>'[5]Bud men fixes'!$M$61</f>
        <v>15947.179207228528</v>
      </c>
      <c r="AE308" s="798">
        <f>IF(AD308&lt;=0,0,AF308/AD308)</f>
        <v>0.30006987567403659</v>
      </c>
      <c r="AF308" s="749">
        <f>'[5]Bud men fixes'!$M$60</f>
        <v>4785.2680820646456</v>
      </c>
      <c r="AG308" s="804">
        <f>'[5]Bud men fixes'!$N$61</f>
        <v>23518.210778249882</v>
      </c>
      <c r="AH308" s="798">
        <f>IF(AG308&lt;=0,0,AI308/AG308)</f>
        <v>0.30006987567403659</v>
      </c>
      <c r="AI308" s="749">
        <f>'[5]Bud men fixes'!$N$60</f>
        <v>7057.1065843052293</v>
      </c>
      <c r="AJ308" s="804">
        <f>'[5]Bud men fixes'!$O$61</f>
        <v>30363.710401764107</v>
      </c>
      <c r="AK308" s="798">
        <f>IF(AJ308&lt;=0,0,AL308/AJ308)</f>
        <v>0.30006987567403659</v>
      </c>
      <c r="AL308" s="749">
        <f>'[5]Bud men fixes'!$O$60</f>
        <v>9111.2348052598063</v>
      </c>
      <c r="AM308" s="804">
        <f>'[5]Bud men fixes'!$P$61</f>
        <v>14301.677055881244</v>
      </c>
      <c r="AN308" s="798">
        <f>IF(AM308&lt;=0,0,AO308/AM308)</f>
        <v>0.30006987567403659</v>
      </c>
      <c r="AO308" s="749">
        <f>'[5]Bud men fixes'!$P$60</f>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f>'[5]Bud men fixes'!$E$64</f>
        <v>0</v>
      </c>
      <c r="D312" s="850">
        <f>IF(C312&lt;=0,0,E312/C312)</f>
        <v>0</v>
      </c>
      <c r="E312" s="767">
        <f>'[5]Bud men fixes'!$E$63</f>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f>[5]Salaire!$E$57</f>
        <v>8924.8553069292284</v>
      </c>
      <c r="I318" s="711"/>
      <c r="J318" s="733"/>
      <c r="K318" s="749">
        <f>[5]Salaire!$F$57</f>
        <v>8537.2313375805697</v>
      </c>
      <c r="L318" s="711"/>
      <c r="M318" s="733"/>
      <c r="N318" s="749">
        <f>[5]Salaire!$G$57</f>
        <v>9700.1032456265475</v>
      </c>
      <c r="O318" s="711"/>
      <c r="P318" s="733"/>
      <c r="Q318" s="749">
        <f>[5]Salaire!$H$57</f>
        <v>8924.8553069292284</v>
      </c>
      <c r="R318" s="711"/>
      <c r="S318" s="733"/>
      <c r="T318" s="749">
        <f>[5]Salaire!$I$57</f>
        <v>9312.4792762778889</v>
      </c>
      <c r="U318" s="711"/>
      <c r="V318" s="733"/>
      <c r="W318" s="749">
        <f>[5]Salaire!$J$57</f>
        <v>9312.4792762778889</v>
      </c>
      <c r="X318" s="711"/>
      <c r="Y318" s="733"/>
      <c r="Z318" s="749">
        <f>[5]Salaire!$K$57</f>
        <v>9312.4792762778889</v>
      </c>
      <c r="AA318" s="711"/>
      <c r="AB318" s="733"/>
      <c r="AC318" s="749">
        <f>[5]Salaire!$L$57</f>
        <v>9312.4792762778889</v>
      </c>
      <c r="AD318" s="711"/>
      <c r="AE318" s="733"/>
      <c r="AF318" s="749">
        <f>[5]Salaire!$M$57</f>
        <v>9312.4792762778889</v>
      </c>
      <c r="AG318" s="711"/>
      <c r="AH318" s="733"/>
      <c r="AI318" s="749">
        <f>[5]Salaire!$N$57</f>
        <v>8924.8553069292284</v>
      </c>
      <c r="AJ318" s="711"/>
      <c r="AK318" s="733"/>
      <c r="AL318" s="749">
        <f>[5]Salaire!$O$57</f>
        <v>9312.4792762778889</v>
      </c>
      <c r="AM318" s="711"/>
      <c r="AN318" s="733"/>
      <c r="AO318" s="749">
        <f>[5]Salaire!$P$57</f>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f>[5]Salaire!$E$110</f>
        <v>4254.8802291494258</v>
      </c>
      <c r="I319" s="711"/>
      <c r="J319" s="733"/>
      <c r="K319" s="749">
        <f>[5]Salaire!$F$110</f>
        <v>4052.2668849042147</v>
      </c>
      <c r="L319" s="711"/>
      <c r="M319" s="733"/>
      <c r="N319" s="749">
        <f>[5]Salaire!$G$110</f>
        <v>4660.1069176398478</v>
      </c>
      <c r="O319" s="711"/>
      <c r="P319" s="733"/>
      <c r="Q319" s="749">
        <f>[5]Salaire!$H$110</f>
        <v>4254.8802291494258</v>
      </c>
      <c r="R319" s="711"/>
      <c r="S319" s="733"/>
      <c r="T319" s="749">
        <f>[5]Salaire!$I$110</f>
        <v>4457.4935733946359</v>
      </c>
      <c r="U319" s="711"/>
      <c r="V319" s="733"/>
      <c r="W319" s="749">
        <f>[5]Salaire!$J$110</f>
        <v>4457.4935733946359</v>
      </c>
      <c r="X319" s="711"/>
      <c r="Y319" s="733"/>
      <c r="Z319" s="749">
        <f>[5]Salaire!$K$110</f>
        <v>4457.4935733946359</v>
      </c>
      <c r="AA319" s="711"/>
      <c r="AB319" s="733"/>
      <c r="AC319" s="749">
        <f>[5]Salaire!$L$110</f>
        <v>4457.4935733946359</v>
      </c>
      <c r="AD319" s="711"/>
      <c r="AE319" s="733"/>
      <c r="AF319" s="749">
        <f>[5]Salaire!$M$110</f>
        <v>4457.4935733946359</v>
      </c>
      <c r="AG319" s="711"/>
      <c r="AH319" s="733"/>
      <c r="AI319" s="749">
        <f>[5]Salaire!$N$110</f>
        <v>4254.8802291494258</v>
      </c>
      <c r="AJ319" s="711"/>
      <c r="AK319" s="733"/>
      <c r="AL319" s="749">
        <f>[5]Salaire!$O$110</f>
        <v>4457.4935733946359</v>
      </c>
      <c r="AM319" s="711"/>
      <c r="AN319" s="733"/>
      <c r="AO319" s="749">
        <f>[5]Salaire!$P$110</f>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f>[5]Salaire!$E$198</f>
        <v>15813.640893866666</v>
      </c>
      <c r="I320" s="702"/>
      <c r="J320" s="760"/>
      <c r="K320" s="762">
        <f>[5]Salaire!$F$198</f>
        <v>15060.610375111111</v>
      </c>
      <c r="L320" s="702"/>
      <c r="M320" s="760"/>
      <c r="N320" s="762">
        <f>[5]Salaire!$G$198</f>
        <v>17319.701931377778</v>
      </c>
      <c r="O320" s="702"/>
      <c r="P320" s="760"/>
      <c r="Q320" s="762">
        <f>[5]Salaire!$H$198</f>
        <v>15813.640893866666</v>
      </c>
      <c r="R320" s="702"/>
      <c r="S320" s="760"/>
      <c r="T320" s="762">
        <f>[5]Salaire!$I$198</f>
        <v>16566.671412622221</v>
      </c>
      <c r="U320" s="702"/>
      <c r="V320" s="760"/>
      <c r="W320" s="762">
        <f>[5]Salaire!$J$198</f>
        <v>16566.671412622221</v>
      </c>
      <c r="X320" s="702"/>
      <c r="Y320" s="760"/>
      <c r="Z320" s="762">
        <f>[5]Salaire!$K$198</f>
        <v>16566.671412622221</v>
      </c>
      <c r="AA320" s="702"/>
      <c r="AB320" s="760"/>
      <c r="AC320" s="762">
        <f>[5]Salaire!$L$198</f>
        <v>16566.671412622221</v>
      </c>
      <c r="AD320" s="702"/>
      <c r="AE320" s="760"/>
      <c r="AF320" s="762">
        <f>[5]Salaire!$M$198</f>
        <v>16566.671412622221</v>
      </c>
      <c r="AG320" s="702"/>
      <c r="AH320" s="760"/>
      <c r="AI320" s="762">
        <f>[5]Salaire!$N$198</f>
        <v>15813.640893866666</v>
      </c>
      <c r="AJ320" s="702"/>
      <c r="AK320" s="760"/>
      <c r="AL320" s="762">
        <f>[5]Salaire!$O$198</f>
        <v>16566.671412622221</v>
      </c>
      <c r="AM320" s="702"/>
      <c r="AN320" s="760"/>
      <c r="AO320" s="762">
        <f>[5]Salaire!$P$198</f>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f>'[5]DAS-VAC'!$E$49</f>
        <v>3479.2051715934381</v>
      </c>
      <c r="I325" s="711"/>
      <c r="J325" s="733"/>
      <c r="K325" s="749">
        <f>'[5]DAS-VAC'!$F$49</f>
        <v>3318.0130317115072</v>
      </c>
      <c r="L325" s="711"/>
      <c r="M325" s="733"/>
      <c r="N325" s="749">
        <f>'[5]DAS-VAC'!$G$49</f>
        <v>3801.5894513573007</v>
      </c>
      <c r="O325" s="711"/>
      <c r="P325" s="733"/>
      <c r="Q325" s="749">
        <f>'[5]DAS-VAC'!$H$49</f>
        <v>3479.2051715934381</v>
      </c>
      <c r="R325" s="711"/>
      <c r="S325" s="733"/>
      <c r="T325" s="749">
        <f>'[5]DAS-VAC'!$I$49</f>
        <v>3640.3973114753694</v>
      </c>
      <c r="U325" s="711"/>
      <c r="V325" s="733"/>
      <c r="W325" s="749">
        <f>'[5]DAS-VAC'!$J$49</f>
        <v>3640.3973114753694</v>
      </c>
      <c r="X325" s="711"/>
      <c r="Y325" s="733"/>
      <c r="Z325" s="749">
        <f>'[5]DAS-VAC'!$K$49</f>
        <v>3640.3973114753694</v>
      </c>
      <c r="AA325" s="711"/>
      <c r="AB325" s="733"/>
      <c r="AC325" s="749">
        <f>'[5]DAS-VAC'!$L$49</f>
        <v>3640.3973114753694</v>
      </c>
      <c r="AD325" s="711"/>
      <c r="AE325" s="733"/>
      <c r="AF325" s="749">
        <f>'[5]DAS-VAC'!$M$49</f>
        <v>3640.3973114753694</v>
      </c>
      <c r="AG325" s="711"/>
      <c r="AH325" s="733"/>
      <c r="AI325" s="749">
        <f>'[5]DAS-VAC'!$N$49</f>
        <v>3479.2051715934381</v>
      </c>
      <c r="AJ325" s="711"/>
      <c r="AK325" s="733"/>
      <c r="AL325" s="749">
        <f>'[5]DAS-VAC'!$O$49</f>
        <v>3640.3973114753694</v>
      </c>
      <c r="AM325" s="711"/>
      <c r="AN325" s="733"/>
      <c r="AO325" s="749">
        <f>'[5]DAS-VAC'!$P$49</f>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f>'[5]DAS-VAC'!$E$57</f>
        <v>3479.2051715934381</v>
      </c>
      <c r="I326" s="702"/>
      <c r="J326" s="760"/>
      <c r="K326" s="762">
        <f>'[5]DAS-VAC'!$F$57</f>
        <v>3318.0130317115072</v>
      </c>
      <c r="L326" s="702"/>
      <c r="M326" s="760"/>
      <c r="N326" s="762">
        <f>'[5]DAS-VAC'!$G$57</f>
        <v>3801.5894513573007</v>
      </c>
      <c r="O326" s="702"/>
      <c r="P326" s="760"/>
      <c r="Q326" s="762">
        <f>'[5]DAS-VAC'!$H$57</f>
        <v>3479.2051715934381</v>
      </c>
      <c r="R326" s="702"/>
      <c r="S326" s="760"/>
      <c r="T326" s="762">
        <f>'[5]DAS-VAC'!$I$57</f>
        <v>3640.3973114753694</v>
      </c>
      <c r="U326" s="702"/>
      <c r="V326" s="760"/>
      <c r="W326" s="762">
        <f>'[5]DAS-VAC'!$J$57</f>
        <v>3640.3973114753694</v>
      </c>
      <c r="X326" s="702"/>
      <c r="Y326" s="760"/>
      <c r="Z326" s="762">
        <f>'[5]DAS-VAC'!$K$57</f>
        <v>3640.3973114753694</v>
      </c>
      <c r="AA326" s="702"/>
      <c r="AB326" s="760"/>
      <c r="AC326" s="762">
        <f>'[5]DAS-VAC'!$L$57</f>
        <v>3640.3973114753694</v>
      </c>
      <c r="AD326" s="702"/>
      <c r="AE326" s="760"/>
      <c r="AF326" s="762">
        <f>'[5]DAS-VAC'!$M$57</f>
        <v>3640.3973114753694</v>
      </c>
      <c r="AG326" s="702"/>
      <c r="AH326" s="760"/>
      <c r="AI326" s="762">
        <f>'[5]DAS-VAC'!$N$57</f>
        <v>3479.2051715934381</v>
      </c>
      <c r="AJ326" s="702"/>
      <c r="AK326" s="760"/>
      <c r="AL326" s="762">
        <f>'[5]DAS-VAC'!$O$57</f>
        <v>3640.3973114753694</v>
      </c>
      <c r="AM326" s="702"/>
      <c r="AN326" s="760"/>
      <c r="AO326" s="762">
        <f>'[5]DAS-VAC'!$P$57</f>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f>'[5]DAS-VAC'!$E$65</f>
        <v>2493.4303729752969</v>
      </c>
      <c r="I327" s="711"/>
      <c r="J327" s="733"/>
      <c r="K327" s="749">
        <f>'[5]DAS-VAC'!$F$65</f>
        <v>2377.9093393932467</v>
      </c>
      <c r="L327" s="711"/>
      <c r="M327" s="733"/>
      <c r="N327" s="749">
        <f>'[5]DAS-VAC'!$G$65</f>
        <v>2724.4724401393987</v>
      </c>
      <c r="O327" s="711"/>
      <c r="P327" s="733"/>
      <c r="Q327" s="749">
        <f>'[5]DAS-VAC'!$H$65</f>
        <v>2493.4303729752969</v>
      </c>
      <c r="R327" s="711"/>
      <c r="S327" s="733"/>
      <c r="T327" s="749">
        <f>'[5]DAS-VAC'!$I$65</f>
        <v>2608.951406557348</v>
      </c>
      <c r="U327" s="711"/>
      <c r="V327" s="733"/>
      <c r="W327" s="749">
        <f>'[5]DAS-VAC'!$J$65</f>
        <v>2608.951406557348</v>
      </c>
      <c r="X327" s="711"/>
      <c r="Y327" s="733"/>
      <c r="Z327" s="749">
        <f>'[5]DAS-VAC'!$K$65</f>
        <v>2608.951406557348</v>
      </c>
      <c r="AA327" s="711"/>
      <c r="AB327" s="733"/>
      <c r="AC327" s="749">
        <f>'[5]DAS-VAC'!$L$65</f>
        <v>2608.951406557348</v>
      </c>
      <c r="AD327" s="711"/>
      <c r="AE327" s="733"/>
      <c r="AF327" s="749">
        <f>'[5]DAS-VAC'!$M$65</f>
        <v>2608.951406557348</v>
      </c>
      <c r="AG327" s="711"/>
      <c r="AH327" s="733"/>
      <c r="AI327" s="749">
        <f>'[5]DAS-VAC'!$N$65</f>
        <v>2493.4303729752969</v>
      </c>
      <c r="AJ327" s="711"/>
      <c r="AK327" s="733"/>
      <c r="AL327" s="749">
        <f>'[5]DAS-VAC'!$O$65</f>
        <v>2608.951406557348</v>
      </c>
      <c r="AM327" s="711"/>
      <c r="AN327" s="733"/>
      <c r="AO327" s="749">
        <f>'[5]DAS-VAC'!$P$65</f>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f>'[5]DAS-VAC'!$E$73</f>
        <v>579.86752859890635</v>
      </c>
      <c r="I328" s="711"/>
      <c r="J328" s="733"/>
      <c r="K328" s="749">
        <f>'[5]DAS-VAC'!$F$73</f>
        <v>553.00217195191794</v>
      </c>
      <c r="L328" s="711"/>
      <c r="M328" s="733"/>
      <c r="N328" s="749">
        <f>'[5]DAS-VAC'!$G$73</f>
        <v>633.59824189288349</v>
      </c>
      <c r="O328" s="711"/>
      <c r="P328" s="733"/>
      <c r="Q328" s="749">
        <f>'[5]DAS-VAC'!$H$73</f>
        <v>579.86752859890635</v>
      </c>
      <c r="R328" s="711"/>
      <c r="S328" s="733"/>
      <c r="T328" s="749">
        <f>'[5]DAS-VAC'!$I$73</f>
        <v>606.73288524589498</v>
      </c>
      <c r="U328" s="711"/>
      <c r="V328" s="733"/>
      <c r="W328" s="749">
        <f>'[5]DAS-VAC'!$J$73</f>
        <v>606.73288524589498</v>
      </c>
      <c r="X328" s="711"/>
      <c r="Y328" s="733"/>
      <c r="Z328" s="749">
        <f>'[5]DAS-VAC'!$K$73</f>
        <v>606.73288524589498</v>
      </c>
      <c r="AA328" s="711"/>
      <c r="AB328" s="733"/>
      <c r="AC328" s="749">
        <f>'[5]DAS-VAC'!$L$73</f>
        <v>606.73288524589498</v>
      </c>
      <c r="AD328" s="711"/>
      <c r="AE328" s="733"/>
      <c r="AF328" s="749">
        <f>'[5]DAS-VAC'!$M$73</f>
        <v>606.73288524589498</v>
      </c>
      <c r="AG328" s="711"/>
      <c r="AH328" s="733"/>
      <c r="AI328" s="749">
        <f>'[5]DAS-VAC'!$N$73</f>
        <v>579.86752859890635</v>
      </c>
      <c r="AJ328" s="711"/>
      <c r="AK328" s="733"/>
      <c r="AL328" s="749">
        <f>'[5]DAS-VAC'!$O$73</f>
        <v>606.73288524589498</v>
      </c>
      <c r="AM328" s="711"/>
      <c r="AN328" s="733"/>
      <c r="AO328" s="749">
        <f>'[5]DAS-VAC'!$P$73</f>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f>[5]DEPA!$E$106</f>
        <v>3808.6416666666664</v>
      </c>
      <c r="I331" s="711"/>
      <c r="J331" s="733"/>
      <c r="K331" s="749">
        <f>[5]DEPA!$F$106</f>
        <v>3808.6416666666664</v>
      </c>
      <c r="L331" s="711"/>
      <c r="M331" s="733"/>
      <c r="N331" s="749">
        <f>[5]DEPA!$G$106</f>
        <v>3808.6416666666664</v>
      </c>
      <c r="O331" s="711"/>
      <c r="P331" s="733"/>
      <c r="Q331" s="749">
        <f>[5]DEPA!$H$106</f>
        <v>3808.6416666666664</v>
      </c>
      <c r="R331" s="711"/>
      <c r="S331" s="733"/>
      <c r="T331" s="749">
        <f>[5]DEPA!$I$106</f>
        <v>3808.6416666666664</v>
      </c>
      <c r="U331" s="711"/>
      <c r="V331" s="733"/>
      <c r="W331" s="749">
        <f>[5]DEPA!$J$106</f>
        <v>3808.6416666666664</v>
      </c>
      <c r="X331" s="711"/>
      <c r="Y331" s="733"/>
      <c r="Z331" s="749">
        <f>[5]DEPA!$K$106</f>
        <v>3808.6416666666664</v>
      </c>
      <c r="AA331" s="711"/>
      <c r="AB331" s="733"/>
      <c r="AC331" s="749">
        <f>[5]DEPA!$L$106</f>
        <v>3808.6416666666664</v>
      </c>
      <c r="AD331" s="711"/>
      <c r="AE331" s="733"/>
      <c r="AF331" s="749">
        <f>[5]DEPA!$M$106</f>
        <v>3808.6416666666664</v>
      </c>
      <c r="AG331" s="711"/>
      <c r="AH331" s="733"/>
      <c r="AI331" s="749">
        <f>[5]DEPA!$N$106</f>
        <v>3808.6416666666664</v>
      </c>
      <c r="AJ331" s="711"/>
      <c r="AK331" s="733"/>
      <c r="AL331" s="749">
        <f>[5]DEPA!$O$106</f>
        <v>3808.6416666666664</v>
      </c>
      <c r="AM331" s="711"/>
      <c r="AN331" s="733"/>
      <c r="AO331" s="749">
        <f>[5]DEPA!$P$106</f>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f>[5]DEPA!$E$96</f>
        <v>1652.6753978584377</v>
      </c>
      <c r="I332" s="711"/>
      <c r="J332" s="733"/>
      <c r="K332" s="749">
        <f>[5]DEPA!$F$96</f>
        <v>1727.5096033468692</v>
      </c>
      <c r="L332" s="711"/>
      <c r="M332" s="733"/>
      <c r="N332" s="749">
        <f>[5]DEPA!$G$96</f>
        <v>1728.4969010161922</v>
      </c>
      <c r="O332" s="711"/>
      <c r="P332" s="733"/>
      <c r="Q332" s="749">
        <f>[5]DEPA!$H$96</f>
        <v>2830.7432547726557</v>
      </c>
      <c r="R332" s="711"/>
      <c r="S332" s="733"/>
      <c r="T332" s="749">
        <f>[5]DEPA!$I$96</f>
        <v>2316.8335249374268</v>
      </c>
      <c r="U332" s="711"/>
      <c r="V332" s="733"/>
      <c r="W332" s="749">
        <f>[5]DEPA!$J$96</f>
        <v>1782.5831259687641</v>
      </c>
      <c r="X332" s="711"/>
      <c r="Y332" s="733"/>
      <c r="Z332" s="749">
        <f>[5]DEPA!$K$96</f>
        <v>1772.5775029718116</v>
      </c>
      <c r="AA332" s="711"/>
      <c r="AB332" s="733"/>
      <c r="AC332" s="749">
        <f>[5]DEPA!$L$96</f>
        <v>2243.542254752278</v>
      </c>
      <c r="AD332" s="711"/>
      <c r="AE332" s="733"/>
      <c r="AF332" s="749">
        <f>[5]DEPA!$M$96</f>
        <v>1660.9170138477077</v>
      </c>
      <c r="AG332" s="711"/>
      <c r="AH332" s="733"/>
      <c r="AI332" s="749">
        <f>[5]DEPA!$N$96</f>
        <v>2095.5907420365202</v>
      </c>
      <c r="AJ332" s="711"/>
      <c r="AK332" s="733"/>
      <c r="AL332" s="749">
        <f>[5]DEPA!$O$96</f>
        <v>3101.0421346892153</v>
      </c>
      <c r="AM332" s="711"/>
      <c r="AN332" s="733"/>
      <c r="AO332" s="749">
        <f>[5]DEPA!$P$96</f>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f>[5]DEPA!$E$119</f>
        <v>285.5</v>
      </c>
      <c r="I333" s="706"/>
      <c r="J333" s="764"/>
      <c r="K333" s="753">
        <f>[5]DEPA!$F$119</f>
        <v>285.5</v>
      </c>
      <c r="L333" s="706"/>
      <c r="M333" s="764"/>
      <c r="N333" s="753">
        <f>[5]DEPA!$G$119</f>
        <v>285.5</v>
      </c>
      <c r="O333" s="706"/>
      <c r="P333" s="764"/>
      <c r="Q333" s="753">
        <f>[5]DEPA!$H$119</f>
        <v>285.5</v>
      </c>
      <c r="R333" s="706"/>
      <c r="S333" s="764"/>
      <c r="T333" s="753">
        <f>[5]DEPA!$I$119</f>
        <v>285.5</v>
      </c>
      <c r="U333" s="706"/>
      <c r="V333" s="764"/>
      <c r="W333" s="753">
        <f>[5]DEPA!$J$119</f>
        <v>285.5</v>
      </c>
      <c r="X333" s="706"/>
      <c r="Y333" s="764"/>
      <c r="Z333" s="753">
        <f>[5]DEPA!$K$119</f>
        <v>285.5</v>
      </c>
      <c r="AA333" s="706"/>
      <c r="AB333" s="764"/>
      <c r="AC333" s="753">
        <f>[5]DEPA!$L$119</f>
        <v>285.5</v>
      </c>
      <c r="AD333" s="706"/>
      <c r="AE333" s="764"/>
      <c r="AF333" s="753">
        <f>[5]DEPA!$M$119</f>
        <v>285.5</v>
      </c>
      <c r="AG333" s="706"/>
      <c r="AH333" s="764"/>
      <c r="AI333" s="753">
        <f>[5]DEPA!$N$119</f>
        <v>285.5</v>
      </c>
      <c r="AJ333" s="706"/>
      <c r="AK333" s="764"/>
      <c r="AL333" s="753">
        <f>[5]DEPA!$O$119</f>
        <v>285.5</v>
      </c>
      <c r="AM333" s="706"/>
      <c r="AN333" s="764"/>
      <c r="AO333" s="753">
        <f>[5]DEPA!$P$119</f>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f>[5]DEPA!$E$137</f>
        <v>4280.7783333333336</v>
      </c>
      <c r="I334" s="711"/>
      <c r="J334" s="733"/>
      <c r="K334" s="749">
        <f>[5]DEPA!$F$137</f>
        <v>4280.7783333333336</v>
      </c>
      <c r="L334" s="711"/>
      <c r="M334" s="733"/>
      <c r="N334" s="749">
        <f>[5]DEPA!$G$137</f>
        <v>4280.7783333333336</v>
      </c>
      <c r="O334" s="711"/>
      <c r="P334" s="733"/>
      <c r="Q334" s="749">
        <f>[5]DEPA!$H$137</f>
        <v>4280.7783333333336</v>
      </c>
      <c r="R334" s="711"/>
      <c r="S334" s="733"/>
      <c r="T334" s="749">
        <f>[5]DEPA!$I$137</f>
        <v>4280.7783333333336</v>
      </c>
      <c r="U334" s="711"/>
      <c r="V334" s="733"/>
      <c r="W334" s="749">
        <f>[5]DEPA!$J$137</f>
        <v>4280.7783333333336</v>
      </c>
      <c r="X334" s="711"/>
      <c r="Y334" s="733"/>
      <c r="Z334" s="749">
        <f>[5]DEPA!$K$137</f>
        <v>4280.7783333333336</v>
      </c>
      <c r="AA334" s="711"/>
      <c r="AB334" s="733"/>
      <c r="AC334" s="749">
        <f>[5]DEPA!$L$137</f>
        <v>4280.7783333333336</v>
      </c>
      <c r="AD334" s="711"/>
      <c r="AE334" s="733"/>
      <c r="AF334" s="749">
        <f>[5]DEPA!$M$137</f>
        <v>4280.7783333333336</v>
      </c>
      <c r="AG334" s="711"/>
      <c r="AH334" s="733"/>
      <c r="AI334" s="749">
        <f>[5]DEPA!$N$137</f>
        <v>4280.7783333333336</v>
      </c>
      <c r="AJ334" s="711"/>
      <c r="AK334" s="733"/>
      <c r="AL334" s="749">
        <f>[5]DEPA!$O$137</f>
        <v>4280.7783333333336</v>
      </c>
      <c r="AM334" s="711"/>
      <c r="AN334" s="733"/>
      <c r="AO334" s="749">
        <f>[5]DEPA!$P$137</f>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f>[5]DEPA!$E$154</f>
        <v>1247.2631249999999</v>
      </c>
      <c r="I335" s="711"/>
      <c r="J335" s="733"/>
      <c r="K335" s="749">
        <f>[5]DEPA!$F$154</f>
        <v>1247.2631249999999</v>
      </c>
      <c r="L335" s="711"/>
      <c r="M335" s="733"/>
      <c r="N335" s="749">
        <f>[5]DEPA!$G$154</f>
        <v>1247.2631249999999</v>
      </c>
      <c r="O335" s="711"/>
      <c r="P335" s="733"/>
      <c r="Q335" s="749">
        <f>[5]DEPA!$H$154</f>
        <v>1247.2631249999999</v>
      </c>
      <c r="R335" s="711"/>
      <c r="S335" s="733"/>
      <c r="T335" s="749">
        <f>[5]DEPA!$I$154</f>
        <v>1247.2631249999999</v>
      </c>
      <c r="U335" s="711"/>
      <c r="V335" s="733"/>
      <c r="W335" s="749">
        <f>[5]DEPA!$J$154</f>
        <v>1247.2631249999999</v>
      </c>
      <c r="X335" s="711"/>
      <c r="Y335" s="733"/>
      <c r="Z335" s="749">
        <f>[5]DEPA!$K$154</f>
        <v>1247.2631249999999</v>
      </c>
      <c r="AA335" s="711"/>
      <c r="AB335" s="733"/>
      <c r="AC335" s="749">
        <f>[5]DEPA!$L$154</f>
        <v>1247.2631249999999</v>
      </c>
      <c r="AD335" s="711"/>
      <c r="AE335" s="733"/>
      <c r="AF335" s="749">
        <f>[5]DEPA!$M$154</f>
        <v>1247.2631249999999</v>
      </c>
      <c r="AG335" s="711"/>
      <c r="AH335" s="733"/>
      <c r="AI335" s="749">
        <f>[5]DEPA!$N$154</f>
        <v>1247.2631249999999</v>
      </c>
      <c r="AJ335" s="711"/>
      <c r="AK335" s="733"/>
      <c r="AL335" s="749">
        <f>[5]DEPA!$O$154</f>
        <v>1247.2631249999999</v>
      </c>
      <c r="AM335" s="711"/>
      <c r="AN335" s="733"/>
      <c r="AO335" s="749">
        <f>[5]DEPA!$P$154</f>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f>[5]DEPA!$E$185</f>
        <v>7272.824908333333</v>
      </c>
      <c r="I336" s="706"/>
      <c r="J336" s="764"/>
      <c r="K336" s="753">
        <f>[5]DEPA!$F$185</f>
        <v>7060.8431083333326</v>
      </c>
      <c r="L336" s="706"/>
      <c r="M336" s="764"/>
      <c r="N336" s="753">
        <f>[5]DEPA!$G$185</f>
        <v>7738.2632083333328</v>
      </c>
      <c r="O336" s="706"/>
      <c r="P336" s="764"/>
      <c r="Q336" s="753">
        <f>[5]DEPA!$H$185</f>
        <v>7507.6174083333326</v>
      </c>
      <c r="R336" s="706"/>
      <c r="S336" s="764"/>
      <c r="T336" s="753">
        <f>[5]DEPA!$I$185</f>
        <v>9198.8635083333338</v>
      </c>
      <c r="U336" s="706"/>
      <c r="V336" s="764"/>
      <c r="W336" s="753">
        <f>[5]DEPA!$J$185</f>
        <v>7507.8482083333329</v>
      </c>
      <c r="X336" s="706"/>
      <c r="Y336" s="764"/>
      <c r="Z336" s="753">
        <f>[5]DEPA!$K$185</f>
        <v>7507.8482083333329</v>
      </c>
      <c r="AA336" s="706"/>
      <c r="AB336" s="764"/>
      <c r="AC336" s="753">
        <f>[5]DEPA!$L$185</f>
        <v>7120.7510083333327</v>
      </c>
      <c r="AD336" s="706"/>
      <c r="AE336" s="764"/>
      <c r="AF336" s="753">
        <f>[5]DEPA!$M$185</f>
        <v>7332.7328083333323</v>
      </c>
      <c r="AG336" s="706"/>
      <c r="AH336" s="764"/>
      <c r="AI336" s="753">
        <f>[5]DEPA!$N$185</f>
        <v>7867.0648083333326</v>
      </c>
      <c r="AJ336" s="706"/>
      <c r="AK336" s="764"/>
      <c r="AL336" s="753">
        <f>[5]DEPA!$O$185</f>
        <v>8314.0699083333329</v>
      </c>
      <c r="AM336" s="706"/>
      <c r="AN336" s="764"/>
      <c r="AO336" s="753">
        <f>[5]DEPA!$P$185</f>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f>[5]DEPA!$E$76</f>
        <v>126</v>
      </c>
      <c r="I337" s="711"/>
      <c r="J337" s="733"/>
      <c r="K337" s="749">
        <f>[5]DEPA!$F$76</f>
        <v>120</v>
      </c>
      <c r="L337" s="711"/>
      <c r="M337" s="733"/>
      <c r="N337" s="749">
        <f>[5]DEPA!$G$76</f>
        <v>132</v>
      </c>
      <c r="O337" s="711"/>
      <c r="P337" s="733"/>
      <c r="Q337" s="749">
        <f>[5]DEPA!$H$76</f>
        <v>126</v>
      </c>
      <c r="R337" s="711"/>
      <c r="S337" s="733"/>
      <c r="T337" s="749">
        <f>[5]DEPA!$I$76</f>
        <v>120</v>
      </c>
      <c r="U337" s="711"/>
      <c r="V337" s="733"/>
      <c r="W337" s="749">
        <f>[5]DEPA!$J$76</f>
        <v>126</v>
      </c>
      <c r="X337" s="711"/>
      <c r="Y337" s="733"/>
      <c r="Z337" s="749">
        <f>[5]DEPA!$K$76</f>
        <v>132</v>
      </c>
      <c r="AA337" s="711"/>
      <c r="AB337" s="733"/>
      <c r="AC337" s="749">
        <f>[5]DEPA!$L$76</f>
        <v>126</v>
      </c>
      <c r="AD337" s="711"/>
      <c r="AE337" s="733"/>
      <c r="AF337" s="749">
        <f>[5]DEPA!$M$76</f>
        <v>126</v>
      </c>
      <c r="AG337" s="711"/>
      <c r="AH337" s="733"/>
      <c r="AI337" s="749">
        <f>[5]DEPA!$N$76</f>
        <v>126</v>
      </c>
      <c r="AJ337" s="711"/>
      <c r="AK337" s="733"/>
      <c r="AL337" s="749">
        <f>[5]DEPA!$O$76</f>
        <v>126</v>
      </c>
      <c r="AM337" s="711"/>
      <c r="AN337" s="733"/>
      <c r="AO337" s="749">
        <f>[5]DEPA!$P$76</f>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f>[5]DEPA!$E$85</f>
        <v>170</v>
      </c>
      <c r="I338" s="711"/>
      <c r="J338" s="733"/>
      <c r="K338" s="749">
        <f>[5]DEPA!$F$85</f>
        <v>170</v>
      </c>
      <c r="L338" s="711"/>
      <c r="M338" s="733"/>
      <c r="N338" s="749">
        <f>[5]DEPA!$G$85</f>
        <v>170</v>
      </c>
      <c r="O338" s="711"/>
      <c r="P338" s="733"/>
      <c r="Q338" s="749">
        <f>[5]DEPA!$H$85</f>
        <v>170</v>
      </c>
      <c r="R338" s="711"/>
      <c r="S338" s="733"/>
      <c r="T338" s="749">
        <f>[5]DEPA!$I$85</f>
        <v>170</v>
      </c>
      <c r="U338" s="711"/>
      <c r="V338" s="733"/>
      <c r="W338" s="749">
        <f>[5]DEPA!$J$85</f>
        <v>170</v>
      </c>
      <c r="X338" s="711"/>
      <c r="Y338" s="733"/>
      <c r="Z338" s="749">
        <f>[5]DEPA!$K$85</f>
        <v>170</v>
      </c>
      <c r="AA338" s="711"/>
      <c r="AB338" s="733"/>
      <c r="AC338" s="749">
        <f>[5]DEPA!$L$85</f>
        <v>170</v>
      </c>
      <c r="AD338" s="711"/>
      <c r="AE338" s="733"/>
      <c r="AF338" s="749">
        <f>[5]DEPA!$M$85</f>
        <v>170</v>
      </c>
      <c r="AG338" s="711"/>
      <c r="AH338" s="733"/>
      <c r="AI338" s="749">
        <f>[5]DEPA!$N$85</f>
        <v>170</v>
      </c>
      <c r="AJ338" s="711"/>
      <c r="AK338" s="733"/>
      <c r="AL338" s="749">
        <f>[5]DEPA!$O$85</f>
        <v>170</v>
      </c>
      <c r="AM338" s="711"/>
      <c r="AN338" s="733"/>
      <c r="AO338" s="749">
        <f>[5]DEPA!$P$85</f>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f>[5]DEPA!$E$67</f>
        <v>545</v>
      </c>
      <c r="I339" s="711"/>
      <c r="J339" s="733"/>
      <c r="K339" s="749">
        <f>[5]DEPA!$F$67</f>
        <v>545</v>
      </c>
      <c r="L339" s="711"/>
      <c r="M339" s="733"/>
      <c r="N339" s="749">
        <f>[5]DEPA!$G$67</f>
        <v>545</v>
      </c>
      <c r="O339" s="711"/>
      <c r="P339" s="733"/>
      <c r="Q339" s="749">
        <f>[5]DEPA!$H$67</f>
        <v>545</v>
      </c>
      <c r="R339" s="711"/>
      <c r="S339" s="733"/>
      <c r="T339" s="749">
        <f>[5]DEPA!$I$67</f>
        <v>545</v>
      </c>
      <c r="U339" s="711"/>
      <c r="V339" s="733"/>
      <c r="W339" s="749">
        <f>[5]DEPA!$J$67</f>
        <v>545</v>
      </c>
      <c r="X339" s="711"/>
      <c r="Y339" s="733"/>
      <c r="Z339" s="749">
        <f>[5]DEPA!$K$67</f>
        <v>545</v>
      </c>
      <c r="AA339" s="711"/>
      <c r="AB339" s="733"/>
      <c r="AC339" s="749">
        <f>[5]DEPA!$L$67</f>
        <v>545</v>
      </c>
      <c r="AD339" s="711"/>
      <c r="AE339" s="733"/>
      <c r="AF339" s="749">
        <f>[5]DEPA!$M$67</f>
        <v>545</v>
      </c>
      <c r="AG339" s="711"/>
      <c r="AH339" s="733"/>
      <c r="AI339" s="749">
        <f>[5]DEPA!$N$67</f>
        <v>545</v>
      </c>
      <c r="AJ339" s="711"/>
      <c r="AK339" s="733"/>
      <c r="AL339" s="749">
        <f>[5]DEPA!$O$67</f>
        <v>545</v>
      </c>
      <c r="AM339" s="711"/>
      <c r="AN339" s="733"/>
      <c r="AO339" s="749">
        <f>[5]DEPA!$P$67</f>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f>[5]DEPA!$E$164</f>
        <v>452.27499999999998</v>
      </c>
      <c r="I340" s="711"/>
      <c r="J340" s="733"/>
      <c r="K340" s="749">
        <f>[5]DEPA!$F$164</f>
        <v>452.27499999999998</v>
      </c>
      <c r="L340" s="711"/>
      <c r="M340" s="733"/>
      <c r="N340" s="749">
        <f>[5]DEPA!$G$164</f>
        <v>452.27499999999998</v>
      </c>
      <c r="O340" s="711"/>
      <c r="P340" s="733"/>
      <c r="Q340" s="749">
        <f>[5]DEPA!$H$164</f>
        <v>452.27499999999998</v>
      </c>
      <c r="R340" s="711"/>
      <c r="S340" s="733"/>
      <c r="T340" s="749">
        <f>[5]DEPA!$I$164</f>
        <v>452.27499999999998</v>
      </c>
      <c r="U340" s="711"/>
      <c r="V340" s="733"/>
      <c r="W340" s="749">
        <f>[5]DEPA!$J$164</f>
        <v>452.27499999999998</v>
      </c>
      <c r="X340" s="711"/>
      <c r="Y340" s="733"/>
      <c r="Z340" s="749">
        <f>[5]DEPA!$K$164</f>
        <v>452.27499999999998</v>
      </c>
      <c r="AA340" s="711"/>
      <c r="AB340" s="733"/>
      <c r="AC340" s="749">
        <f>[5]DEPA!$L$164</f>
        <v>452.27499999999998</v>
      </c>
      <c r="AD340" s="711"/>
      <c r="AE340" s="733"/>
      <c r="AF340" s="749">
        <f>[5]DEPA!$M$164</f>
        <v>452.27499999999998</v>
      </c>
      <c r="AG340" s="711"/>
      <c r="AH340" s="733"/>
      <c r="AI340" s="749">
        <f>[5]DEPA!$N$164</f>
        <v>452.27499999999998</v>
      </c>
      <c r="AJ340" s="711"/>
      <c r="AK340" s="733"/>
      <c r="AL340" s="749">
        <f>[5]DEPA!$O$164</f>
        <v>452.27499999999998</v>
      </c>
      <c r="AM340" s="711"/>
      <c r="AN340" s="733"/>
      <c r="AO340" s="749">
        <f>[5]DEPA!$P$164</f>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f>[5]DEPA!$E$174</f>
        <v>216.25</v>
      </c>
      <c r="I341" s="711"/>
      <c r="J341" s="733"/>
      <c r="K341" s="749">
        <f>[5]DEPA!$F$174</f>
        <v>216.25</v>
      </c>
      <c r="L341" s="711"/>
      <c r="M341" s="733"/>
      <c r="N341" s="749">
        <f>[5]DEPA!$G$174</f>
        <v>216.25</v>
      </c>
      <c r="O341" s="711"/>
      <c r="P341" s="733"/>
      <c r="Q341" s="749">
        <f>[5]DEPA!$H$174</f>
        <v>216.25</v>
      </c>
      <c r="R341" s="711"/>
      <c r="S341" s="733"/>
      <c r="T341" s="749">
        <f>[5]DEPA!$I$174</f>
        <v>216.25</v>
      </c>
      <c r="U341" s="711"/>
      <c r="V341" s="733"/>
      <c r="W341" s="749">
        <f>[5]DEPA!$J$174</f>
        <v>216.25</v>
      </c>
      <c r="X341" s="711"/>
      <c r="Y341" s="733"/>
      <c r="Z341" s="749">
        <f>[5]DEPA!$K$174</f>
        <v>216.25</v>
      </c>
      <c r="AA341" s="711"/>
      <c r="AB341" s="733"/>
      <c r="AC341" s="749">
        <f>[5]DEPA!$L$174</f>
        <v>216.25</v>
      </c>
      <c r="AD341" s="711"/>
      <c r="AE341" s="733"/>
      <c r="AF341" s="749">
        <f>[5]DEPA!$M$174</f>
        <v>216.25</v>
      </c>
      <c r="AG341" s="711"/>
      <c r="AH341" s="733"/>
      <c r="AI341" s="749">
        <f>[5]DEPA!$N$174</f>
        <v>216.25</v>
      </c>
      <c r="AJ341" s="711"/>
      <c r="AK341" s="733"/>
      <c r="AL341" s="749">
        <f>[5]DEPA!$O$174</f>
        <v>216.25</v>
      </c>
      <c r="AM341" s="711"/>
      <c r="AN341" s="733"/>
      <c r="AO341" s="749">
        <f>[5]DEPA!$P$174</f>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f>[5]DEPA!$E$217</f>
        <v>897.75</v>
      </c>
      <c r="I342" s="711"/>
      <c r="J342" s="733"/>
      <c r="K342" s="749">
        <f>[5]DEPA!$F$217</f>
        <v>897.75</v>
      </c>
      <c r="L342" s="711"/>
      <c r="M342" s="733"/>
      <c r="N342" s="749">
        <f>[5]DEPA!$G$217</f>
        <v>897.75</v>
      </c>
      <c r="O342" s="711"/>
      <c r="P342" s="733"/>
      <c r="Q342" s="749">
        <f>[5]DEPA!$H$217</f>
        <v>897.75</v>
      </c>
      <c r="R342" s="711"/>
      <c r="S342" s="733"/>
      <c r="T342" s="749">
        <f>[5]DEPA!$I$217</f>
        <v>897.75</v>
      </c>
      <c r="U342" s="711"/>
      <c r="V342" s="733"/>
      <c r="W342" s="749">
        <f>[5]DEPA!$J$217</f>
        <v>897.75</v>
      </c>
      <c r="X342" s="711"/>
      <c r="Y342" s="733"/>
      <c r="Z342" s="749">
        <f>[5]DEPA!$K$217</f>
        <v>897.75</v>
      </c>
      <c r="AA342" s="711"/>
      <c r="AB342" s="733"/>
      <c r="AC342" s="749">
        <f>[5]DEPA!$L$217</f>
        <v>897.75</v>
      </c>
      <c r="AD342" s="711"/>
      <c r="AE342" s="733"/>
      <c r="AF342" s="749">
        <f>[5]DEPA!$M$217</f>
        <v>897.75</v>
      </c>
      <c r="AG342" s="711"/>
      <c r="AH342" s="733"/>
      <c r="AI342" s="749">
        <f>[5]DEPA!$N$217</f>
        <v>897.75</v>
      </c>
      <c r="AJ342" s="711"/>
      <c r="AK342" s="733"/>
      <c r="AL342" s="749">
        <f>[5]DEPA!$O$217</f>
        <v>897.75</v>
      </c>
      <c r="AM342" s="711"/>
      <c r="AN342" s="733"/>
      <c r="AO342" s="749">
        <f>[5]DEPA!$P$217</f>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f>[5]DEPA!$E$233</f>
        <v>247.14583333333334</v>
      </c>
      <c r="I343" s="711"/>
      <c r="J343" s="733"/>
      <c r="K343" s="749">
        <f>[5]DEPA!$F$233</f>
        <v>247.14583333333334</v>
      </c>
      <c r="L343" s="711"/>
      <c r="M343" s="733"/>
      <c r="N343" s="749">
        <f>[5]DEPA!$G$233</f>
        <v>247.14583333333334</v>
      </c>
      <c r="O343" s="711"/>
      <c r="P343" s="733"/>
      <c r="Q343" s="749">
        <f>[5]DEPA!$H$233</f>
        <v>247.14583333333334</v>
      </c>
      <c r="R343" s="711"/>
      <c r="S343" s="733"/>
      <c r="T343" s="749">
        <f>[5]DEPA!$I$233</f>
        <v>247.14583333333334</v>
      </c>
      <c r="U343" s="711"/>
      <c r="V343" s="733"/>
      <c r="W343" s="749">
        <f>[5]DEPA!$J$233</f>
        <v>247.14583333333334</v>
      </c>
      <c r="X343" s="711"/>
      <c r="Y343" s="733"/>
      <c r="Z343" s="749">
        <f>[5]DEPA!$K$233</f>
        <v>247.14583333333334</v>
      </c>
      <c r="AA343" s="711"/>
      <c r="AB343" s="733"/>
      <c r="AC343" s="749">
        <f>[5]DEPA!$L$233</f>
        <v>247.14583333333334</v>
      </c>
      <c r="AD343" s="711"/>
      <c r="AE343" s="733"/>
      <c r="AF343" s="749">
        <f>[5]DEPA!$M$233</f>
        <v>247.14583333333334</v>
      </c>
      <c r="AG343" s="711"/>
      <c r="AH343" s="733"/>
      <c r="AI343" s="749">
        <f>[5]DEPA!$N$233</f>
        <v>247.14583333333334</v>
      </c>
      <c r="AJ343" s="711"/>
      <c r="AK343" s="733"/>
      <c r="AL343" s="749">
        <f>[5]DEPA!$O$233</f>
        <v>247.14583333333334</v>
      </c>
      <c r="AM343" s="711"/>
      <c r="AN343" s="733"/>
      <c r="AO343" s="749">
        <f>[5]DEPA!$P$233</f>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f>[5]DEPA!$E$244</f>
        <v>1630.9951819211053</v>
      </c>
      <c r="I344" s="711"/>
      <c r="J344" s="733"/>
      <c r="K344" s="749">
        <f>[5]DEPA!$F$244</f>
        <v>1406.8338933847535</v>
      </c>
      <c r="L344" s="711"/>
      <c r="M344" s="733"/>
      <c r="N344" s="749">
        <f>[5]DEPA!$G$244</f>
        <v>1627.5891855146688</v>
      </c>
      <c r="O344" s="711"/>
      <c r="P344" s="733"/>
      <c r="Q344" s="749">
        <f>[5]DEPA!$H$244</f>
        <v>3128.8953456979134</v>
      </c>
      <c r="R344" s="711"/>
      <c r="S344" s="733"/>
      <c r="T344" s="749">
        <f>[5]DEPA!$I$244</f>
        <v>2867.7010940528189</v>
      </c>
      <c r="U344" s="711"/>
      <c r="V344" s="733"/>
      <c r="W344" s="749">
        <f>[5]DEPA!$J$244</f>
        <v>1895.4593382359283</v>
      </c>
      <c r="X344" s="711"/>
      <c r="Y344" s="733"/>
      <c r="Z344" s="749">
        <f>[5]DEPA!$K$244</f>
        <v>1787.0140289781664</v>
      </c>
      <c r="AA344" s="711"/>
      <c r="AB344" s="733"/>
      <c r="AC344" s="749">
        <f>[5]DEPA!$L$244</f>
        <v>1969.6719311009003</v>
      </c>
      <c r="AD344" s="711"/>
      <c r="AE344" s="733"/>
      <c r="AF344" s="749">
        <f>[5]DEPA!$M$244</f>
        <v>1491.6343899182989</v>
      </c>
      <c r="AG344" s="711"/>
      <c r="AH344" s="733"/>
      <c r="AI344" s="749">
        <f>[5]DEPA!$N$244</f>
        <v>2796.126826179277</v>
      </c>
      <c r="AJ344" s="711"/>
      <c r="AK344" s="733"/>
      <c r="AL344" s="749">
        <f>[5]DEPA!$O$244</f>
        <v>4068.8513498448642</v>
      </c>
      <c r="AM344" s="711"/>
      <c r="AN344" s="733"/>
      <c r="AO344" s="749">
        <f>[5]DEPA!$P$244</f>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29">
        <v>2021</v>
      </c>
      <c r="D357" s="1130"/>
      <c r="E357" s="1131"/>
      <c r="F357" s="1037" t="s">
        <v>1934</v>
      </c>
      <c r="G357" s="1038"/>
      <c r="H357" s="1039"/>
      <c r="I357" s="1037" t="s">
        <v>1935</v>
      </c>
      <c r="J357" s="1038"/>
      <c r="K357" s="1039"/>
      <c r="L357" s="1037" t="s">
        <v>1936</v>
      </c>
      <c r="M357" s="1038"/>
      <c r="N357" s="1039"/>
      <c r="O357" s="1037" t="s">
        <v>1937</v>
      </c>
      <c r="P357" s="1038"/>
      <c r="Q357" s="1039"/>
      <c r="R357" s="1037" t="s">
        <v>1938</v>
      </c>
      <c r="S357" s="1038"/>
      <c r="T357" s="1039"/>
      <c r="U357" s="1037" t="s">
        <v>1916</v>
      </c>
      <c r="V357" s="1038"/>
      <c r="W357" s="1039"/>
      <c r="X357" s="1037" t="s">
        <v>1939</v>
      </c>
      <c r="Y357" s="1038"/>
      <c r="Z357" s="1039"/>
      <c r="AA357" s="1037" t="s">
        <v>1940</v>
      </c>
      <c r="AB357" s="1038"/>
      <c r="AC357" s="1039"/>
      <c r="AD357" s="1037" t="s">
        <v>3</v>
      </c>
      <c r="AE357" s="1038"/>
      <c r="AF357" s="1039"/>
      <c r="AG357" s="1037" t="s">
        <v>1941</v>
      </c>
      <c r="AH357" s="1038"/>
      <c r="AI357" s="1039"/>
      <c r="AJ357" s="1037" t="s">
        <v>1942</v>
      </c>
      <c r="AK357" s="1038"/>
      <c r="AL357" s="1039"/>
      <c r="AM357" s="1037" t="s">
        <v>1943</v>
      </c>
      <c r="AN357" s="1038"/>
      <c r="AO357" s="1039"/>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29">
        <v>2021</v>
      </c>
      <c r="D403" s="1130"/>
      <c r="E403" s="1131"/>
      <c r="F403" s="1037" t="s">
        <v>1934</v>
      </c>
      <c r="G403" s="1038"/>
      <c r="H403" s="1039"/>
      <c r="I403" s="1037" t="s">
        <v>1935</v>
      </c>
      <c r="J403" s="1038"/>
      <c r="K403" s="1039"/>
      <c r="L403" s="1037" t="s">
        <v>1936</v>
      </c>
      <c r="M403" s="1038"/>
      <c r="N403" s="1039"/>
      <c r="O403" s="1037" t="s">
        <v>1937</v>
      </c>
      <c r="P403" s="1038"/>
      <c r="Q403" s="1039"/>
      <c r="R403" s="1037" t="s">
        <v>1938</v>
      </c>
      <c r="S403" s="1038"/>
      <c r="T403" s="1039"/>
      <c r="U403" s="1037" t="s">
        <v>1916</v>
      </c>
      <c r="V403" s="1038"/>
      <c r="W403" s="1039"/>
      <c r="X403" s="1037" t="s">
        <v>1939</v>
      </c>
      <c r="Y403" s="1038"/>
      <c r="Z403" s="1039"/>
      <c r="AA403" s="1037" t="s">
        <v>1940</v>
      </c>
      <c r="AB403" s="1038"/>
      <c r="AC403" s="1039"/>
      <c r="AD403" s="1037" t="s">
        <v>3</v>
      </c>
      <c r="AE403" s="1038"/>
      <c r="AF403" s="1039"/>
      <c r="AG403" s="1037" t="s">
        <v>1941</v>
      </c>
      <c r="AH403" s="1038"/>
      <c r="AI403" s="1039"/>
      <c r="AJ403" s="1037" t="s">
        <v>1942</v>
      </c>
      <c r="AK403" s="1038"/>
      <c r="AL403" s="1039"/>
      <c r="AM403" s="1037" t="s">
        <v>1943</v>
      </c>
      <c r="AN403" s="1038"/>
      <c r="AO403" s="1039"/>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6409689.7560462104</v>
      </c>
      <c r="F406" s="877"/>
      <c r="G406" s="878"/>
      <c r="H406" s="879">
        <f>H30+H110+H196+H251+H314+H361</f>
        <v>436087.54440335213</v>
      </c>
      <c r="I406" s="877"/>
      <c r="J406" s="878"/>
      <c r="K406" s="879">
        <f>K30+K110+K196+K251+K314+K361</f>
        <v>412111.16434611491</v>
      </c>
      <c r="L406" s="877"/>
      <c r="M406" s="878"/>
      <c r="N406" s="879">
        <f>N30+N110+N196+N251+N314+N361</f>
        <v>473086.52530044882</v>
      </c>
      <c r="O406" s="877"/>
      <c r="P406" s="878"/>
      <c r="Q406" s="879">
        <f>Q30+Q110+Q196+Q251+Q314+Q361</f>
        <v>574246.67272441753</v>
      </c>
      <c r="R406" s="877"/>
      <c r="S406" s="878"/>
      <c r="T406" s="879">
        <f>T30+T110+T196+T251+T314+T361</f>
        <v>677748.24056670244</v>
      </c>
      <c r="U406" s="877"/>
      <c r="V406" s="878"/>
      <c r="W406" s="879">
        <f>W30+W110+W196+W251+W314+W361</f>
        <v>526121.23533606844</v>
      </c>
      <c r="X406" s="877"/>
      <c r="Y406" s="878"/>
      <c r="Z406" s="879">
        <f>Z30+Z110+Z196+Z251+Z314+Z361</f>
        <v>541778.88628652471</v>
      </c>
      <c r="AA406" s="877"/>
      <c r="AB406" s="878"/>
      <c r="AC406" s="879">
        <f>AC30+AC110+AC196+AC251+AC314+AC361</f>
        <v>571692.64661406144</v>
      </c>
      <c r="AD406" s="877"/>
      <c r="AE406" s="878"/>
      <c r="AF406" s="879">
        <f>AF30+AF110+AF196+AF251+AF314+AF361</f>
        <v>514390.26114581869</v>
      </c>
      <c r="AG406" s="877"/>
      <c r="AH406" s="878"/>
      <c r="AI406" s="879">
        <f>AI30+AI110+AI196+AI251+AI314+AI361</f>
        <v>658666.37929565902</v>
      </c>
      <c r="AJ406" s="877"/>
      <c r="AK406" s="878"/>
      <c r="AL406" s="879">
        <f>AL30+AL110+AL196+AL251+AL314+AL361</f>
        <v>650606.4466700668</v>
      </c>
      <c r="AM406" s="877"/>
      <c r="AN406" s="878"/>
      <c r="AO406" s="879">
        <f>AO30+AO110+AO196+AO251+AO314+AO361</f>
        <v>373153.7533569755</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0.34812127889722178</v>
      </c>
      <c r="D408" s="886">
        <f>IF(E408=0,0,E408/(C$16+C$99+C18+C20))</f>
        <v>394.03872588510313</v>
      </c>
      <c r="E408" s="883">
        <f t="shared" ref="E408:E417" si="106">+SUM(H408,K408,N408,Q408,T408,W408,Z408,AC408,AF408,AI408,AL408,AO408)</f>
        <v>468512.04507738759</v>
      </c>
      <c r="F408" s="884"/>
      <c r="G408" s="886">
        <f t="shared" ref="G408:G414" si="107">IF(H408=0,0,H408/(F$16+F$99))</f>
        <v>456.11129234208704</v>
      </c>
      <c r="H408" s="883">
        <f t="shared" ref="H408:H417" si="108">+SUMIF($B$4:$B$398,$B408,H$4:H$398)</f>
        <v>34506.994087163024</v>
      </c>
      <c r="I408" s="884"/>
      <c r="J408" s="886">
        <f t="shared" ref="J408:J414" si="109">IF(K408=0,0,K408/(I$16+I$99))</f>
        <v>477.2534335426426</v>
      </c>
      <c r="K408" s="883">
        <f t="shared" ref="K408:K417" si="110">+SUMIF($B$4:$B$398,$B408,K$4:K$398)</f>
        <v>30445.173484575535</v>
      </c>
      <c r="L408" s="884"/>
      <c r="M408" s="886">
        <f t="shared" ref="M408:M414" si="111">IF(N408=0,0,N408/(L$16+L$99))</f>
        <v>452.80294477850862</v>
      </c>
      <c r="N408" s="883">
        <f t="shared" ref="N408:N417" si="112">+SUMIF($B$4:$B$398,$B408,N$4:N$398)</f>
        <v>37113.507144412062</v>
      </c>
      <c r="O408" s="884"/>
      <c r="P408" s="886">
        <f t="shared" ref="P408:P414" si="113">IF(Q408=0,0,Q408/(O$16+O$99))</f>
        <v>425.69385735300864</v>
      </c>
      <c r="Q408" s="883">
        <f t="shared" ref="Q408:Q417" si="114">+SUMIF($B$4:$B$398,$B408,Q$4:Q$398)</f>
        <v>40734.191053869705</v>
      </c>
      <c r="R408" s="884"/>
      <c r="S408" s="886">
        <f t="shared" ref="S408:S414" si="115">IF(T408=0,0,T408/(R$16+R$99))</f>
        <v>395.82995977745099</v>
      </c>
      <c r="T408" s="883">
        <f t="shared" ref="T408:T417" si="116">+SUMIF($B$4:$B$398,$B408,T$4:T$398)</f>
        <v>48745.562816749392</v>
      </c>
      <c r="U408" s="884"/>
      <c r="V408" s="886">
        <f t="shared" ref="V408:V414" si="117">IF(W408=0,0,W408/(U$16+U$99))</f>
        <v>424.2504446165907</v>
      </c>
      <c r="W408" s="883">
        <f t="shared" ref="W408:W417" si="118">+SUMIF($B$4:$B$398,$B408,W$4:W$398)</f>
        <v>40220.503050962827</v>
      </c>
      <c r="X408" s="884"/>
      <c r="Y408" s="886">
        <f t="shared" ref="Y408:Y414" si="119">IF(Z408=0,0,Z408/(X$16+X$99))</f>
        <v>427.42441289987647</v>
      </c>
      <c r="Z408" s="883">
        <f t="shared" ref="Z408:Z417" si="120">+SUMIF($B$4:$B$398,$B408,Z$4:Z$398)</f>
        <v>40677.672039713987</v>
      </c>
      <c r="AA408" s="884"/>
      <c r="AB408" s="886">
        <f t="shared" ref="AB408:AB414" si="121">IF(AC408=0,0,AC408/(AA$16+AA$99))</f>
        <v>418.2163713500853</v>
      </c>
      <c r="AC408" s="883">
        <f t="shared" ref="AC408:AC417" si="122">+SUMIF($B$4:$B$398,$B408,AC$4:AC$398)</f>
        <v>41703.976110795105</v>
      </c>
      <c r="AD408" s="884"/>
      <c r="AE408" s="886">
        <f t="shared" ref="AE408:AE414" si="123">IF(AF408=0,0,AF408/(AD$16+AD$99))</f>
        <v>423.55003033919439</v>
      </c>
      <c r="AF408" s="883">
        <f t="shared" ref="AF408:AF417" si="124">+SUMIF($B$4:$B$398,$B408,AF$4:AF$398)</f>
        <v>41680.703972187861</v>
      </c>
      <c r="AG408" s="884"/>
      <c r="AH408" s="886">
        <f t="shared" ref="AH408:AH414" si="125">IF(AI408=0,0,AI408/(AG$16+AG$99))</f>
        <v>396.87069813380037</v>
      </c>
      <c r="AI408" s="883">
        <f t="shared" ref="AI408:AI417" si="126">+SUMIF($B$4:$B$398,$B408,AI$4:AI$398)</f>
        <v>49753.075453797763</v>
      </c>
      <c r="AJ408" s="884"/>
      <c r="AK408" s="886">
        <f t="shared" ref="AK408:AK414" si="127">IF(AL408=0,0,AL408/(AJ$16+AJ$99))</f>
        <v>433.90776200818794</v>
      </c>
      <c r="AL408" s="883">
        <f t="shared" ref="AL408:AL417" si="128">+SUMIF($B$4:$B$398,$B408,AL$4:AL$398)</f>
        <v>37370.360821779926</v>
      </c>
      <c r="AM408" s="884"/>
      <c r="AN408" s="886">
        <f t="shared" ref="AN408:AN414" si="129">IF(AO408=0,0,AO408/(AM$16+AM$99))</f>
        <v>509.5351354727398</v>
      </c>
      <c r="AO408" s="883">
        <f t="shared" ref="AO408:AO417" si="130">+SUMIF($B$4:$B$398,$B408,AO$4:AO$398)</f>
        <v>25560.325041380347</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175.29739161328627</v>
      </c>
      <c r="E414" s="883">
        <f t="shared" si="106"/>
        <v>191074.15685848202</v>
      </c>
      <c r="F414" s="884"/>
      <c r="G414" s="886">
        <f t="shared" si="107"/>
        <v>197.5665300473496</v>
      </c>
      <c r="H414" s="883">
        <f t="shared" si="108"/>
        <v>14946.850031180735</v>
      </c>
      <c r="I414" s="884"/>
      <c r="J414" s="886">
        <f t="shared" si="109"/>
        <v>237.01502745777583</v>
      </c>
      <c r="K414" s="883">
        <f t="shared" si="110"/>
        <v>15119.773106375509</v>
      </c>
      <c r="L414" s="884"/>
      <c r="M414" s="886">
        <f t="shared" si="111"/>
        <v>194.75319368656079</v>
      </c>
      <c r="N414" s="883">
        <f t="shared" si="112"/>
        <v>15962.736392579887</v>
      </c>
      <c r="O414" s="884"/>
      <c r="P414" s="886">
        <f t="shared" si="113"/>
        <v>176.61268649918139</v>
      </c>
      <c r="Q414" s="883">
        <f t="shared" si="114"/>
        <v>16899.879549892226</v>
      </c>
      <c r="R414" s="884"/>
      <c r="S414" s="886">
        <f t="shared" si="115"/>
        <v>136.35495432098273</v>
      </c>
      <c r="T414" s="883">
        <f t="shared" si="116"/>
        <v>16791.803720378964</v>
      </c>
      <c r="U414" s="884"/>
      <c r="V414" s="886">
        <f t="shared" si="117"/>
        <v>168.84403684973969</v>
      </c>
      <c r="W414" s="883">
        <f t="shared" si="118"/>
        <v>16007.035903967248</v>
      </c>
      <c r="X414" s="884"/>
      <c r="Y414" s="886">
        <f t="shared" si="119"/>
        <v>169.39272086157467</v>
      </c>
      <c r="Z414" s="883">
        <f t="shared" si="120"/>
        <v>16120.982651349028</v>
      </c>
      <c r="AA414" s="884"/>
      <c r="AB414" s="886">
        <f t="shared" si="121"/>
        <v>163.8889795761709</v>
      </c>
      <c r="AC414" s="883">
        <f t="shared" si="122"/>
        <v>16342.789420230149</v>
      </c>
      <c r="AD414" s="884"/>
      <c r="AE414" s="886">
        <f t="shared" si="123"/>
        <v>173.22567218257592</v>
      </c>
      <c r="AF414" s="883">
        <f t="shared" si="124"/>
        <v>17046.788916159512</v>
      </c>
      <c r="AG414" s="884"/>
      <c r="AH414" s="886">
        <f t="shared" si="125"/>
        <v>131.97830558178427</v>
      </c>
      <c r="AI414" s="883">
        <f t="shared" si="126"/>
        <v>16545.254227010555</v>
      </c>
      <c r="AJ414" s="884"/>
      <c r="AK414" s="886">
        <f t="shared" si="127"/>
        <v>170.29827029164238</v>
      </c>
      <c r="AL414" s="883">
        <f t="shared" si="128"/>
        <v>14666.960043926545</v>
      </c>
      <c r="AM414" s="884"/>
      <c r="AN414" s="886">
        <f t="shared" si="129"/>
        <v>291.50985403432441</v>
      </c>
      <c r="AO414" s="883">
        <f t="shared" si="130"/>
        <v>14623.302895431645</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0.23035916147090038</v>
      </c>
      <c r="D418" s="938">
        <f>SUM(D408:D414)</f>
        <v>1318.8265354392659</v>
      </c>
      <c r="E418" s="893">
        <f>SUM(E408:E414)</f>
        <v>1476530.7574914251</v>
      </c>
      <c r="F418" s="891">
        <f>IFERROR(H418/H406,0)</f>
        <v>0.2431625095924001</v>
      </c>
      <c r="G418" s="892"/>
      <c r="H418" s="893">
        <f>SUM(H408:H414)</f>
        <v>106040.14169910632</v>
      </c>
      <c r="I418" s="891">
        <f>IFERROR(K418/K406,0)</f>
        <v>0.22674360325584875</v>
      </c>
      <c r="J418" s="892"/>
      <c r="K418" s="893">
        <f>SUM(K408:K414)</f>
        <v>93443.57034580136</v>
      </c>
      <c r="L418" s="891">
        <f>IFERROR(N418/N406,0)</f>
        <v>0.24185997404799031</v>
      </c>
      <c r="M418" s="892"/>
      <c r="N418" s="893">
        <f>SUM(N408:N414)</f>
        <v>114420.69473162046</v>
      </c>
      <c r="O418" s="891">
        <f>IFERROR(Q418/Q406,0)</f>
        <v>0.22519491731420307</v>
      </c>
      <c r="P418" s="892"/>
      <c r="Q418" s="893">
        <f>SUM(Q408:Q414)</f>
        <v>129317.43198213144</v>
      </c>
      <c r="R418" s="891">
        <f>IFERROR(T418/T406,0)</f>
        <v>0.23278040702568878</v>
      </c>
      <c r="S418" s="892"/>
      <c r="T418" s="893">
        <f>SUM(T408:T414)</f>
        <v>157766.51130006142</v>
      </c>
      <c r="U418" s="891">
        <f>IFERROR(W418/W406,0)</f>
        <v>0.24202459244436483</v>
      </c>
      <c r="V418" s="892"/>
      <c r="W418" s="893">
        <f>SUM(W408:W414)</f>
        <v>127334.27755853772</v>
      </c>
      <c r="X418" s="891">
        <f>IFERROR(Z418/Z406,0)</f>
        <v>0.23660756591620358</v>
      </c>
      <c r="Y418" s="892"/>
      <c r="Z418" s="893">
        <f>SUM(Z408:Z414)</f>
        <v>128188.98354904626</v>
      </c>
      <c r="AA418" s="891">
        <f>IFERROR(AC418/AC406,0)</f>
        <v>0.23235780019730989</v>
      </c>
      <c r="AB418" s="892"/>
      <c r="AC418" s="893">
        <f>SUM(AC408:AC414)</f>
        <v>132837.24575622138</v>
      </c>
      <c r="AD418" s="891">
        <f>IFERROR(AF418/AF406,0)</f>
        <v>0.2574007069587273</v>
      </c>
      <c r="AE418" s="892"/>
      <c r="AF418" s="893">
        <f>SUM(AF408:AF414)</f>
        <v>132404.41687161807</v>
      </c>
      <c r="AG418" s="891">
        <f>IFERROR(AI418/AI406,0)</f>
        <v>0.24321956409276638</v>
      </c>
      <c r="AH418" s="892"/>
      <c r="AI418" s="893">
        <f>SUM(AI408:AI414)</f>
        <v>160200.54965485091</v>
      </c>
      <c r="AJ418" s="891">
        <f>IFERROR(AL418/AL406,0)</f>
        <v>0.17940316923659236</v>
      </c>
      <c r="AK418" s="892"/>
      <c r="AL418" s="893">
        <f>SUM(AL408:AL414)</f>
        <v>116720.85845836799</v>
      </c>
      <c r="AM418" s="891">
        <f>IFERROR(AO418/AO406,0)</f>
        <v>0.20864342079813175</v>
      </c>
      <c r="AN418" s="892"/>
      <c r="AO418" s="893">
        <f>SUM(AO408:AO414)</f>
        <v>77856.075584061706</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f>[5]Salaire!$E$15</f>
        <v>0</v>
      </c>
      <c r="I419" s="884"/>
      <c r="J419" s="886"/>
      <c r="K419" s="894">
        <f>[5]Salaire!$F$15</f>
        <v>0</v>
      </c>
      <c r="L419" s="884"/>
      <c r="M419" s="886"/>
      <c r="N419" s="894">
        <f>[5]Salaire!$G$15</f>
        <v>0</v>
      </c>
      <c r="O419" s="884"/>
      <c r="P419" s="886"/>
      <c r="Q419" s="894">
        <f>[5]Salaire!$H$15</f>
        <v>0</v>
      </c>
      <c r="R419" s="884"/>
      <c r="S419" s="886"/>
      <c r="T419" s="894">
        <f>[5]Salaire!$I$15</f>
        <v>0</v>
      </c>
      <c r="U419" s="884"/>
      <c r="V419" s="886"/>
      <c r="W419" s="894">
        <f>[5]Salaire!$J$15</f>
        <v>0</v>
      </c>
      <c r="X419" s="884"/>
      <c r="Y419" s="886"/>
      <c r="Z419" s="894">
        <f>[5]Salaire!$K$15</f>
        <v>0</v>
      </c>
      <c r="AA419" s="884"/>
      <c r="AB419" s="886"/>
      <c r="AC419" s="894">
        <f>[5]Salaire!$L$15</f>
        <v>0</v>
      </c>
      <c r="AD419" s="884"/>
      <c r="AE419" s="886"/>
      <c r="AF419" s="894">
        <f>[5]Salaire!$M$15</f>
        <v>0</v>
      </c>
      <c r="AG419" s="884"/>
      <c r="AH419" s="886"/>
      <c r="AI419" s="894">
        <f>[5]Salaire!$N$15</f>
        <v>0</v>
      </c>
      <c r="AJ419" s="884"/>
      <c r="AK419" s="886"/>
      <c r="AL419" s="894">
        <f>[5]Salaire!$O$15</f>
        <v>0</v>
      </c>
      <c r="AM419" s="884"/>
      <c r="AN419" s="886"/>
      <c r="AO419" s="894">
        <f>[5]Salaire!$P$15</f>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440888.4318595478</v>
      </c>
      <c r="F427" s="872"/>
      <c r="G427" s="888"/>
      <c r="H427" s="875">
        <f t="shared" si="133"/>
        <v>34947.682152577298</v>
      </c>
      <c r="I427" s="872"/>
      <c r="J427" s="888"/>
      <c r="K427" s="875">
        <f t="shared" si="134"/>
        <v>33073.13108091092</v>
      </c>
      <c r="L427" s="872"/>
      <c r="M427" s="888"/>
      <c r="N427" s="875">
        <f t="shared" si="135"/>
        <v>37417.692929290759</v>
      </c>
      <c r="O427" s="872"/>
      <c r="P427" s="888"/>
      <c r="Q427" s="875">
        <f t="shared" si="136"/>
        <v>36685.809985278342</v>
      </c>
      <c r="R427" s="872"/>
      <c r="S427" s="888"/>
      <c r="T427" s="875">
        <f t="shared" si="137"/>
        <v>39062.686178500408</v>
      </c>
      <c r="U427" s="872"/>
      <c r="V427" s="888"/>
      <c r="W427" s="875">
        <f t="shared" si="138"/>
        <v>37414.988572296192</v>
      </c>
      <c r="X427" s="872"/>
      <c r="Y427" s="888"/>
      <c r="Z427" s="875">
        <f t="shared" si="139"/>
        <v>37933.0054723676</v>
      </c>
      <c r="AA427" s="872"/>
      <c r="AB427" s="888"/>
      <c r="AC427" s="875">
        <f t="shared" si="140"/>
        <v>37807.012171711969</v>
      </c>
      <c r="AD427" s="872"/>
      <c r="AE427" s="888"/>
      <c r="AF427" s="875">
        <f t="shared" si="141"/>
        <v>37556.547900177349</v>
      </c>
      <c r="AG427" s="872"/>
      <c r="AH427" s="888"/>
      <c r="AI427" s="875">
        <f t="shared" si="142"/>
        <v>39028.251489079717</v>
      </c>
      <c r="AJ427" s="872"/>
      <c r="AK427" s="888"/>
      <c r="AL427" s="875">
        <f t="shared" si="143"/>
        <v>36813.20442198441</v>
      </c>
      <c r="AM427" s="872"/>
      <c r="AN427" s="888"/>
      <c r="AO427" s="875">
        <f t="shared" si="144"/>
        <v>33148.419505372825</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440888.4318595478</v>
      </c>
      <c r="F428" s="884"/>
      <c r="G428" s="886"/>
      <c r="H428" s="883">
        <f t="shared" si="133"/>
        <v>34947.682152577298</v>
      </c>
      <c r="I428" s="884"/>
      <c r="J428" s="886"/>
      <c r="K428" s="883">
        <f t="shared" si="134"/>
        <v>33073.13108091092</v>
      </c>
      <c r="L428" s="884"/>
      <c r="M428" s="886"/>
      <c r="N428" s="883">
        <f t="shared" si="135"/>
        <v>37417.692929290759</v>
      </c>
      <c r="O428" s="884"/>
      <c r="P428" s="886"/>
      <c r="Q428" s="883">
        <f t="shared" si="136"/>
        <v>36685.809985278342</v>
      </c>
      <c r="R428" s="884"/>
      <c r="S428" s="886"/>
      <c r="T428" s="883">
        <f t="shared" si="137"/>
        <v>39062.686178500408</v>
      </c>
      <c r="U428" s="884"/>
      <c r="V428" s="886"/>
      <c r="W428" s="883">
        <f t="shared" si="138"/>
        <v>37414.988572296192</v>
      </c>
      <c r="X428" s="884"/>
      <c r="Y428" s="886"/>
      <c r="Z428" s="883">
        <f t="shared" si="139"/>
        <v>37933.0054723676</v>
      </c>
      <c r="AA428" s="884"/>
      <c r="AB428" s="886"/>
      <c r="AC428" s="883">
        <f t="shared" si="140"/>
        <v>37807.012171711969</v>
      </c>
      <c r="AD428" s="884"/>
      <c r="AE428" s="886"/>
      <c r="AF428" s="883">
        <f t="shared" si="141"/>
        <v>37556.547900177349</v>
      </c>
      <c r="AG428" s="884"/>
      <c r="AH428" s="886"/>
      <c r="AI428" s="883">
        <f t="shared" si="142"/>
        <v>39028.251489079717</v>
      </c>
      <c r="AJ428" s="884"/>
      <c r="AK428" s="886"/>
      <c r="AL428" s="883">
        <f t="shared" si="143"/>
        <v>36813.20442198441</v>
      </c>
      <c r="AM428" s="884"/>
      <c r="AN428" s="886"/>
      <c r="AO428" s="883">
        <f t="shared" si="144"/>
        <v>33148.419505372825</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315970.04283267586</v>
      </c>
      <c r="F429" s="884"/>
      <c r="G429" s="886"/>
      <c r="H429" s="883">
        <f t="shared" si="133"/>
        <v>25045.838876013724</v>
      </c>
      <c r="I429" s="884"/>
      <c r="J429" s="886"/>
      <c r="K429" s="883">
        <f t="shared" si="134"/>
        <v>23702.410607986159</v>
      </c>
      <c r="L429" s="884"/>
      <c r="M429" s="886"/>
      <c r="N429" s="883">
        <f t="shared" si="135"/>
        <v>26816.013265991711</v>
      </c>
      <c r="O429" s="884"/>
      <c r="P429" s="886"/>
      <c r="Q429" s="883">
        <f t="shared" si="136"/>
        <v>26291.497156116147</v>
      </c>
      <c r="R429" s="884"/>
      <c r="S429" s="886"/>
      <c r="T429" s="883">
        <f t="shared" si="137"/>
        <v>27994.925094591956</v>
      </c>
      <c r="U429" s="884"/>
      <c r="V429" s="886"/>
      <c r="W429" s="883">
        <f t="shared" si="138"/>
        <v>26814.075143478938</v>
      </c>
      <c r="X429" s="884"/>
      <c r="Y429" s="886"/>
      <c r="Z429" s="883">
        <f t="shared" si="139"/>
        <v>27185.320588530114</v>
      </c>
      <c r="AA429" s="884"/>
      <c r="AB429" s="886"/>
      <c r="AC429" s="883">
        <f t="shared" si="140"/>
        <v>27095.02538972691</v>
      </c>
      <c r="AD429" s="884"/>
      <c r="AE429" s="886"/>
      <c r="AF429" s="883">
        <f t="shared" si="141"/>
        <v>26915.5259951271</v>
      </c>
      <c r="AG429" s="884"/>
      <c r="AH429" s="886"/>
      <c r="AI429" s="883">
        <f t="shared" si="142"/>
        <v>27970.246900507133</v>
      </c>
      <c r="AJ429" s="884"/>
      <c r="AK429" s="886"/>
      <c r="AL429" s="883">
        <f t="shared" si="143"/>
        <v>26382.796502422163</v>
      </c>
      <c r="AM429" s="884"/>
      <c r="AN429" s="886"/>
      <c r="AO429" s="883">
        <f t="shared" si="144"/>
        <v>23756.367312183855</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73481.405309924623</v>
      </c>
      <c r="F430" s="884"/>
      <c r="G430" s="886"/>
      <c r="H430" s="883">
        <f t="shared" si="133"/>
        <v>5824.6136920962153</v>
      </c>
      <c r="I430" s="884"/>
      <c r="J430" s="886"/>
      <c r="K430" s="883">
        <f t="shared" si="134"/>
        <v>5512.1885134851536</v>
      </c>
      <c r="L430" s="884"/>
      <c r="M430" s="886"/>
      <c r="N430" s="883">
        <f t="shared" si="135"/>
        <v>6236.2821548817947</v>
      </c>
      <c r="O430" s="884"/>
      <c r="P430" s="886"/>
      <c r="Q430" s="883">
        <f t="shared" si="136"/>
        <v>6114.3016642130569</v>
      </c>
      <c r="R430" s="884"/>
      <c r="S430" s="886"/>
      <c r="T430" s="883">
        <f t="shared" si="137"/>
        <v>6510.4476964167343</v>
      </c>
      <c r="U430" s="884"/>
      <c r="V430" s="886"/>
      <c r="W430" s="883">
        <f t="shared" si="138"/>
        <v>6235.831428716032</v>
      </c>
      <c r="X430" s="884"/>
      <c r="Y430" s="886"/>
      <c r="Z430" s="883">
        <f t="shared" si="139"/>
        <v>6322.1675787279346</v>
      </c>
      <c r="AA430" s="884"/>
      <c r="AB430" s="886"/>
      <c r="AC430" s="883">
        <f t="shared" si="140"/>
        <v>6301.1686952853279</v>
      </c>
      <c r="AD430" s="884"/>
      <c r="AE430" s="886"/>
      <c r="AF430" s="883">
        <f t="shared" si="141"/>
        <v>6259.4246500295585</v>
      </c>
      <c r="AG430" s="884"/>
      <c r="AH430" s="886"/>
      <c r="AI430" s="883">
        <f t="shared" si="142"/>
        <v>6504.7085815132868</v>
      </c>
      <c r="AJ430" s="884"/>
      <c r="AK430" s="886"/>
      <c r="AL430" s="883">
        <f t="shared" si="143"/>
        <v>6135.5340703307356</v>
      </c>
      <c r="AM430" s="884"/>
      <c r="AN430" s="886"/>
      <c r="AO430" s="883">
        <f t="shared" si="144"/>
        <v>5524.7365842288045</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0.49646116081098568</v>
      </c>
      <c r="D432" s="896"/>
      <c r="E432" s="893">
        <f>SUM(E419:E430)</f>
        <v>3182162.0167249851</v>
      </c>
      <c r="F432" s="891">
        <f>IFERROR(H432/H406,0)</f>
        <v>0.58615619739115032</v>
      </c>
      <c r="G432" s="896"/>
      <c r="H432" s="893">
        <f>SUM(H419:H430)</f>
        <v>255615.4167571133</v>
      </c>
      <c r="I432" s="891">
        <f>IFERROR(K432/K406,0)</f>
        <v>0.59292406583131285</v>
      </c>
      <c r="J432" s="896"/>
      <c r="K432" s="893">
        <f>SUM(K419:K430)</f>
        <v>244350.62713857484</v>
      </c>
      <c r="L432" s="891">
        <f>IFERROR(N432/N406,0)</f>
        <v>0.58014112544451613</v>
      </c>
      <c r="M432" s="896"/>
      <c r="N432" s="893">
        <f>SUM(N419:N430)</f>
        <v>274456.94922043791</v>
      </c>
      <c r="O432" s="891">
        <f>IFERROR(Q432/Q406,0)</f>
        <v>0.45385899658457451</v>
      </c>
      <c r="P432" s="896"/>
      <c r="Q432" s="893">
        <f>SUM(Q419:Q430)</f>
        <v>260627.01867473469</v>
      </c>
      <c r="R432" s="891">
        <f>IFERROR(T432/T406,0)</f>
        <v>0.40330636466406861</v>
      </c>
      <c r="S432" s="896"/>
      <c r="T432" s="893">
        <f>SUM(T419:T430)</f>
        <v>273340.17906042538</v>
      </c>
      <c r="U432" s="891">
        <f>IFERROR(W432/W406,0)</f>
        <v>0.51050841439167038</v>
      </c>
      <c r="V432" s="896"/>
      <c r="W432" s="893">
        <f>SUM(W419:W430)</f>
        <v>268589.31762920314</v>
      </c>
      <c r="X432" s="891">
        <f>IFERROR(Z432/Z406,0)</f>
        <v>0.49851136664925927</v>
      </c>
      <c r="Y432" s="896"/>
      <c r="Z432" s="893">
        <f>SUM(Z419:Z430)</f>
        <v>270082.93302440905</v>
      </c>
      <c r="AA432" s="891">
        <f>IFERROR(AC432/AC406,0)</f>
        <v>0.47179136191152465</v>
      </c>
      <c r="AB432" s="896"/>
      <c r="AC432" s="893">
        <f>SUM(AC419:AC430)</f>
        <v>269719.65234085202</v>
      </c>
      <c r="AD432" s="891">
        <f>IFERROR(AF432/AF406,0)</f>
        <v>0.52294434921595867</v>
      </c>
      <c r="AE432" s="896"/>
      <c r="AF432" s="893">
        <f>SUM(AF419:AF430)</f>
        <v>268997.48035792721</v>
      </c>
      <c r="AG432" s="891">
        <f>IFERROR(AI432/AI406,0)</f>
        <v>0.40594307945389735</v>
      </c>
      <c r="AH432" s="896"/>
      <c r="AI432" s="893">
        <f>SUM(AI419:AI430)</f>
        <v>267381.0583440286</v>
      </c>
      <c r="AJ432" s="891">
        <f>IFERROR(AL432/AL406,0)</f>
        <v>0.41016220281085486</v>
      </c>
      <c r="AK432" s="896"/>
      <c r="AL432" s="893">
        <f>SUM(AL419:AL430)</f>
        <v>266854.17332913756</v>
      </c>
      <c r="AM432" s="891">
        <f>IFERROR(AO432/AO406,0)</f>
        <v>0.70251795269324135</v>
      </c>
      <c r="AN432" s="896"/>
      <c r="AO432" s="893">
        <f>SUM(AO419:AO430)</f>
        <v>262147.21084814117</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0.22071344486923411</v>
      </c>
      <c r="D450" s="892"/>
      <c r="E450" s="893">
        <f>+SUM(E433:E449)</f>
        <v>1414704.7065999999</v>
      </c>
      <c r="F450" s="891">
        <f>IFERROR(H450/H406,0)</f>
        <v>0.25571625482307764</v>
      </c>
      <c r="G450" s="892"/>
      <c r="H450" s="893">
        <f>+SUM(H433:H449)</f>
        <v>111514.67362981779</v>
      </c>
      <c r="I450" s="891">
        <f>IFERROR(K450/K406,0)</f>
        <v>0.26745872367338547</v>
      </c>
      <c r="J450" s="892"/>
      <c r="K450" s="893">
        <f>+SUM(K433:K449)</f>
        <v>110222.7260275647</v>
      </c>
      <c r="L450" s="891">
        <f>IFERROR(N450/N406,0)</f>
        <v>0.23824058720825977</v>
      </c>
      <c r="M450" s="892"/>
      <c r="N450" s="893">
        <f>+SUM(N433:N449)</f>
        <v>112708.41158789417</v>
      </c>
      <c r="O450" s="891">
        <f>IFERROR(Q450/Q406,0)</f>
        <v>0.22060344645409338</v>
      </c>
      <c r="P450" s="892"/>
      <c r="Q450" s="893">
        <f>+SUM(Q433:Q449)</f>
        <v>126680.79511780234</v>
      </c>
      <c r="R450" s="891">
        <f>IFERROR(T450/T406,0)</f>
        <v>0.18712354575271561</v>
      </c>
      <c r="S450" s="892"/>
      <c r="T450" s="893">
        <f>+SUM(T433:T449)</f>
        <v>126822.65390250584</v>
      </c>
      <c r="U450" s="891">
        <f>IFERROR(W450/W406,0)</f>
        <v>0.21584108591212264</v>
      </c>
      <c r="V450" s="892"/>
      <c r="W450" s="893">
        <f>+SUM(W433:W449)</f>
        <v>113558.57875636444</v>
      </c>
      <c r="X450" s="891">
        <f>IFERROR(Z450/Z406,0)</f>
        <v>0.2090425020486408</v>
      </c>
      <c r="Y450" s="892"/>
      <c r="Z450" s="893">
        <f>+SUM(Z433:Z449)</f>
        <v>113254.81394646117</v>
      </c>
      <c r="AA450" s="891">
        <f>IFERROR(AC450/AC406,0)</f>
        <v>0.19943739056235707</v>
      </c>
      <c r="AB450" s="892"/>
      <c r="AC450" s="893">
        <f>+SUM(AC433:AC449)</f>
        <v>114016.88964439616</v>
      </c>
      <c r="AD450" s="891">
        <f>IFERROR(AF450/AF406,0)</f>
        <v>0.21556058588686697</v>
      </c>
      <c r="AE450" s="892"/>
      <c r="AF450" s="893">
        <f>+SUM(AF433:AF449)</f>
        <v>110882.26606709117</v>
      </c>
      <c r="AG450" s="891">
        <f>IFERROR(AI450/AI406,0)</f>
        <v>0.19105507930815357</v>
      </c>
      <c r="AH450" s="892"/>
      <c r="AI450" s="893">
        <f>+SUM(AI433:AI449)</f>
        <v>125841.55733394649</v>
      </c>
      <c r="AJ450" s="891">
        <f>IFERROR(AL450/AL406,0)</f>
        <v>0.20454881489354179</v>
      </c>
      <c r="AK450" s="892"/>
      <c r="AL450" s="893">
        <f>+SUM(AL433:AL449)</f>
        <v>133080.77762846046</v>
      </c>
      <c r="AM450" s="891">
        <f>IFERROR(AO450/AO406,0)</f>
        <v>0.31118690864837484</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f>SUM([5]DEPA!$E$261:$E$265)</f>
        <v>26000</v>
      </c>
      <c r="I451" s="884"/>
      <c r="J451" s="886"/>
      <c r="K451" s="894">
        <f>SUM([5]DEPA!$F$261:$F$265)</f>
        <v>26000</v>
      </c>
      <c r="L451" s="884"/>
      <c r="M451" s="886"/>
      <c r="N451" s="894">
        <f>SUM([5]DEPA!$G$261:$G$265)</f>
        <v>26000</v>
      </c>
      <c r="O451" s="884"/>
      <c r="P451" s="886"/>
      <c r="Q451" s="894">
        <f>SUM([5]DEPA!$H$261:$H$265)</f>
        <v>26000</v>
      </c>
      <c r="R451" s="884"/>
      <c r="S451" s="886"/>
      <c r="T451" s="894">
        <f>SUM([5]DEPA!$I$261:$I$265)</f>
        <v>26000</v>
      </c>
      <c r="U451" s="884"/>
      <c r="V451" s="886"/>
      <c r="W451" s="894">
        <f>SUM([5]DEPA!$J$261:$J$265)</f>
        <v>26000</v>
      </c>
      <c r="X451" s="884"/>
      <c r="Y451" s="886"/>
      <c r="Z451" s="894">
        <f>SUM([5]DEPA!$K$261:$K$265)</f>
        <v>26000</v>
      </c>
      <c r="AA451" s="884"/>
      <c r="AB451" s="886"/>
      <c r="AC451" s="894">
        <f>SUM([5]DEPA!$L$261:$L$265)</f>
        <v>26000</v>
      </c>
      <c r="AD451" s="884"/>
      <c r="AE451" s="886"/>
      <c r="AF451" s="894">
        <f>SUM([5]DEPA!$M$261:$M$265)</f>
        <v>26000</v>
      </c>
      <c r="AG451" s="884"/>
      <c r="AH451" s="886"/>
      <c r="AI451" s="894">
        <f>SUM([5]DEPA!$N$261:$N$265)</f>
        <v>26000</v>
      </c>
      <c r="AJ451" s="884"/>
      <c r="AK451" s="886"/>
      <c r="AL451" s="894">
        <f>SUM([5]DEPA!$O$261:$O$265)</f>
        <v>26000</v>
      </c>
      <c r="AM451" s="884"/>
      <c r="AN451" s="886"/>
      <c r="AO451" s="894">
        <f>SUM([5]DEPA!$P$261:$P$265)</f>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f>SUM([5]DEPA!$E$270:$E$274)</f>
        <v>4810</v>
      </c>
      <c r="I452" s="884"/>
      <c r="J452" s="886"/>
      <c r="K452" s="894">
        <f>SUM([5]DEPA!$F$270:$F$274)</f>
        <v>4810</v>
      </c>
      <c r="L452" s="884"/>
      <c r="M452" s="886"/>
      <c r="N452" s="894">
        <f>SUM([5]DEPA!$G$270:$G$274)</f>
        <v>4810</v>
      </c>
      <c r="O452" s="884"/>
      <c r="P452" s="886"/>
      <c r="Q452" s="894">
        <f>SUM([5]DEPA!$H$270:$H$274)</f>
        <v>4810</v>
      </c>
      <c r="R452" s="884"/>
      <c r="S452" s="886"/>
      <c r="T452" s="894">
        <f>SUM([5]DEPA!$I$270:$I$274)</f>
        <v>4810</v>
      </c>
      <c r="U452" s="884"/>
      <c r="V452" s="886"/>
      <c r="W452" s="894">
        <f>SUM([5]DEPA!$J$270:$J$274)</f>
        <v>4810</v>
      </c>
      <c r="X452" s="884"/>
      <c r="Y452" s="886"/>
      <c r="Z452" s="894">
        <f>SUM([5]DEPA!$K$270:$K$274)</f>
        <v>4810</v>
      </c>
      <c r="AA452" s="884"/>
      <c r="AB452" s="886"/>
      <c r="AC452" s="894">
        <f>SUM([5]DEPA!$L$270:$L$274)</f>
        <v>4810</v>
      </c>
      <c r="AD452" s="884"/>
      <c r="AE452" s="886"/>
      <c r="AF452" s="894">
        <f>SUM([5]DEPA!$M$270:$M$274)</f>
        <v>4810</v>
      </c>
      <c r="AG452" s="884"/>
      <c r="AH452" s="886"/>
      <c r="AI452" s="894">
        <f>SUM([5]DEPA!$N$270:$N$274)</f>
        <v>4810</v>
      </c>
      <c r="AJ452" s="884"/>
      <c r="AK452" s="886"/>
      <c r="AL452" s="894">
        <f>SUM([5]DEPA!$O$270:$O$274)</f>
        <v>4810</v>
      </c>
      <c r="AM452" s="884"/>
      <c r="AN452" s="886"/>
      <c r="AO452" s="894">
        <f>SUM([5]DEPA!$P$270:$P$274)</f>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f>SUM([5]DEPA!$E$280:$E$284)</f>
        <v>3200</v>
      </c>
      <c r="I453" s="872"/>
      <c r="J453" s="888"/>
      <c r="K453" s="900">
        <f>SUM([5]DEPA!$F$280:$F$284)</f>
        <v>3200</v>
      </c>
      <c r="L453" s="872"/>
      <c r="M453" s="888"/>
      <c r="N453" s="900">
        <f>SUM([5]DEPA!$G$280:$G$284)</f>
        <v>3200</v>
      </c>
      <c r="O453" s="872"/>
      <c r="P453" s="888"/>
      <c r="Q453" s="900">
        <f>SUM([5]DEPA!$H$280:$H$284)</f>
        <v>3200</v>
      </c>
      <c r="R453" s="872"/>
      <c r="S453" s="888"/>
      <c r="T453" s="900">
        <f>SUM([5]DEPA!$I$280:$I$284)</f>
        <v>3200</v>
      </c>
      <c r="U453" s="872"/>
      <c r="V453" s="888"/>
      <c r="W453" s="900">
        <f>SUM([5]DEPA!$J$280:$J$284)</f>
        <v>3200</v>
      </c>
      <c r="X453" s="872"/>
      <c r="Y453" s="888"/>
      <c r="Z453" s="900">
        <f>SUM([5]DEPA!$K$280:$K$284)</f>
        <v>3200</v>
      </c>
      <c r="AA453" s="872"/>
      <c r="AB453" s="888"/>
      <c r="AC453" s="900">
        <f>SUM([5]DEPA!$L$280:$L$284)</f>
        <v>3200</v>
      </c>
      <c r="AD453" s="872"/>
      <c r="AE453" s="888"/>
      <c r="AF453" s="900">
        <f>SUM([5]DEPA!$M$280:$M$284)</f>
        <v>3200</v>
      </c>
      <c r="AG453" s="872"/>
      <c r="AH453" s="888"/>
      <c r="AI453" s="900">
        <f>SUM([5]DEPA!$N$280:$N$284)</f>
        <v>3200</v>
      </c>
      <c r="AJ453" s="872"/>
      <c r="AK453" s="888"/>
      <c r="AL453" s="900">
        <f>SUM([5]DEPA!$O$280:$O$284)</f>
        <v>3200</v>
      </c>
      <c r="AM453" s="872"/>
      <c r="AN453" s="888"/>
      <c r="AO453" s="900">
        <f>SUM([5]DEPA!$P$280:$P$284)</f>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f>SUM([5]DEPA!$E$307:$E$311)</f>
        <v>3708.0833333333339</v>
      </c>
      <c r="I455" s="872"/>
      <c r="J455" s="888"/>
      <c r="K455" s="900">
        <f>SUM([5]DEPA!$F$307:$F$311)</f>
        <v>3708.0833333333339</v>
      </c>
      <c r="L455" s="872"/>
      <c r="M455" s="888"/>
      <c r="N455" s="900">
        <f>SUM([5]DEPA!$G$307:$G$311)</f>
        <v>3708.0833333333339</v>
      </c>
      <c r="O455" s="872"/>
      <c r="P455" s="888"/>
      <c r="Q455" s="900">
        <f>SUM([5]DEPA!$H$307:$H$311)</f>
        <v>3708.0833333333339</v>
      </c>
      <c r="R455" s="872"/>
      <c r="S455" s="888"/>
      <c r="T455" s="900">
        <f>SUM([5]DEPA!$I$307:$I$311)</f>
        <v>3708.0833333333339</v>
      </c>
      <c r="U455" s="872"/>
      <c r="V455" s="888"/>
      <c r="W455" s="900">
        <f>SUM([5]DEPA!$J$307:$J$311)</f>
        <v>3708.0833333333339</v>
      </c>
      <c r="X455" s="872"/>
      <c r="Y455" s="888"/>
      <c r="Z455" s="900">
        <f>SUM([5]DEPA!$K$307:$K$311)</f>
        <v>3708.0833333333339</v>
      </c>
      <c r="AA455" s="872"/>
      <c r="AB455" s="888"/>
      <c r="AC455" s="900">
        <f>SUM([5]DEPA!$L$307:$L$311)</f>
        <v>3708.0833333333339</v>
      </c>
      <c r="AD455" s="872"/>
      <c r="AE455" s="888"/>
      <c r="AF455" s="900">
        <f>SUM([5]DEPA!$M$307:$M$311)</f>
        <v>3708.0833333333339</v>
      </c>
      <c r="AG455" s="872"/>
      <c r="AH455" s="888"/>
      <c r="AI455" s="900">
        <f>SUM([5]DEPA!$N$307:$N$311)</f>
        <v>3708.0833333333339</v>
      </c>
      <c r="AJ455" s="872"/>
      <c r="AK455" s="888"/>
      <c r="AL455" s="900">
        <f>SUM([5]DEPA!$O$307:$O$311)</f>
        <v>3708.0833333333339</v>
      </c>
      <c r="AM455" s="872"/>
      <c r="AN455" s="888"/>
      <c r="AO455" s="900">
        <f>SUM([5]DEPA!$P$307:$P$311)</f>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f>SUM([5]DEPA!$E$316:$E$320)</f>
        <v>3810</v>
      </c>
      <c r="I456" s="884"/>
      <c r="J456" s="886"/>
      <c r="K456" s="894">
        <f>SUM([5]DEPA!$F$316:$F$320)</f>
        <v>3810</v>
      </c>
      <c r="L456" s="884"/>
      <c r="M456" s="886"/>
      <c r="N456" s="894">
        <f>SUM([5]DEPA!$G$316:$G$320)</f>
        <v>3810</v>
      </c>
      <c r="O456" s="884"/>
      <c r="P456" s="886"/>
      <c r="Q456" s="894">
        <f>SUM([5]DEPA!$H$316:$H$320)</f>
        <v>3810</v>
      </c>
      <c r="R456" s="884"/>
      <c r="S456" s="886"/>
      <c r="T456" s="894">
        <f>SUM([5]DEPA!$I$316:$I$320)</f>
        <v>3810</v>
      </c>
      <c r="U456" s="884"/>
      <c r="V456" s="886"/>
      <c r="W456" s="894">
        <f>SUM([5]DEPA!$J$316:$J$320)</f>
        <v>3810</v>
      </c>
      <c r="X456" s="884"/>
      <c r="Y456" s="886"/>
      <c r="Z456" s="894">
        <f>SUM([5]DEPA!$K$316:$K$320)</f>
        <v>3810</v>
      </c>
      <c r="AA456" s="884"/>
      <c r="AB456" s="886"/>
      <c r="AC456" s="894">
        <f>SUM([5]DEPA!$L$316:$L$320)</f>
        <v>3810</v>
      </c>
      <c r="AD456" s="884"/>
      <c r="AE456" s="886"/>
      <c r="AF456" s="894">
        <f>SUM([5]DEPA!$M$316:$M$320)</f>
        <v>3810</v>
      </c>
      <c r="AG456" s="884"/>
      <c r="AH456" s="886"/>
      <c r="AI456" s="894">
        <f>SUM([5]DEPA!$N$316:$N$320)</f>
        <v>3810</v>
      </c>
      <c r="AJ456" s="884"/>
      <c r="AK456" s="886"/>
      <c r="AL456" s="894">
        <f>SUM([5]DEPA!$O$316:$O$320)</f>
        <v>3810</v>
      </c>
      <c r="AM456" s="884"/>
      <c r="AN456" s="886"/>
      <c r="AO456" s="894">
        <f>SUM([5]DEPA!$P$316:$P$320)</f>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f>SUM([5]DEPA!$E$325:$E$329)</f>
        <v>6217.1666666666679</v>
      </c>
      <c r="I457" s="884"/>
      <c r="J457" s="886"/>
      <c r="K457" s="894">
        <f>SUM([5]DEPA!$F$325:$F$329)</f>
        <v>6217.1666666666679</v>
      </c>
      <c r="L457" s="884"/>
      <c r="M457" s="886"/>
      <c r="N457" s="894">
        <f>SUM([5]DEPA!$G$325:$G$329)</f>
        <v>6217.1666666666679</v>
      </c>
      <c r="O457" s="884"/>
      <c r="P457" s="886"/>
      <c r="Q457" s="894">
        <f>SUM([5]DEPA!$H$325:$H$329)</f>
        <v>6217.1666666666679</v>
      </c>
      <c r="R457" s="884"/>
      <c r="S457" s="886"/>
      <c r="T457" s="894">
        <f>SUM([5]DEPA!$I$325:$I$329)</f>
        <v>6217.1666666666679</v>
      </c>
      <c r="U457" s="884"/>
      <c r="V457" s="886"/>
      <c r="W457" s="894">
        <f>SUM([5]DEPA!$J$325:$J$329)</f>
        <v>6217.1666666666679</v>
      </c>
      <c r="X457" s="884"/>
      <c r="Y457" s="886"/>
      <c r="Z457" s="894">
        <f>SUM([5]DEPA!$K$325:$K$329)</f>
        <v>6217.1666666666679</v>
      </c>
      <c r="AA457" s="884"/>
      <c r="AB457" s="886"/>
      <c r="AC457" s="894">
        <f>SUM([5]DEPA!$L$325:$L$329)</f>
        <v>6217.1666666666679</v>
      </c>
      <c r="AD457" s="884"/>
      <c r="AE457" s="886"/>
      <c r="AF457" s="894">
        <f>SUM([5]DEPA!$M$325:$M$329)</f>
        <v>6217.1666666666679</v>
      </c>
      <c r="AG457" s="884"/>
      <c r="AH457" s="886"/>
      <c r="AI457" s="894">
        <f>SUM([5]DEPA!$N$325:$N$329)</f>
        <v>6217.1666666666679</v>
      </c>
      <c r="AJ457" s="884"/>
      <c r="AK457" s="886"/>
      <c r="AL457" s="894">
        <f>SUM([5]DEPA!$O$325:$O$329)</f>
        <v>6217.1666666666679</v>
      </c>
      <c r="AM457" s="884"/>
      <c r="AN457" s="886"/>
      <c r="AO457" s="894">
        <f>SUM([5]DEPA!$P$325:$P$329)</f>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f>SUM([5]DEPA!$E$340:$E$344)</f>
        <v>1000</v>
      </c>
      <c r="I458" s="872"/>
      <c r="J458" s="888"/>
      <c r="K458" s="900">
        <f>SUM([5]DEPA!$F$340:$F$344)</f>
        <v>1000</v>
      </c>
      <c r="L458" s="872"/>
      <c r="M458" s="888"/>
      <c r="N458" s="900">
        <f>SUM([5]DEPA!$G$340:$G$344)</f>
        <v>1000</v>
      </c>
      <c r="O458" s="872"/>
      <c r="P458" s="888"/>
      <c r="Q458" s="900">
        <f>SUM([5]DEPA!$H$340:$H$344)</f>
        <v>1000</v>
      </c>
      <c r="R458" s="872"/>
      <c r="S458" s="888"/>
      <c r="T458" s="900">
        <f>SUM([5]DEPA!$I$340:$I$344)</f>
        <v>1000</v>
      </c>
      <c r="U458" s="872"/>
      <c r="V458" s="888"/>
      <c r="W458" s="900">
        <f>SUM([5]DEPA!$J$340:$J$344)</f>
        <v>1000</v>
      </c>
      <c r="X458" s="872"/>
      <c r="Y458" s="888"/>
      <c r="Z458" s="900">
        <f>SUM([5]DEPA!$K$340:$K$344)</f>
        <v>1000</v>
      </c>
      <c r="AA458" s="872"/>
      <c r="AB458" s="888"/>
      <c r="AC458" s="900">
        <f>SUM([5]DEPA!$L$340:$L$344)</f>
        <v>1000</v>
      </c>
      <c r="AD458" s="872"/>
      <c r="AE458" s="888"/>
      <c r="AF458" s="900">
        <f>SUM([5]DEPA!$M$340:$M$344)</f>
        <v>1000</v>
      </c>
      <c r="AG458" s="872"/>
      <c r="AH458" s="888"/>
      <c r="AI458" s="900">
        <f>SUM([5]DEPA!$N$340:$N$344)</f>
        <v>1000</v>
      </c>
      <c r="AJ458" s="872"/>
      <c r="AK458" s="888"/>
      <c r="AL458" s="900">
        <f>SUM([5]DEPA!$O$340:$O$344)</f>
        <v>1000</v>
      </c>
      <c r="AM458" s="872"/>
      <c r="AN458" s="888"/>
      <c r="AO458" s="900">
        <f>SUM([5]DEPA!$P$340:$P$344)</f>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f>SUM([5]DEPA!$E$349:$E$353)</f>
        <v>900</v>
      </c>
      <c r="I459" s="884"/>
      <c r="J459" s="886"/>
      <c r="K459" s="894">
        <f>SUM([5]DEPA!$F$349:$F$353)</f>
        <v>900</v>
      </c>
      <c r="L459" s="884"/>
      <c r="M459" s="886"/>
      <c r="N459" s="894">
        <f>SUM([5]DEPA!$G$349:$G$353)</f>
        <v>900</v>
      </c>
      <c r="O459" s="884"/>
      <c r="P459" s="886"/>
      <c r="Q459" s="894">
        <f>SUM([5]DEPA!$H$349:$H$353)</f>
        <v>900</v>
      </c>
      <c r="R459" s="884"/>
      <c r="S459" s="886"/>
      <c r="T459" s="894">
        <f>SUM([5]DEPA!$I$349:$I$353)</f>
        <v>900</v>
      </c>
      <c r="U459" s="884"/>
      <c r="V459" s="886"/>
      <c r="W459" s="894">
        <f>SUM([5]DEPA!$J$349:$J$353)</f>
        <v>900</v>
      </c>
      <c r="X459" s="884"/>
      <c r="Y459" s="886"/>
      <c r="Z459" s="894">
        <f>SUM([5]DEPA!$K$349:$K$353)</f>
        <v>900</v>
      </c>
      <c r="AA459" s="884"/>
      <c r="AB459" s="886"/>
      <c r="AC459" s="894">
        <f>SUM([5]DEPA!$L$349:$L$353)</f>
        <v>900</v>
      </c>
      <c r="AD459" s="884"/>
      <c r="AE459" s="886"/>
      <c r="AF459" s="894">
        <f>SUM([5]DEPA!$M$349:$M$353)</f>
        <v>900</v>
      </c>
      <c r="AG459" s="884"/>
      <c r="AH459" s="886"/>
      <c r="AI459" s="894">
        <f>SUM([5]DEPA!$N$349:$N$353)</f>
        <v>900</v>
      </c>
      <c r="AJ459" s="884"/>
      <c r="AK459" s="886"/>
      <c r="AL459" s="894">
        <f>SUM([5]DEPA!$O$349:$O$353)</f>
        <v>900</v>
      </c>
      <c r="AM459" s="884"/>
      <c r="AN459" s="886"/>
      <c r="AO459" s="894">
        <f>SUM([5]DEPA!$P$349:$P$353)</f>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9.294412407995882E-2</v>
      </c>
      <c r="D464" s="892"/>
      <c r="E464" s="893">
        <f>SUM(E451:E463)</f>
        <v>595743</v>
      </c>
      <c r="F464" s="891">
        <f>IFERROR(H464/H406,0)</f>
        <v>0.11384239388887803</v>
      </c>
      <c r="G464" s="892"/>
      <c r="H464" s="893">
        <f>SUM(H451:H463)</f>
        <v>49645.25</v>
      </c>
      <c r="I464" s="891">
        <f>IFERROR(K464/K406,0)</f>
        <v>0.1204656759997529</v>
      </c>
      <c r="J464" s="892"/>
      <c r="K464" s="893">
        <f>SUM(K451:K463)</f>
        <v>49645.25</v>
      </c>
      <c r="L464" s="891">
        <f>IFERROR(N464/N406,0)</f>
        <v>0.10493904887371541</v>
      </c>
      <c r="M464" s="892"/>
      <c r="N464" s="893">
        <f>SUM(N451:N463)</f>
        <v>49645.25</v>
      </c>
      <c r="O464" s="891">
        <f>IFERROR(Q464/Q406,0)</f>
        <v>8.6452830043344253E-2</v>
      </c>
      <c r="P464" s="892"/>
      <c r="Q464" s="893">
        <f>SUM(Q451:Q463)</f>
        <v>49645.25</v>
      </c>
      <c r="R464" s="891">
        <f>IFERROR(T464/T406,0)</f>
        <v>7.3250282374010864E-2</v>
      </c>
      <c r="S464" s="892"/>
      <c r="T464" s="893">
        <f>SUM(T451:T463)</f>
        <v>49645.25</v>
      </c>
      <c r="U464" s="891">
        <f>IFERROR(W464/W406,0)</f>
        <v>9.436085576034256E-2</v>
      </c>
      <c r="V464" s="892"/>
      <c r="W464" s="893">
        <f>SUM(W451:W463)</f>
        <v>49645.25</v>
      </c>
      <c r="X464" s="891">
        <f>IFERROR(Z464/Z406,0)</f>
        <v>9.1633785030420425E-2</v>
      </c>
      <c r="Y464" s="892"/>
      <c r="Z464" s="893">
        <f>SUM(Z451:Z463)</f>
        <v>49645.25</v>
      </c>
      <c r="AA464" s="891">
        <f>IFERROR(AC464/AC406,0)</f>
        <v>8.6839056430114525E-2</v>
      </c>
      <c r="AB464" s="892"/>
      <c r="AC464" s="893">
        <f>SUM(AC451:AC463)</f>
        <v>49645.25</v>
      </c>
      <c r="AD464" s="891">
        <f>IFERROR(AF464/AF406,0)</f>
        <v>9.6512810894618842E-2</v>
      </c>
      <c r="AE464" s="892"/>
      <c r="AF464" s="893">
        <f>SUM(AF451:AF463)</f>
        <v>49645.25</v>
      </c>
      <c r="AG464" s="891">
        <f>IFERROR(AI464/AI406,0)</f>
        <v>7.5372376001774752E-2</v>
      </c>
      <c r="AH464" s="892"/>
      <c r="AI464" s="893">
        <f>SUM(AI451:AI463)</f>
        <v>49645.25</v>
      </c>
      <c r="AJ464" s="891">
        <f>IFERROR(AL464/AL406,0)</f>
        <v>7.6306114478413581E-2</v>
      </c>
      <c r="AK464" s="892"/>
      <c r="AL464" s="893">
        <f>SUM(AL451:AL463)</f>
        <v>49645.25</v>
      </c>
      <c r="AM464" s="891">
        <f>IFERROR(AO464/AO406,0)</f>
        <v>0.13304234394905615</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1.040477891231079</v>
      </c>
      <c r="D466" s="892"/>
      <c r="E466" s="893">
        <f>E418+E432+E450+E464</f>
        <v>6669140.4808164099</v>
      </c>
      <c r="F466" s="891">
        <f>IFERROR(H466/H406,0)</f>
        <v>1.1988773556955061</v>
      </c>
      <c r="G466" s="892"/>
      <c r="H466" s="893">
        <f>H418+H432+H450+H464</f>
        <v>522815.4820860374</v>
      </c>
      <c r="I466" s="891">
        <f>IFERROR(K466/K406,0)</f>
        <v>1.2075920687602999</v>
      </c>
      <c r="J466" s="892"/>
      <c r="K466" s="893">
        <f>K418+K432+K450+K464</f>
        <v>497662.17351194087</v>
      </c>
      <c r="L466" s="891">
        <f>IFERROR(N466/N406,0)</f>
        <v>1.1651807355744817</v>
      </c>
      <c r="M466" s="892"/>
      <c r="N466" s="893">
        <f>N418+N432+N450+N464</f>
        <v>551231.30553995259</v>
      </c>
      <c r="O466" s="891">
        <f>IFERROR(Q466/Q406,0)</f>
        <v>0.98611019039621517</v>
      </c>
      <c r="P466" s="892"/>
      <c r="Q466" s="893">
        <f>Q418+Q432+Q450+Q464</f>
        <v>566270.49577466841</v>
      </c>
      <c r="R466" s="891">
        <f>IFERROR(T466/T406,0)</f>
        <v>0.89646059981648374</v>
      </c>
      <c r="S466" s="892"/>
      <c r="T466" s="893">
        <f>T418+T432+T450+T464</f>
        <v>607574.59426299261</v>
      </c>
      <c r="U466" s="891">
        <f>IFERROR(W466/W406,0)</f>
        <v>1.0627349485085003</v>
      </c>
      <c r="V466" s="892"/>
      <c r="W466" s="893">
        <f>W418+W432+W450+W464</f>
        <v>559127.42394410528</v>
      </c>
      <c r="X466" s="891">
        <f>IFERROR(Z466/Z406,0)</f>
        <v>1.0357952196445241</v>
      </c>
      <c r="Y466" s="892"/>
      <c r="Z466" s="893">
        <f>Z418+Z432+Z450+Z464</f>
        <v>561171.98051991651</v>
      </c>
      <c r="AA466" s="891">
        <f>IFERROR(AC466/AC406,0)</f>
        <v>0.99042560910130617</v>
      </c>
      <c r="AB466" s="892"/>
      <c r="AC466" s="893">
        <f>AC418+AC432+AC450+AC464</f>
        <v>566219.03774146957</v>
      </c>
      <c r="AD466" s="891">
        <f>IFERROR(AF466/AF406,0)</f>
        <v>1.0924184529561718</v>
      </c>
      <c r="AE466" s="892"/>
      <c r="AF466" s="893">
        <f>AF418+AF432+AF450+AF464</f>
        <v>561929.41329663643</v>
      </c>
      <c r="AG466" s="891">
        <f>IFERROR(AI466/AI406,0)</f>
        <v>0.91559009885659204</v>
      </c>
      <c r="AH466" s="892"/>
      <c r="AI466" s="893">
        <f>AI418+AI432+AI450+AI464</f>
        <v>603068.41533282597</v>
      </c>
      <c r="AJ466" s="891">
        <f>IFERROR(AL466/AL406,0)</f>
        <v>0.87042030141940263</v>
      </c>
      <c r="AK466" s="892"/>
      <c r="AL466" s="893">
        <f>AL418+AL432+AL450+AL464</f>
        <v>566301.05941596604</v>
      </c>
      <c r="AM466" s="891">
        <f>IFERROR(AO466/AO406,0)</f>
        <v>1.3553906260888042</v>
      </c>
      <c r="AN466" s="892"/>
      <c r="AO466" s="893">
        <f>AO418+AO432+AO450+AO464</f>
        <v>505769.09938989824</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739261.69357707503</v>
      </c>
      <c r="F468" s="905"/>
      <c r="G468" s="906"/>
      <c r="H468" s="883">
        <f>H81</f>
        <v>36963.084678853753</v>
      </c>
      <c r="I468" s="905"/>
      <c r="J468" s="906"/>
      <c r="K468" s="883">
        <f>K81</f>
        <v>36963.084678853753</v>
      </c>
      <c r="L468" s="905"/>
      <c r="M468" s="906"/>
      <c r="N468" s="883">
        <f>N81</f>
        <v>73926.169357707506</v>
      </c>
      <c r="O468" s="905"/>
      <c r="P468" s="906"/>
      <c r="Q468" s="883">
        <f>Q81</f>
        <v>73926.169357707506</v>
      </c>
      <c r="R468" s="905"/>
      <c r="S468" s="906"/>
      <c r="T468" s="883">
        <f>T81</f>
        <v>81318.786293478261</v>
      </c>
      <c r="U468" s="905"/>
      <c r="V468" s="906"/>
      <c r="W468" s="883">
        <f>W81</f>
        <v>59140.935486166003</v>
      </c>
      <c r="X468" s="905"/>
      <c r="Y468" s="906"/>
      <c r="Z468" s="883">
        <f>Z81</f>
        <v>51748.318550395255</v>
      </c>
      <c r="AA468" s="905"/>
      <c r="AB468" s="906"/>
      <c r="AC468" s="883">
        <f>AC81</f>
        <v>73926.169357707506</v>
      </c>
      <c r="AD468" s="905"/>
      <c r="AE468" s="906"/>
      <c r="AF468" s="883">
        <f>AF81</f>
        <v>73926.169357707506</v>
      </c>
      <c r="AG468" s="905"/>
      <c r="AH468" s="906"/>
      <c r="AI468" s="883">
        <f>AI81</f>
        <v>81318.786293478261</v>
      </c>
      <c r="AJ468" s="905"/>
      <c r="AK468" s="906"/>
      <c r="AL468" s="883">
        <f>AL81</f>
        <v>73926.169357707506</v>
      </c>
      <c r="AM468" s="905"/>
      <c r="AN468" s="906"/>
      <c r="AO468" s="883">
        <f>AO81</f>
        <v>22177.85080731225</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84157.371389625943</v>
      </c>
      <c r="F469" s="905"/>
      <c r="G469" s="906"/>
      <c r="H469" s="883">
        <f>H78</f>
        <v>19827.767250000001</v>
      </c>
      <c r="I469" s="905"/>
      <c r="J469" s="906"/>
      <c r="K469" s="883">
        <f>K78</f>
        <v>1201.2880890289925</v>
      </c>
      <c r="L469" s="905"/>
      <c r="M469" s="906"/>
      <c r="N469" s="883">
        <f>N78</f>
        <v>758.49607159347272</v>
      </c>
      <c r="O469" s="905"/>
      <c r="P469" s="906"/>
      <c r="Q469" s="883">
        <f>Q78</f>
        <v>7158.5199510629927</v>
      </c>
      <c r="R469" s="905"/>
      <c r="S469" s="906"/>
      <c r="T469" s="883">
        <f>T78</f>
        <v>9354.2258593001643</v>
      </c>
      <c r="U469" s="905"/>
      <c r="V469" s="906"/>
      <c r="W469" s="883">
        <f>W78</f>
        <v>6590.4401189808532</v>
      </c>
      <c r="X469" s="905"/>
      <c r="Y469" s="906"/>
      <c r="Z469" s="883">
        <f>Z78</f>
        <v>6561.4807420660518</v>
      </c>
      <c r="AA469" s="905"/>
      <c r="AB469" s="906"/>
      <c r="AC469" s="883">
        <f>AC78</f>
        <v>6947.771060843972</v>
      </c>
      <c r="AD469" s="905"/>
      <c r="AE469" s="906"/>
      <c r="AF469" s="883">
        <f>AF78</f>
        <v>7613.3408501427211</v>
      </c>
      <c r="AG469" s="905"/>
      <c r="AH469" s="906"/>
      <c r="AI469" s="883">
        <f>AI78</f>
        <v>9443.285860908014</v>
      </c>
      <c r="AJ469" s="905"/>
      <c r="AK469" s="906"/>
      <c r="AL469" s="883">
        <f>AL78</f>
        <v>5488.0002772516173</v>
      </c>
      <c r="AM469" s="905"/>
      <c r="AN469" s="906"/>
      <c r="AO469" s="883">
        <f>AO78</f>
        <v>3212.7552584470782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27640.163517536083</v>
      </c>
      <c r="O478" s="907"/>
      <c r="P478" s="906"/>
      <c r="Q478" s="883">
        <f>Q85+Q164</f>
        <v>32155.184060439962</v>
      </c>
      <c r="R478" s="907"/>
      <c r="S478" s="906"/>
      <c r="T478" s="883">
        <f>T85+T164</f>
        <v>41423.900963995366</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0.19080977574819824</v>
      </c>
      <c r="D479" s="908"/>
      <c r="E479" s="893">
        <f>SUM(E467:E478)</f>
        <v>1223031.4649667009</v>
      </c>
      <c r="F479" s="891">
        <f>IFERROR(H479/+H406,0)</f>
        <v>0.18887247986333233</v>
      </c>
      <c r="G479" s="908"/>
      <c r="H479" s="893">
        <f>SUM(H467:H478)</f>
        <v>82364.935948972168</v>
      </c>
      <c r="I479" s="891">
        <f>IFERROR(K479/+K406,0)</f>
        <v>0.14425318716838087</v>
      </c>
      <c r="J479" s="908"/>
      <c r="K479" s="893">
        <f>SUM(K467:K478)</f>
        <v>59448.348924599486</v>
      </c>
      <c r="L479" s="891">
        <f>IFERROR(N479/+N406,0)</f>
        <v>0.23425911121956855</v>
      </c>
      <c r="M479" s="908"/>
      <c r="N479" s="893">
        <f>SUM(N467:N478)</f>
        <v>110824.82894683706</v>
      </c>
      <c r="O479" s="891">
        <f>IFERROR(Q479/+Q406,0)</f>
        <v>0.19719726512643559</v>
      </c>
      <c r="P479" s="908"/>
      <c r="Q479" s="893">
        <f>SUM(Q467:Q478)</f>
        <v>113239.87336921046</v>
      </c>
      <c r="R479" s="891">
        <f>IFERROR(T479/+T406,0)</f>
        <v>0.19490557881245155</v>
      </c>
      <c r="S479" s="908"/>
      <c r="T479" s="893">
        <f>SUM(T467:T478)</f>
        <v>132096.91311677379</v>
      </c>
      <c r="U479" s="891">
        <f>IFERROR(W479/+W406,0)</f>
        <v>0.20136405941539667</v>
      </c>
      <c r="V479" s="908"/>
      <c r="W479" s="893">
        <f>SUM(W467:W478)</f>
        <v>105941.90769191398</v>
      </c>
      <c r="X479" s="891">
        <f>IFERROR(Z479/+Z406,0)</f>
        <v>0.16635323957294029</v>
      </c>
      <c r="Y479" s="908"/>
      <c r="Z479" s="893">
        <f>SUM(Z467:Z478)</f>
        <v>90126.672865983026</v>
      </c>
      <c r="AA479" s="891">
        <f>IFERROR(AC479/+AC406,0)</f>
        <v>0.19981551036659839</v>
      </c>
      <c r="AB479" s="908"/>
      <c r="AC479" s="893">
        <f>SUM(AC467:AC478)</f>
        <v>114233.05795602006</v>
      </c>
      <c r="AD479" s="891">
        <f>IFERROR(AF479/+AF406,0)</f>
        <v>0.23947212194230907</v>
      </c>
      <c r="AE479" s="908"/>
      <c r="AF479" s="893">
        <f>SUM(AF467:AF478)</f>
        <v>123182.1273430477</v>
      </c>
      <c r="AG479" s="891">
        <f>IFERROR(AI479/+AI406,0)</f>
        <v>0.20178355461861264</v>
      </c>
      <c r="AH479" s="908"/>
      <c r="AI479" s="893">
        <f>SUM(AI467:AI478)</f>
        <v>132908.04332204943</v>
      </c>
      <c r="AJ479" s="891">
        <f>IFERROR(AL479/+AL406,0)</f>
        <v>0.16611496856975763</v>
      </c>
      <c r="AK479" s="908"/>
      <c r="AL479" s="893">
        <f>SUM(AL467:AL478)</f>
        <v>108075.46943987985</v>
      </c>
      <c r="AM479" s="891">
        <f>IFERROR(AO479/+AO406,0)</f>
        <v>0.13557222883677664</v>
      </c>
      <c r="AN479" s="908"/>
      <c r="AO479" s="893">
        <f>SUM(AO467:AO478)</f>
        <v>50589.286041413987</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3.1993886130875594E-2</v>
      </c>
      <c r="E481" s="914">
        <f>E406-E466+E479</f>
        <v>963580.74019650137</v>
      </c>
      <c r="F481" s="915" t="s">
        <v>258</v>
      </c>
      <c r="G481" s="916">
        <f>IFERROR(H481/H405,0)</f>
        <v>-1.3885568095144993E-3</v>
      </c>
      <c r="H481" s="917">
        <f>H406-H466+H479</f>
        <v>-4363.0017337130994</v>
      </c>
      <c r="I481" s="915" t="s">
        <v>258</v>
      </c>
      <c r="J481" s="916">
        <f>IFERROR(K481/K405,0)</f>
        <v>-1.3948715991651912E-2</v>
      </c>
      <c r="K481" s="917">
        <f>K406-K466+K479</f>
        <v>-26102.660241226477</v>
      </c>
      <c r="L481" s="915" t="s">
        <v>258</v>
      </c>
      <c r="M481" s="916">
        <f>IFERROR(N481/N405,0)</f>
        <v>1.5761796586512094E-2</v>
      </c>
      <c r="N481" s="917">
        <f>N406-N466+N479</f>
        <v>32680.048707333292</v>
      </c>
      <c r="O481" s="915" t="s">
        <v>258</v>
      </c>
      <c r="P481" s="916">
        <f>IFERROR(Q481/Q405,0)</f>
        <v>4.9072933523731634E-2</v>
      </c>
      <c r="Q481" s="917">
        <f>Q406-Q466+Q479</f>
        <v>121216.05031895958</v>
      </c>
      <c r="R481" s="915" t="s">
        <v>258</v>
      </c>
      <c r="S481" s="916">
        <f>IFERROR(T481/T405,0)</f>
        <v>6.5873764492772033E-2</v>
      </c>
      <c r="T481" s="917">
        <f>T406-T466+T479</f>
        <v>202270.55942048362</v>
      </c>
      <c r="U481" s="915" t="s">
        <v>258</v>
      </c>
      <c r="V481" s="916">
        <f>IFERROR(W481/W405,0)</f>
        <v>2.9201322378950397E-2</v>
      </c>
      <c r="W481" s="917">
        <f>W406-W466+W479</f>
        <v>72935.719083877135</v>
      </c>
      <c r="X481" s="915" t="s">
        <v>258</v>
      </c>
      <c r="Y481" s="916">
        <f>IFERROR(Z481/Z405,0)</f>
        <v>2.7670175040463298E-2</v>
      </c>
      <c r="Z481" s="917">
        <f>Z406-Z466+Z479</f>
        <v>70733.57863259122</v>
      </c>
      <c r="AA481" s="915" t="s">
        <v>258</v>
      </c>
      <c r="AB481" s="916">
        <f>IFERROR(AC481/AC405,0)</f>
        <v>4.4918481874292267E-2</v>
      </c>
      <c r="AC481" s="917">
        <f>AC406-AC466+AC479</f>
        <v>119706.66682861192</v>
      </c>
      <c r="AD481" s="915" t="s">
        <v>258</v>
      </c>
      <c r="AE481" s="916">
        <f>IFERROR(AF481/AF405,0)</f>
        <v>3.1564065174632262E-2</v>
      </c>
      <c r="AF481" s="917">
        <f>AF406-AF466+AF479</f>
        <v>75642.975192229962</v>
      </c>
      <c r="AG481" s="915" t="s">
        <v>258</v>
      </c>
      <c r="AH481" s="916">
        <f>IFERROR(AI481/AI405,0)</f>
        <v>6.092009566128908E-2</v>
      </c>
      <c r="AI481" s="917">
        <f>AI406-AI466+AI479</f>
        <v>188506.00728488248</v>
      </c>
      <c r="AJ481" s="915" t="s">
        <v>258</v>
      </c>
      <c r="AK481" s="916">
        <f>IFERROR(AL481/AL405,0)</f>
        <v>7.1193653059985915E-2</v>
      </c>
      <c r="AL481" s="917">
        <f>AL406-AL466+AL479</f>
        <v>192380.8566939806</v>
      </c>
      <c r="AM481" s="915" t="s">
        <v>258</v>
      </c>
      <c r="AN481" s="916">
        <f>IFERROR(AO481/AO405,0)</f>
        <v>-5.1976350117679856E-2</v>
      </c>
      <c r="AO481" s="917">
        <f>AO406-AO466+AO479</f>
        <v>-82026.059991508751</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3.1993886130875594E-2</v>
      </c>
      <c r="E487" s="940">
        <f>E481</f>
        <v>963580.74019650137</v>
      </c>
      <c r="F487" s="920" t="s">
        <v>258</v>
      </c>
      <c r="G487" s="921">
        <f>IFERROR(H487/H405,0)</f>
        <v>-1.3885568095144993E-3</v>
      </c>
      <c r="H487" s="922">
        <f>H481</f>
        <v>-4363.0017337130994</v>
      </c>
      <c r="I487" s="920" t="s">
        <v>258</v>
      </c>
      <c r="J487" s="921">
        <f>IFERROR(K487/K405,0)</f>
        <v>-1.3948715991651912E-2</v>
      </c>
      <c r="K487" s="922">
        <f>K481</f>
        <v>-26102.660241226477</v>
      </c>
      <c r="L487" s="920" t="s">
        <v>258</v>
      </c>
      <c r="M487" s="921">
        <f>IFERROR(N487/N405,0)</f>
        <v>1.5761796586512094E-2</v>
      </c>
      <c r="N487" s="922">
        <f>N481</f>
        <v>32680.048707333292</v>
      </c>
      <c r="O487" s="920" t="s">
        <v>258</v>
      </c>
      <c r="P487" s="921">
        <f>IFERROR(Q487/Q405,0)</f>
        <v>4.9072933523731634E-2</v>
      </c>
      <c r="Q487" s="922">
        <f>Q481</f>
        <v>121216.05031895958</v>
      </c>
      <c r="R487" s="920" t="s">
        <v>258</v>
      </c>
      <c r="S487" s="921">
        <f>IFERROR(T487/T405,0)</f>
        <v>6.5873764492772033E-2</v>
      </c>
      <c r="T487" s="922">
        <f>T481</f>
        <v>202270.55942048362</v>
      </c>
      <c r="U487" s="920" t="s">
        <v>258</v>
      </c>
      <c r="V487" s="921">
        <f>IFERROR(W487/W405,0)</f>
        <v>2.9201322378950397E-2</v>
      </c>
      <c r="W487" s="922">
        <f>W481</f>
        <v>72935.719083877135</v>
      </c>
      <c r="X487" s="920" t="s">
        <v>258</v>
      </c>
      <c r="Y487" s="921">
        <f>IFERROR(Z487/Z405,0)</f>
        <v>2.7670175040463298E-2</v>
      </c>
      <c r="Z487" s="922">
        <f>Z481</f>
        <v>70733.57863259122</v>
      </c>
      <c r="AA487" s="920" t="s">
        <v>258</v>
      </c>
      <c r="AB487" s="921">
        <f>IFERROR(AC487/AC405,0)</f>
        <v>4.4918481874292267E-2</v>
      </c>
      <c r="AC487" s="922">
        <f>AC481</f>
        <v>119706.66682861192</v>
      </c>
      <c r="AD487" s="920" t="s">
        <v>258</v>
      </c>
      <c r="AE487" s="921">
        <f>IFERROR(AF487/AF405,0)</f>
        <v>3.1564065174632262E-2</v>
      </c>
      <c r="AF487" s="922">
        <f>AF481</f>
        <v>75642.975192229962</v>
      </c>
      <c r="AG487" s="920" t="s">
        <v>258</v>
      </c>
      <c r="AH487" s="921">
        <f>IFERROR(AI487/AI405,0)</f>
        <v>6.092009566128908E-2</v>
      </c>
      <c r="AI487" s="922">
        <f>AI481</f>
        <v>188506.00728488248</v>
      </c>
      <c r="AJ487" s="920" t="s">
        <v>258</v>
      </c>
      <c r="AK487" s="921">
        <f>IFERROR(AL487/AL405,0)</f>
        <v>7.1193653059985915E-2</v>
      </c>
      <c r="AL487" s="922">
        <f>AL481</f>
        <v>192380.8566939806</v>
      </c>
      <c r="AM487" s="920" t="s">
        <v>258</v>
      </c>
      <c r="AN487" s="921">
        <f>IFERROR(AO487/AO405,0)</f>
        <v>-5.1976350117679856E-2</v>
      </c>
      <c r="AO487" s="922">
        <f>AO481</f>
        <v>-82026.059991508751</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f>SUM([5]DEPA!$E$298:$E$302)</f>
        <v>9167</v>
      </c>
      <c r="I489" s="884"/>
      <c r="J489" s="886"/>
      <c r="K489" s="894">
        <f>SUM([5]DEPA!$F$298:$F$302)</f>
        <v>9167</v>
      </c>
      <c r="L489" s="884"/>
      <c r="M489" s="886"/>
      <c r="N489" s="894">
        <f>SUM([5]DEPA!$G$298:$G$302)</f>
        <v>9167</v>
      </c>
      <c r="O489" s="884"/>
      <c r="P489" s="886"/>
      <c r="Q489" s="894">
        <f>SUM([5]DEPA!$H$298:$H$302)</f>
        <v>9167</v>
      </c>
      <c r="R489" s="884"/>
      <c r="S489" s="886"/>
      <c r="T489" s="894">
        <f>SUM([5]DEPA!$I$298:$I$302)</f>
        <v>9167</v>
      </c>
      <c r="U489" s="884"/>
      <c r="V489" s="886"/>
      <c r="W489" s="894">
        <f>SUM([5]DEPA!$J$298:$J$302)</f>
        <v>9167</v>
      </c>
      <c r="X489" s="884"/>
      <c r="Y489" s="886"/>
      <c r="Z489" s="894">
        <f>SUM([5]DEPA!$K$298:$K$302)</f>
        <v>9167</v>
      </c>
      <c r="AA489" s="884"/>
      <c r="AB489" s="886"/>
      <c r="AC489" s="894">
        <f>SUM([5]DEPA!$L$298:$L$302)</f>
        <v>9167</v>
      </c>
      <c r="AD489" s="884"/>
      <c r="AE489" s="886"/>
      <c r="AF489" s="894">
        <f>SUM([5]DEPA!$M$298:$M$302)</f>
        <v>9167</v>
      </c>
      <c r="AG489" s="884"/>
      <c r="AH489" s="886"/>
      <c r="AI489" s="894">
        <f>SUM([5]DEPA!$N$298:$N$302)</f>
        <v>9167</v>
      </c>
      <c r="AJ489" s="884"/>
      <c r="AK489" s="886"/>
      <c r="AL489" s="894">
        <f>SUM([5]DEPA!$O$298:$O$302)</f>
        <v>9167</v>
      </c>
      <c r="AM489" s="884"/>
      <c r="AN489" s="886"/>
      <c r="AO489" s="894">
        <f>SUM([5]DEPA!$P$298:$P$302)</f>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f>SUM([5]DEPA!$E$375:$E$379)</f>
        <v>456.25</v>
      </c>
      <c r="I490" s="928"/>
      <c r="J490" s="929"/>
      <c r="K490" s="894">
        <f>SUM([5]DEPA!$F$375:$F$379)</f>
        <v>456.25</v>
      </c>
      <c r="L490" s="928"/>
      <c r="M490" s="929"/>
      <c r="N490" s="894">
        <f>SUM([5]DEPA!$G$375:$G$379)</f>
        <v>456.25</v>
      </c>
      <c r="O490" s="928"/>
      <c r="P490" s="929"/>
      <c r="Q490" s="894">
        <f>SUM([5]DEPA!$H$375:$H$379)</f>
        <v>456.25</v>
      </c>
      <c r="R490" s="928"/>
      <c r="S490" s="929"/>
      <c r="T490" s="894">
        <f>SUM([5]DEPA!$I$375:$I$379)</f>
        <v>456.25</v>
      </c>
      <c r="U490" s="928"/>
      <c r="V490" s="929"/>
      <c r="W490" s="894">
        <f>SUM([5]DEPA!$J$375:$J$379)</f>
        <v>456.25</v>
      </c>
      <c r="X490" s="928"/>
      <c r="Y490" s="929"/>
      <c r="Z490" s="894">
        <f>SUM([5]DEPA!$K$375:$K$379)</f>
        <v>456.25</v>
      </c>
      <c r="AA490" s="928"/>
      <c r="AB490" s="929"/>
      <c r="AC490" s="894">
        <f>SUM([5]DEPA!$L$375:$L$379)</f>
        <v>456.25</v>
      </c>
      <c r="AD490" s="928"/>
      <c r="AE490" s="929"/>
      <c r="AF490" s="894">
        <f>SUM([5]DEPA!$M$375:$M$379)</f>
        <v>456.25</v>
      </c>
      <c r="AG490" s="928"/>
      <c r="AH490" s="929"/>
      <c r="AI490" s="894">
        <f>SUM([5]DEPA!$N$375:$N$379)</f>
        <v>456.25</v>
      </c>
      <c r="AJ490" s="928"/>
      <c r="AK490" s="929"/>
      <c r="AL490" s="894">
        <f>SUM([5]DEPA!$O$375:$O$379)</f>
        <v>456.25</v>
      </c>
      <c r="AM490" s="928"/>
      <c r="AN490" s="929"/>
      <c r="AO490" s="894">
        <f>SUM([5]DEPA!$P$375:$P$379)</f>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f>SUM([5]DEPA!$E$386:$E$390)</f>
        <v>594.88319947675336</v>
      </c>
      <c r="I491" s="889"/>
      <c r="J491" s="929"/>
      <c r="K491" s="894">
        <f>SUM([5]DEPA!$F$386:$F$390)</f>
        <v>572.34312279002734</v>
      </c>
      <c r="L491" s="889"/>
      <c r="M491" s="929"/>
      <c r="N491" s="894">
        <f>SUM([5]DEPA!$G$386:$G$390)</f>
        <v>587.16228670116425</v>
      </c>
      <c r="O491" s="889"/>
      <c r="P491" s="929"/>
      <c r="Q491" s="894">
        <f>SUM([5]DEPA!$H$386:$H$390)</f>
        <v>577.32435191616423</v>
      </c>
      <c r="R491" s="889"/>
      <c r="S491" s="929"/>
      <c r="T491" s="894">
        <f>SUM([5]DEPA!$I$386:$I$390)</f>
        <v>579.44137392557525</v>
      </c>
      <c r="U491" s="889"/>
      <c r="V491" s="929"/>
      <c r="W491" s="894">
        <f>SUM([5]DEPA!$J$386:$J$390)</f>
        <v>569.85250084301356</v>
      </c>
      <c r="X491" s="889"/>
      <c r="Y491" s="929"/>
      <c r="Z491" s="894">
        <f>SUM([5]DEPA!$K$386:$K$390)</f>
        <v>571.72046114998614</v>
      </c>
      <c r="AA491" s="889"/>
      <c r="AB491" s="929"/>
      <c r="AC491" s="894">
        <f>SUM([5]DEPA!$L$386:$L$390)</f>
        <v>567.86000476219169</v>
      </c>
      <c r="AD491" s="889"/>
      <c r="AE491" s="929"/>
      <c r="AF491" s="894">
        <f>SUM([5]DEPA!$M$386:$M$390)</f>
        <v>558.64472423328755</v>
      </c>
      <c r="AG491" s="889"/>
      <c r="AH491" s="929"/>
      <c r="AI491" s="894">
        <f>SUM([5]DEPA!$N$386:$N$390)</f>
        <v>560.13909198660258</v>
      </c>
      <c r="AJ491" s="889"/>
      <c r="AK491" s="929"/>
      <c r="AL491" s="894">
        <f>SUM([5]DEPA!$O$386:$O$390)</f>
        <v>551.17287316013676</v>
      </c>
      <c r="AM491" s="889"/>
      <c r="AN491" s="929"/>
      <c r="AO491" s="894">
        <f>SUM([5]DEPA!$P$386:$P$390)</f>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2.7932415445835586E-2</v>
      </c>
      <c r="E496" s="944">
        <f>E487-E489-E490-E491-E492</f>
        <v>841258.77802634542</v>
      </c>
      <c r="F496" s="935" t="s">
        <v>258</v>
      </c>
      <c r="G496" s="936">
        <f>IFERROR(H496/H405,0)</f>
        <v>-4.6405514913008487E-3</v>
      </c>
      <c r="H496" s="937">
        <f>H487-H489-H490-H491-H492</f>
        <v>-14581.134933189853</v>
      </c>
      <c r="I496" s="935" t="s">
        <v>258</v>
      </c>
      <c r="J496" s="936">
        <f>IFERROR(K496/K405,0)</f>
        <v>-1.9397027831210042E-2</v>
      </c>
      <c r="K496" s="937">
        <f>K487-K489-K490-K491-K492</f>
        <v>-36298.253364016506</v>
      </c>
      <c r="L496" s="935" t="s">
        <v>258</v>
      </c>
      <c r="M496" s="936">
        <f>IFERROR(N496/N405,0)</f>
        <v>1.0837249411914572E-2</v>
      </c>
      <c r="N496" s="937">
        <f>N487-N489-N490-N491-N492</f>
        <v>22469.636420632127</v>
      </c>
      <c r="O496" s="935" t="s">
        <v>258</v>
      </c>
      <c r="P496" s="936">
        <f>IFERROR(Q496/Q405,0)</f>
        <v>4.4943347501432661E-2</v>
      </c>
      <c r="Q496" s="937">
        <f>Q487-Q489-Q490-Q491-Q492</f>
        <v>111015.47596704341</v>
      </c>
      <c r="R496" s="935" t="s">
        <v>258</v>
      </c>
      <c r="S496" s="936">
        <f>IFERROR(T496/T405,0)</f>
        <v>6.2551038285438718E-2</v>
      </c>
      <c r="T496" s="937">
        <f>T487-T489-T490-T491-T492</f>
        <v>192067.86804655805</v>
      </c>
      <c r="U496" s="935" t="s">
        <v>258</v>
      </c>
      <c r="V496" s="936">
        <f>IFERROR(W496/W405,0)</f>
        <v>2.5120303148489419E-2</v>
      </c>
      <c r="W496" s="937">
        <f>W487-W489-W490-W491-W492</f>
        <v>62742.61658303412</v>
      </c>
      <c r="X496" s="935" t="s">
        <v>258</v>
      </c>
      <c r="Y496" s="936">
        <f>IFERROR(Z496/Z405,0)</f>
        <v>2.3682018034331079E-2</v>
      </c>
      <c r="Z496" s="937">
        <f>Z487-Z489-Z490-Z491-Z492</f>
        <v>60538.608171441236</v>
      </c>
      <c r="AA496" s="935" t="s">
        <v>258</v>
      </c>
      <c r="AB496" s="936">
        <f>IFERROR(AC496/AC405,0)</f>
        <v>4.1094390851164599E-2</v>
      </c>
      <c r="AC496" s="937">
        <f>AC487-AC489-AC490-AC491-AC492</f>
        <v>109515.55682384974</v>
      </c>
      <c r="AD496" s="935" t="s">
        <v>258</v>
      </c>
      <c r="AE496" s="936">
        <f>IFERROR(AF496/AF405,0)</f>
        <v>2.7315395845322801E-2</v>
      </c>
      <c r="AF496" s="937">
        <f>AF487-AF489-AF490-AF491-AF492</f>
        <v>65461.080467996675</v>
      </c>
      <c r="AG496" s="935" t="s">
        <v>258</v>
      </c>
      <c r="AH496" s="936">
        <f>IFERROR(AI496/AI405,0)</f>
        <v>5.7629096893794078E-2</v>
      </c>
      <c r="AI496" s="937">
        <f>AI487-AI489-AI490-AI491-AI492</f>
        <v>178322.61819289587</v>
      </c>
      <c r="AJ496" s="935" t="s">
        <v>258</v>
      </c>
      <c r="AK496" s="936">
        <f>IFERROR(AL496/AL405,0)</f>
        <v>6.742844302523919E-2</v>
      </c>
      <c r="AL496" s="937">
        <f>AL487-AL489-AL490-AL491-AL492</f>
        <v>182206.43382082047</v>
      </c>
      <c r="AM496" s="935" t="s">
        <v>258</v>
      </c>
      <c r="AN496" s="936">
        <f>IFERROR(AO496/AO405,0)</f>
        <v>-5.8424228901797444E-2</v>
      </c>
      <c r="AO496" s="937">
        <f>AO487-AO489-AO490-AO491-AO492</f>
        <v>-92201.728170719769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abSelected="1" view="pageBreakPreview" topLeftCell="C1" zoomScale="70" zoomScaleNormal="55" zoomScaleSheetLayoutView="70" workbookViewId="0">
      <selection activeCell="O7" sqref="O7"/>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Mars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35" t="s">
        <v>77</v>
      </c>
      <c r="E3" s="1136"/>
      <c r="F3" s="1137"/>
      <c r="G3" s="1138" t="s">
        <v>78</v>
      </c>
      <c r="H3" s="1136"/>
      <c r="I3" s="1137"/>
      <c r="J3" s="1138" t="s">
        <v>79</v>
      </c>
      <c r="K3" s="1136"/>
      <c r="L3" s="1137"/>
      <c r="M3" s="1138" t="s">
        <v>80</v>
      </c>
      <c r="N3" s="1137"/>
      <c r="O3" s="1135" t="s">
        <v>81</v>
      </c>
      <c r="P3" s="1136"/>
      <c r="Q3" s="1137"/>
      <c r="R3" s="1138" t="s">
        <v>82</v>
      </c>
      <c r="S3" s="1139"/>
      <c r="T3" s="25"/>
      <c r="U3" s="25"/>
      <c r="V3" s="969" t="s">
        <v>2883</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2884</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678330.08198413614</v>
      </c>
      <c r="G5" s="310"/>
      <c r="H5" s="422"/>
      <c r="I5" s="627">
        <f>+INDEX('Budget révisé'!$A$2:$AO$496,MATCH($A5,'Budget révisé'!$A$2:$A$496,0),MATCH(I$2,'Budget révisé'!$A$2:$AO$2,0))</f>
        <v>678330.08198413614</v>
      </c>
      <c r="J5" s="310"/>
      <c r="K5" s="184"/>
      <c r="L5" s="177">
        <f>-SUMIFS(BV_Data_An_Cour!$O:$O,BV_Data_An_Cour!$X:$X,"Oui",BV_Data_An_Cour!$U:$U,$B5)</f>
        <v>3240605.2</v>
      </c>
      <c r="M5" s="423"/>
      <c r="N5" s="424"/>
      <c r="O5" s="310"/>
      <c r="P5" s="184"/>
      <c r="Q5" s="177">
        <f>-SUMIFS(BV_Data_An_Prec!$O:$O,BV_Data_An_Prec!$X:$X,"Oui",BV_Data_An_Prec!$U:$U,$B5)</f>
        <v>2855919.92</v>
      </c>
      <c r="R5" s="423"/>
      <c r="S5" s="425"/>
      <c r="T5" s="222"/>
      <c r="U5" s="222"/>
      <c r="V5" s="983" t="s">
        <v>2885</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24.706978036209659</v>
      </c>
      <c r="E6" s="179">
        <f>IF(D6=0,0,F6/D6)</f>
        <v>604.29042904290429</v>
      </c>
      <c r="F6" s="179">
        <f>+INDEX('Budget original'!$A$2:$AO$496,MATCH($A6,'Budget original'!$A$2:$A$496,0),MATCH(F$2,'Budget original'!$A$2:$AO$2,0))</f>
        <v>14930.190357854748</v>
      </c>
      <c r="G6" s="182">
        <f>+INDEX('Budget révisé'!$A$2:$AO$496,MATCH($A6,'Budget révisé'!$A$2:$A$496,0),MATCH(G$2,'Budget révisé'!$A$2:$AO$2,0))</f>
        <v>24.706978036209659</v>
      </c>
      <c r="H6" s="179">
        <f>IF(G6=0,0,I6/G6)</f>
        <v>955.05621789951272</v>
      </c>
      <c r="I6" s="179">
        <f>+INDEX('Budget révisé'!$A$2:$AO$496,MATCH($A6,'Budget révisé'!$A$2:$A$496,0),MATCH(I$2,'Budget révisé'!$A$2:$AO$2,0))</f>
        <v>23596.552998988725</v>
      </c>
      <c r="J6" s="182">
        <f>-SUMIFS(BV_Data_An_Cour!$O:$O,BV_Data_An_Cour!$U:$U,$B6,BV_Data_An_Cour!$V:$V,$C6,BV_Data_An_Cour!$W:$W,J$2)</f>
        <v>32</v>
      </c>
      <c r="K6" s="179">
        <f>IF(J6=0,0,L6/J6)</f>
        <v>1097.7471874999956</v>
      </c>
      <c r="L6" s="554">
        <f>-SUMIFS(BV_Data_An_Cour!$O:$O,BV_Data_An_Cour!$U:$U,$B6,BV_Data_An_Cour!$V:$V,$C6,BV_Data_An_Cour!$W:$W,L$2)</f>
        <v>35127.909999999858</v>
      </c>
      <c r="M6" s="182">
        <f t="shared" ref="M6" si="2">J6-G6</f>
        <v>7.2930219637903413</v>
      </c>
      <c r="N6" s="180">
        <f>L6-I6</f>
        <v>11531.357001011133</v>
      </c>
      <c r="O6" s="1040">
        <f>-SUMIFS(BV_Data_An_Prec!$O:$O,BV_Data_An_Prec!$U:$U,$B6,BV_Data_An_Prec!$V:$V,$C6,BV_Data_An_Prec!$W:$W,O$2)</f>
        <v>44</v>
      </c>
      <c r="P6" s="179">
        <f>IF(O6=0,0,Q6/O6)</f>
        <v>459.03727272727042</v>
      </c>
      <c r="Q6" s="554">
        <f>-SUMIFS(BV_Data_An_Prec!$O:$O,BV_Data_An_Prec!$U:$U,$B6,BV_Data_An_Prec!$V:$V,$C6,BV_Data_An_Prec!$W:$W,Q$2)</f>
        <v>20197.639999999898</v>
      </c>
      <c r="R6" s="182">
        <f t="shared" ref="R6" si="3">J6-O6</f>
        <v>-12</v>
      </c>
      <c r="S6" s="399">
        <f t="shared" ref="S6" si="4">L6-Q6</f>
        <v>14930.26999999996</v>
      </c>
      <c r="T6" s="222"/>
      <c r="U6" s="222"/>
      <c r="V6" s="983" t="s">
        <v>2886</v>
      </c>
      <c r="W6" s="984">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33.187260926525845</v>
      </c>
      <c r="E7" s="179">
        <f t="shared" ref="E7:E12" si="6">IF(D7=0,0,F7/D7)</f>
        <v>1315.4791154791155</v>
      </c>
      <c r="F7" s="179">
        <f>+INDEX('Budget original'!$A$2:$AO$496,MATCH($A7,'Budget original'!$A$2:$A$496,0),MATCH(F$2,'Budget original'!$A$2:$AO$2,0))</f>
        <v>43657.14864880083</v>
      </c>
      <c r="G7" s="182">
        <f>+INDEX('Budget révisé'!$A$2:$AO$496,MATCH($A7,'Budget révisé'!$A$2:$A$496,0),MATCH(G$2,'Budget révisé'!$A$2:$AO$2,0))</f>
        <v>33.187260926525845</v>
      </c>
      <c r="H7" s="179">
        <f t="shared" ref="H7:H12" si="7">IF(G7=0,0,I7/G7)</f>
        <v>1702.6668817908317</v>
      </c>
      <c r="I7" s="179">
        <f>+INDEX('Budget révisé'!$A$2:$AO$496,MATCH($A7,'Budget révisé'!$A$2:$A$496,0),MATCH(I$2,'Budget révisé'!$A$2:$AO$2,0))</f>
        <v>56506.850076946466</v>
      </c>
      <c r="J7" s="182">
        <f>-SUMIFS(BV_Data_An_Cour!$O:$O,BV_Data_An_Cour!$U:$U,$B7,BV_Data_An_Cour!$V:$V,$C7,BV_Data_An_Cour!$W:$W,J$2)</f>
        <v>37</v>
      </c>
      <c r="K7" s="179">
        <f t="shared" ref="K7:K12" si="8">IF(J7=0,0,L7/J7)</f>
        <v>2171.0772972972968</v>
      </c>
      <c r="L7" s="554">
        <f>-SUMIFS(BV_Data_An_Cour!$O:$O,BV_Data_An_Cour!$U:$U,$B7,BV_Data_An_Cour!$V:$V,$C7,BV_Data_An_Cour!$W:$W,L$2)</f>
        <v>80329.859999999986</v>
      </c>
      <c r="M7" s="182">
        <f t="shared" ref="M7:M12" si="9">J7-G7</f>
        <v>3.8127390734741553</v>
      </c>
      <c r="N7" s="180">
        <f t="shared" ref="N7:N12" si="10">L7-I7</f>
        <v>23823.00992305352</v>
      </c>
      <c r="O7" s="182">
        <f>-SUMIFS(BV_Data_An_Prec!$O:$O,BV_Data_An_Prec!$U:$U,$B7,BV_Data_An_Prec!$V:$V,$C7,BV_Data_An_Prec!$W:$W,O$2)</f>
        <v>34</v>
      </c>
      <c r="P7" s="179">
        <f t="shared" ref="P7:P12" si="11">IF(O7=0,0,Q7/O7)</f>
        <v>622.44558823529826</v>
      </c>
      <c r="Q7" s="554">
        <f>-SUMIFS(BV_Data_An_Prec!$O:$O,BV_Data_An_Prec!$U:$U,$B7,BV_Data_An_Prec!$V:$V,$C7,BV_Data_An_Prec!$W:$W,Q$2)</f>
        <v>21163.15000000014</v>
      </c>
      <c r="R7" s="182">
        <f t="shared" ref="R7:R12" si="12">J7-O7</f>
        <v>3</v>
      </c>
      <c r="S7" s="399">
        <f t="shared" ref="S7:S12" si="13">L7-Q7</f>
        <v>59166.709999999846</v>
      </c>
      <c r="T7" s="222"/>
      <c r="U7" s="222"/>
      <c r="V7" s="969" t="s">
        <v>2887</v>
      </c>
      <c r="W7" s="982">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révisé'!$A$2:$AO$496,MATCH($A8,'Budget révisé'!$A$2:$A$496,0),MATCH(G$2,'Budget révisé'!$A$2:$AO$2,0))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révisé'!$A$2:$AO$496,MATCH($A9,'Budget révisé'!$A$2:$A$496,0),MATCH(G$2,'Budget révisé'!$A$2:$AO$2,0))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 r="A10" s="570" t="str">
        <f t="shared" si="5"/>
        <v>Véhicules neufs[...]</v>
      </c>
      <c r="B10" s="24" t="str">
        <f t="shared" si="0"/>
        <v>Véhicules neufs</v>
      </c>
      <c r="C10" s="264" t="s">
        <v>42</v>
      </c>
      <c r="D10" s="179">
        <f>+INDEX('Budget original'!$A$2:$AO$496,MATCH($A10,'Budget original'!$A$2:$A$496,0),MATCH(D$2,'Budget original'!$A$2:$AO$2,0))</f>
        <v>0</v>
      </c>
      <c r="E10" s="179">
        <f t="shared" si="6"/>
        <v>0</v>
      </c>
      <c r="F10" s="179">
        <f>+INDEX('Budget original'!$A$2:$AO$496,MATCH($A10,'Budget original'!$A$2:$A$496,0),MATCH(F$2,'Budget original'!$A$2:$AO$2,0))</f>
        <v>0</v>
      </c>
      <c r="G10" s="182">
        <f>+INDEX('Budget révisé'!$A$2:$AO$496,MATCH($A10,'Budget révisé'!$A$2:$A$496,0),MATCH(G$2,'Budget révisé'!$A$2:$AO$2,0))</f>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 r="A11" s="570" t="str">
        <f t="shared" si="5"/>
        <v>Véhicules neufs[...]</v>
      </c>
      <c r="B11" s="24" t="str">
        <f t="shared" si="0"/>
        <v>Véhicules neufs</v>
      </c>
      <c r="C11" s="264" t="s">
        <v>42</v>
      </c>
      <c r="D11" s="179">
        <f>+INDEX('Budget original'!$A$2:$AO$496,MATCH($A11,'Budget original'!$A$2:$A$496,0),MATCH(D$2,'Budget original'!$A$2:$AO$2,0))</f>
        <v>0</v>
      </c>
      <c r="E11" s="179">
        <f t="shared" si="6"/>
        <v>0</v>
      </c>
      <c r="F11" s="179">
        <f>+INDEX('Budget original'!$A$2:$AO$496,MATCH($A11,'Budget original'!$A$2:$A$496,0),MATCH(F$2,'Budget original'!$A$2:$AO$2,0))</f>
        <v>0</v>
      </c>
      <c r="G11" s="182">
        <f>+INDEX('Budget révisé'!$A$2:$AO$496,MATCH($A11,'Budget révisé'!$A$2:$A$496,0),MATCH(G$2,'Budget révisé'!$A$2:$AO$2,0))</f>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+INDEX('Budget original'!$A$2:$AO$496,MATCH($A12,'Budget original'!$A$2:$A$496,0),MATCH(D$2,'Budget original'!$A$2:$AO$2,0))</f>
        <v>0</v>
      </c>
      <c r="E12" s="179">
        <f t="shared" si="6"/>
        <v>0</v>
      </c>
      <c r="F12" s="179">
        <f>+INDEX('Budget original'!$A$2:$AO$496,MATCH($A12,'Budget original'!$A$2:$A$496,0),MATCH(F$2,'Budget original'!$A$2:$AO$2,0))</f>
        <v>0</v>
      </c>
      <c r="G12" s="182">
        <f>+INDEX('Budget révisé'!$A$2:$AO$496,MATCH($A12,'Budget révisé'!$A$2:$A$496,0),MATCH(G$2,'Budget révisé'!$A$2:$AO$2,0))</f>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57.8942389627355</v>
      </c>
      <c r="E13" s="401">
        <f>IF(D13&lt;=0,0,F13/D13)</f>
        <v>1011.9718309859156</v>
      </c>
      <c r="F13" s="402">
        <f>+SUM(F6:F12)</f>
        <v>58587.33900665558</v>
      </c>
      <c r="G13" s="403">
        <f>+SUM(G6:G12)</f>
        <v>57.8942389627355</v>
      </c>
      <c r="H13" s="401">
        <f>IF(G13&lt;=0,0,I13/G13)</f>
        <v>1383.616133679466</v>
      </c>
      <c r="I13" s="402">
        <f>+SUM(I6:I12)</f>
        <v>80103.403075935188</v>
      </c>
      <c r="J13" s="403">
        <f>+SUM(J6:J12)</f>
        <v>69</v>
      </c>
      <c r="K13" s="401">
        <f>IF(J13&lt;=0,0,L13/J13)</f>
        <v>1673.3010144927514</v>
      </c>
      <c r="L13" s="402">
        <f>+SUM(L6:L12)</f>
        <v>115457.76999999984</v>
      </c>
      <c r="M13" s="403">
        <f>+SUM(M6:M12)</f>
        <v>11.105761037264497</v>
      </c>
      <c r="N13" s="402">
        <f>+SUM(N6:N12)</f>
        <v>35354.366924064656</v>
      </c>
      <c r="O13" s="403">
        <f>+SUM(O6:O12)</f>
        <v>78</v>
      </c>
      <c r="P13" s="401">
        <f>IF(O13&lt;=0,0,Q13/O13)</f>
        <v>530.26653846153897</v>
      </c>
      <c r="Q13" s="402">
        <f>+SUM(Q6:Q12)</f>
        <v>41360.790000000037</v>
      </c>
      <c r="R13" s="403">
        <f>+SUM(R6:R12)</f>
        <v>-9</v>
      </c>
      <c r="S13" s="404">
        <f>+SUM(S6:S12)</f>
        <v>74096.979999999807</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0.19182843122634166</v>
      </c>
      <c r="N14" s="332">
        <f>IF(I13=0,0,N13/I13)</f>
        <v>0.44135911292744917</v>
      </c>
      <c r="O14" s="303"/>
      <c r="P14" s="179"/>
      <c r="Q14" s="312"/>
      <c r="R14" s="362">
        <f>R13/O13</f>
        <v>-0.11538461538461539</v>
      </c>
      <c r="S14" s="333">
        <f>IF(Q13=0,0,(S13/Q13))</f>
        <v>1.7914788378074922</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6.0340474411865177</v>
      </c>
      <c r="E15" s="184">
        <f t="shared" ref="E15" si="15">IF(D15=0,0,F15/D15)</f>
        <v>400.00000000000006</v>
      </c>
      <c r="F15" s="177">
        <f>+INDEX('Budget original'!$A$2:$AO$496,MATCH($A15,'Budget original'!$A$2:$A$496,0),MATCH(F$2,'Budget original'!$A$2:$AO$2,0))</f>
        <v>2413.6189764746073</v>
      </c>
      <c r="G15" s="183">
        <f>+INDEX('Budget révisé'!$A$2:$AO$496,MATCH($A15,'Budget révisé'!$A$2:$A$496,0),MATCH(G$2,'Budget révisé'!$A$2:$AO$2,0))</f>
        <v>6.0340474411865177</v>
      </c>
      <c r="H15" s="407">
        <f t="shared" ref="H15" si="16">IF(G15=0,0,I15/G15)</f>
        <v>790.03378359300473</v>
      </c>
      <c r="I15" s="405">
        <f>+INDEX('Budget révisé'!$A$2:$AO$496,MATCH($A15,'Budget révisé'!$A$2:$A$496,0),MATCH(I$2,'Budget révisé'!$A$2:$AO$2,0))</f>
        <v>4767.1013303402733</v>
      </c>
      <c r="J15" s="1041">
        <f>-SUMIFS(BV_Data_An_Cour!$O:$O,BV_Data_An_Cour!$U:$U,$B15,BV_Data_An_Cour!$V:$V,$C15,BV_Data_An_Cour!$W:$W,J$2)</f>
        <v>9</v>
      </c>
      <c r="K15" s="549">
        <f>IF(J15=0,0,L15/J15)</f>
        <v>754.3644444444443</v>
      </c>
      <c r="L15" s="549">
        <f>-SUMIFS(BV_Data_An_Cour!$O:$O,BV_Data_An_Cour!$U:$U,$B15,BV_Data_An_Cour!$V:$V,$C15,BV_Data_An_Cour!$W:$W,L$2)</f>
        <v>6789.2799999999988</v>
      </c>
      <c r="M15" s="406">
        <f>J15-G15</f>
        <v>2.9659525588134823</v>
      </c>
      <c r="N15" s="405">
        <f>L15-I15</f>
        <v>2022.1786696597255</v>
      </c>
      <c r="O15" s="548">
        <f>-SUMIFS(BV_Data_An_Prec!$O:$O,BV_Data_An_Prec!$U:$U,$B15,BV_Data_An_Prec!$V:$V,$C15,BV_Data_An_Prec!$W:$W,O$2)</f>
        <v>0</v>
      </c>
      <c r="P15" s="549">
        <f>IF(O15=0,0,Q15/O15)</f>
        <v>0</v>
      </c>
      <c r="Q15" s="549">
        <f>-SUMIFS(BV_Data_An_Prec!$O:$O,BV_Data_An_Prec!$U:$U,$B15,BV_Data_An_Prec!$V:$V,$C15,BV_Data_An_Prec!$W:$W,Q$2)</f>
        <v>0</v>
      </c>
      <c r="R15" s="406">
        <f>J15-O15</f>
        <v>9</v>
      </c>
      <c r="S15" s="427">
        <f>L15-Q15</f>
        <v>6789.2799999999988</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0</v>
      </c>
      <c r="E17" s="179">
        <f t="shared" ref="E17" si="17">IF(D17=0,0,F17/D17)</f>
        <v>0</v>
      </c>
      <c r="F17" s="179">
        <f>+INDEX('Budget original'!$A$2:$AO$496,MATCH($A17,'Budget original'!$A$2:$A$496,0),MATCH(F$2,'Budget original'!$A$2:$AO$2,0))</f>
        <v>0</v>
      </c>
      <c r="G17" s="182">
        <f>+INDEX('Budget révisé'!$A$2:$AO$496,MATCH($A17,'Budget révisé'!$A$2:$A$496,0),MATCH(G$2,'Budget révisé'!$A$2:$AO$2,0))</f>
        <v>2.210773577378093</v>
      </c>
      <c r="H17" s="179">
        <f t="shared" ref="H17" si="18">IF(G17=0,0,I17/G17)</f>
        <v>800</v>
      </c>
      <c r="I17" s="179">
        <f>+INDEX('Budget révisé'!$A$2:$AO$496,MATCH($A17,'Budget révisé'!$A$2:$A$496,0),MATCH(I$2,'Budget révisé'!$A$2:$AO$2,0))</f>
        <v>1768.6188619024745</v>
      </c>
      <c r="J17" s="406">
        <f>-SUMIFS(BV_Data_An_Cour!$O:$O,BV_Data_An_Cour!$U:$U,$B17,BV_Data_An_Cour!$V:$V,$C17,BV_Data_An_Cour!$W:$W,J$2)</f>
        <v>3</v>
      </c>
      <c r="K17" s="179">
        <f>IF(J17=0,0,L17/J17)</f>
        <v>1019.75</v>
      </c>
      <c r="L17" s="180">
        <f>-SUMIFS(BV_Data_An_Cour!$O:$O,BV_Data_An_Cour!$U:$U,$B17,BV_Data_An_Cour!$V:$V,$C17,BV_Data_An_Cour!$W:$W,L$2)</f>
        <v>3059.25</v>
      </c>
      <c r="M17" s="406">
        <f>J17-G17</f>
        <v>0.78922642262190701</v>
      </c>
      <c r="N17" s="180">
        <f>L17-I17</f>
        <v>1290.6311380975255</v>
      </c>
      <c r="O17" s="406">
        <f>-SUMIFS(BV_Data_An_Prec!$O:$O,BV_Data_An_Prec!$U:$U,$B17,BV_Data_An_Prec!$V:$V,$C17,BV_Data_An_Prec!$W:$W,O$2)</f>
        <v>0</v>
      </c>
      <c r="P17" s="179">
        <f>IF(O17=0,0,Q17/O17)</f>
        <v>0</v>
      </c>
      <c r="Q17" s="180">
        <f>-SUMIFS(BV_Data_An_Prec!$O:$O,BV_Data_An_Prec!$U:$U,$B17,BV_Data_An_Prec!$V:$V,$C17,BV_Data_An_Prec!$W:$W,Q$2)</f>
        <v>0</v>
      </c>
      <c r="R17" s="182">
        <f>J17-O17</f>
        <v>3</v>
      </c>
      <c r="S17" s="399">
        <f>L17-Q17</f>
        <v>3059.25</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révisé'!$A$2:$AO$496,MATCH($A19,'Budget révisé'!$A$2:$A$496,0),MATCH(G$2,'Budget révisé'!$A$2:$AO$2,0))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6884.3699999999953</v>
      </c>
      <c r="M19" s="182"/>
      <c r="N19" s="180">
        <f>L19-I19</f>
        <v>1884.3699999999953</v>
      </c>
      <c r="O19" s="183"/>
      <c r="P19" s="179"/>
      <c r="Q19" s="180">
        <f>-SUMIFS(BV_Data_An_Prec!$O:$O,BV_Data_An_Prec!$U:$U,$B19,BV_Data_An_Prec!$V:$V,$C19,BV_Data_An_Prec!$W:$W,Q$2)</f>
        <v>6677.4500000000116</v>
      </c>
      <c r="R19" s="182">
        <f>O19-K19</f>
        <v>0</v>
      </c>
      <c r="S19" s="399">
        <f>L19-Q19</f>
        <v>206.9199999999837</v>
      </c>
      <c r="T19" s="222"/>
      <c r="U19" s="25" t="s">
        <v>6</v>
      </c>
      <c r="V19" s="1088">
        <f>G13+G15+G17</f>
        <v>66.139059981300107</v>
      </c>
      <c r="W19" s="1088">
        <f>I13+I15+I17</f>
        <v>86639.123268177937</v>
      </c>
      <c r="X19" s="1089">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8">
        <f>J13+J15+J17</f>
        <v>81</v>
      </c>
      <c r="W20" s="1088">
        <f>L13+L15+L17</f>
        <v>125306.29999999984</v>
      </c>
      <c r="X20" s="1089">
        <f>W20/V20</f>
        <v>1546.9913580246894</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6014.3600207550835</v>
      </c>
      <c r="G21" s="303">
        <f>+INDEX('Budget révisé'!$A$2:$AO$496,MATCH($A21,'Budget révisé'!$A$2:$A$496,0),MATCH(G$2,'Budget révisé'!$A$2:$AO$2,0))</f>
        <v>0</v>
      </c>
      <c r="H21" s="179">
        <f t="shared" ref="H21:H23" si="22">IF(G21=0,0,I21/G21)</f>
        <v>0</v>
      </c>
      <c r="I21" s="179">
        <f>+INDEX('Budget révisé'!$A$2:$AO$496,MATCH($A21,'Budget révisé'!$A$2:$A$496,0),MATCH(I$2,'Budget révisé'!$A$2:$AO$2,0))</f>
        <v>6014.3600207550835</v>
      </c>
      <c r="J21" s="182"/>
      <c r="K21" s="179">
        <f>IF(J13=0,0,L21/(J13+J15))</f>
        <v>-13.910512820512821</v>
      </c>
      <c r="L21" s="180">
        <f>-SUMIFS(BV_Data_An_Cour!$O:$O,BV_Data_An_Cour!$U:$U,$B21,BV_Data_An_Cour!$V:$V,$C21,BV_Data_An_Cour!$W:$W,L$2)</f>
        <v>-1085.02</v>
      </c>
      <c r="M21" s="182"/>
      <c r="N21" s="180">
        <f t="shared" ref="N21:N24" si="23">L21-I21</f>
        <v>-7099.380020755083</v>
      </c>
      <c r="O21" s="182"/>
      <c r="P21" s="179">
        <f>IF(O13=0,0,Q21/(O13+O15))</f>
        <v>85.4424358974359</v>
      </c>
      <c r="Q21" s="180">
        <f>-SUMIFS(BV_Data_An_Prec!$O:$O,BV_Data_An_Prec!$U:$U,$B21,BV_Data_An_Prec!$V:$V,$C21,BV_Data_An_Prec!$W:$W,Q$2)</f>
        <v>6664.51</v>
      </c>
      <c r="R21" s="182">
        <f t="shared" ref="R21:R23" si="24">O21-K21</f>
        <v>13.910512820512821</v>
      </c>
      <c r="S21" s="399">
        <f t="shared" ref="S21:S24" si="25">L21-Q21</f>
        <v>-7749.5300000000007</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47135.79830219681</v>
      </c>
      <c r="G22" s="303">
        <f>+INDEX('Budget révisé'!$A$2:$AO$496,MATCH($A22,'Budget révisé'!$A$2:$A$496,0),MATCH(G$2,'Budget révisé'!$A$2:$AO$2,0))</f>
        <v>0</v>
      </c>
      <c r="H22" s="179">
        <f t="shared" si="22"/>
        <v>0</v>
      </c>
      <c r="I22" s="179">
        <f>+INDEX('Budget révisé'!$A$2:$AO$496,MATCH($A22,'Budget révisé'!$A$2:$A$496,0),MATCH(I$2,'Budget révisé'!$A$2:$AO$2,0))</f>
        <v>47135.79830219681</v>
      </c>
      <c r="J22" s="182"/>
      <c r="K22" s="179">
        <f>IF(J13=0,0,L22/(J13+J15))</f>
        <v>674.86</v>
      </c>
      <c r="L22" s="180">
        <f>-SUMIFS(BV_Data_An_Cour!$O:$O,BV_Data_An_Cour!$U:$U,$B22,BV_Data_An_Cour!$V:$V,$C22,BV_Data_An_Cour!$W:$W,L$2)</f>
        <v>52639.08</v>
      </c>
      <c r="M22" s="182"/>
      <c r="N22" s="180">
        <f t="shared" si="23"/>
        <v>5503.2816978031915</v>
      </c>
      <c r="O22" s="182"/>
      <c r="P22" s="179">
        <f>IF(O13=0,0,Q22/(O13+O15))</f>
        <v>483.63141025641028</v>
      </c>
      <c r="Q22" s="180">
        <f>-SUMIFS(BV_Data_An_Prec!$O:$O,BV_Data_An_Prec!$U:$U,$B22,BV_Data_An_Prec!$V:$V,$C22,BV_Data_An_Prec!$W:$W,Q$2)</f>
        <v>37723.25</v>
      </c>
      <c r="R22" s="182">
        <f t="shared" si="24"/>
        <v>-674.86</v>
      </c>
      <c r="S22" s="399">
        <f t="shared" si="25"/>
        <v>14915.830000000002</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1188.8851203818188</v>
      </c>
      <c r="G23" s="303">
        <f>+INDEX('Budget révisé'!$A$2:$AO$496,MATCH($A23,'Budget révisé'!$A$2:$A$496,0),MATCH(G$2,'Budget révisé'!$A$2:$AO$2,0))</f>
        <v>0</v>
      </c>
      <c r="H23" s="179">
        <f t="shared" si="22"/>
        <v>0</v>
      </c>
      <c r="I23" s="179">
        <f>+INDEX('Budget révisé'!$A$2:$AO$496,MATCH($A23,'Budget révisé'!$A$2:$A$496,0),MATCH(I$2,'Budget révisé'!$A$2:$AO$2,0))</f>
        <v>1188.8851203818188</v>
      </c>
      <c r="J23" s="182"/>
      <c r="K23" s="179">
        <f>IF(J13=0,0,L23/(J13+J15))</f>
        <v>25.959230769230768</v>
      </c>
      <c r="L23" s="180">
        <f>-SUMIFS(BV_Data_An_Cour!$O:$O,BV_Data_An_Cour!$U:$U,$B23,BV_Data_An_Cour!$V:$V,$C23,BV_Data_An_Cour!$W:$W,L$2)</f>
        <v>2024.82</v>
      </c>
      <c r="M23" s="406"/>
      <c r="N23" s="180">
        <f t="shared" si="23"/>
        <v>835.93487961818118</v>
      </c>
      <c r="O23" s="182"/>
      <c r="P23" s="179">
        <f>IF(O13=0,0,Q23/(O13+O15))</f>
        <v>23.895256410256408</v>
      </c>
      <c r="Q23" s="180">
        <f>-SUMIFS(BV_Data_An_Prec!$O:$O,BV_Data_An_Prec!$U:$U,$B23,BV_Data_An_Prec!$V:$V,$C23,BV_Data_An_Prec!$W:$W,Q$2)</f>
        <v>1863.83</v>
      </c>
      <c r="R23" s="182">
        <f t="shared" si="24"/>
        <v>-25.959230769230768</v>
      </c>
      <c r="S23" s="399">
        <f t="shared" si="25"/>
        <v>160.99</v>
      </c>
      <c r="T23" s="222"/>
      <c r="U23" s="222"/>
      <c r="V23" s="514" t="s">
        <v>2922</v>
      </c>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63.928286403922016</v>
      </c>
      <c r="E24" s="401">
        <f>IF(D24&lt;=0,0,F24/D24)</f>
        <v>850</v>
      </c>
      <c r="F24" s="402">
        <f>F21+F22+F23</f>
        <v>54339.043443333714</v>
      </c>
      <c r="G24" s="403">
        <f>+G15+G13</f>
        <v>63.928286403922016</v>
      </c>
      <c r="H24" s="401">
        <f>IF(G24&lt;=0,0,I24/G24)</f>
        <v>850</v>
      </c>
      <c r="I24" s="402">
        <f>I21+I22+I23</f>
        <v>54339.043443333714</v>
      </c>
      <c r="J24" s="403">
        <f>+J15+J13</f>
        <v>78</v>
      </c>
      <c r="K24" s="401">
        <f>IF(J24&lt;=0,0,L24/J24)</f>
        <v>686.90871794871805</v>
      </c>
      <c r="L24" s="402">
        <f>L21+L22+L23</f>
        <v>53578.880000000005</v>
      </c>
      <c r="M24" s="431">
        <f>J24-G24</f>
        <v>14.071713596077984</v>
      </c>
      <c r="N24" s="402">
        <f t="shared" si="23"/>
        <v>-760.16344333370944</v>
      </c>
      <c r="O24" s="403">
        <f>+O15+O13</f>
        <v>78</v>
      </c>
      <c r="P24" s="401">
        <f>IF(O24&lt;=0,0,Q24/O24)</f>
        <v>592.96910256410263</v>
      </c>
      <c r="Q24" s="402">
        <f>Q21+Q22+Q23</f>
        <v>46251.590000000004</v>
      </c>
      <c r="R24" s="411"/>
      <c r="S24" s="404">
        <f t="shared" si="25"/>
        <v>7327.2900000000009</v>
      </c>
      <c r="T24" s="222"/>
      <c r="U24" s="222"/>
      <c r="V24" s="514" t="s">
        <v>2923</v>
      </c>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-1.3989268032044571E-2</v>
      </c>
      <c r="O25" s="303"/>
      <c r="P25" s="178"/>
      <c r="Q25" s="304"/>
      <c r="R25" s="325"/>
      <c r="S25" s="333">
        <f>IF(Q24=0,0,(S24/Q24))</f>
        <v>0.15842244558511395</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63.928286403922016</v>
      </c>
      <c r="E27" s="27">
        <f>IF(D27&lt;=0,0,F27/D27)</f>
        <v>1882.4218228862305</v>
      </c>
      <c r="F27" s="28">
        <f>F13+F17+F24+F19+F15</f>
        <v>120340.0014264639</v>
      </c>
      <c r="G27" s="29">
        <f>+G13+G15+G17</f>
        <v>66.139059981300107</v>
      </c>
      <c r="H27" s="30">
        <f>IF(G27&lt;=0,0,I27/G27)</f>
        <v>2207.1400281888637</v>
      </c>
      <c r="I27" s="28">
        <f>I13+I17+I24+I19+I15</f>
        <v>145978.16671151167</v>
      </c>
      <c r="J27" s="29">
        <f>+J13+J15+J17</f>
        <v>81</v>
      </c>
      <c r="K27" s="30">
        <f>IF(J27&lt;=0,0,L27/J27)</f>
        <v>2293.4512345678995</v>
      </c>
      <c r="L27" s="28">
        <f>L13+L17+L24+L19+L15</f>
        <v>185769.54999999984</v>
      </c>
      <c r="M27" s="29">
        <f>J27-G27</f>
        <v>14.860940018699893</v>
      </c>
      <c r="N27" s="28">
        <f>L27-I27</f>
        <v>39791.38328848817</v>
      </c>
      <c r="O27" s="29">
        <f>+O13+O15+O17</f>
        <v>78</v>
      </c>
      <c r="P27" s="30">
        <f>IF(O27&lt;=0,0,Q27/O27)</f>
        <v>1208.8439743589749</v>
      </c>
      <c r="Q27" s="28">
        <f>Q13+Q17+Q24+Q19+Q15</f>
        <v>94289.830000000045</v>
      </c>
      <c r="R27" s="29">
        <f>J27-O27</f>
        <v>3</v>
      </c>
      <c r="S27" s="363">
        <f>L27-Q27</f>
        <v>91479.719999999797</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0.22469233797549609</v>
      </c>
      <c r="N28" s="34">
        <f>N27/I27</f>
        <v>0.27258448427514242</v>
      </c>
      <c r="O28" s="31"/>
      <c r="P28" s="365"/>
      <c r="Q28" s="32"/>
      <c r="R28" s="33">
        <f>R27/O27</f>
        <v>3.8461538461538464E-2</v>
      </c>
      <c r="S28" s="272">
        <f>IF(Q27=0,0,S27/Q27)</f>
        <v>0.97019710397186798</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385.81459999408111</v>
      </c>
      <c r="F31" s="179">
        <f>+INDEX('Budget original'!$A$2:$AO$496,MATCH($A31,'Budget original'!$A$2:$A$496,0),MATCH(F$2,'Budget original'!$A$2:$AO$2,0))</f>
        <v>24664.466247236225</v>
      </c>
      <c r="G31" s="976">
        <f>I31/(I15+I13)</f>
        <v>0.2961800815962965</v>
      </c>
      <c r="H31" s="197">
        <f t="shared" ref="H31:H36" si="27">I31/G$24</f>
        <v>393.2054859306748</v>
      </c>
      <c r="I31" s="179">
        <f>+INDEX('Budget révisé'!$A$2:$AO$496,MATCH($A31,'Budget révisé'!$A$2:$A$496,0),MATCH(I$2,'Budget révisé'!$A$2:$AO$2,0))</f>
        <v>25136.952920169508</v>
      </c>
      <c r="J31" s="976">
        <f>L31/(L15+L13)</f>
        <v>0.34340967737053824</v>
      </c>
      <c r="K31" s="197">
        <f t="shared" ref="K31:K36" si="28">IF(L31=0,0,L31/J$24)</f>
        <v>538.21564102564105</v>
      </c>
      <c r="L31" s="179">
        <f>SUMIFS(BV_Data_An_Cour!$O:$O,BV_Data_An_Cour!$U:$U,$B31,BV_Data_An_Cour!$V:$V,$C31,BV_Data_An_Cour!$W:$W,L$2)</f>
        <v>41980.82</v>
      </c>
      <c r="M31" s="303"/>
      <c r="N31" s="304">
        <f t="shared" ref="N31:N53" si="29">L31-I31</f>
        <v>16843.867079830492</v>
      </c>
      <c r="O31" s="303"/>
      <c r="P31" s="197">
        <f t="shared" ref="P31:P36" si="30">IF(Q31=0,0,Q31/O$24)</f>
        <v>384.80128205128204</v>
      </c>
      <c r="Q31" s="180">
        <f>SUMIFS(BV_Data_An_Prec!$O:$O,BV_Data_An_Prec!$U:$U,$B31,BV_Data_An_Prec!$V:$V,$C31,BV_Data_An_Prec!$W:$W,Q$2)</f>
        <v>30014.5</v>
      </c>
      <c r="R31" s="303"/>
      <c r="S31" s="199">
        <f t="shared" ref="S31:S41" si="31">L31-Q31</f>
        <v>11966.32</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+INDEX('Budget original'!$A$2:$AO$496,MATCH($A32,'Budget original'!$A$2:$A$496,0),MATCH(F$2,'Budget original'!$A$2:$AO$2,0))</f>
        <v>16301.713033000113</v>
      </c>
      <c r="G32" s="977">
        <f>I32/I24</f>
        <v>0.3</v>
      </c>
      <c r="H32" s="190">
        <f t="shared" si="27"/>
        <v>254.99999999999997</v>
      </c>
      <c r="I32" s="177">
        <f>+INDEX('Budget révisé'!$A$2:$AO$496,MATCH($A32,'Budget révisé'!$A$2:$A$496,0),MATCH(I$2,'Budget révisé'!$A$2:$AO$2,0))</f>
        <v>16301.713033000113</v>
      </c>
      <c r="J32" s="977">
        <f>L32/L24</f>
        <v>0.29627308372254141</v>
      </c>
      <c r="K32" s="413">
        <f t="shared" si="28"/>
        <v>203.51256410256408</v>
      </c>
      <c r="L32" s="177">
        <f>SUMIFS(BV_Data_An_Cour!$O:$O,BV_Data_An_Cour!$U:$U,$B32,BV_Data_An_Cour!$V:$V,$C32,BV_Data_An_Cour!$W:$W,L$2)</f>
        <v>15873.98</v>
      </c>
      <c r="M32" s="310"/>
      <c r="N32" s="311">
        <f t="shared" si="29"/>
        <v>-427.73303300011321</v>
      </c>
      <c r="O32" s="310"/>
      <c r="P32" s="413">
        <f t="shared" si="30"/>
        <v>268.94038461538457</v>
      </c>
      <c r="Q32" s="177">
        <f>SUMIFS(BV_Data_An_Prec!$O:$O,BV_Data_An_Prec!$U:$U,$B32,BV_Data_An_Prec!$V:$V,$C32,BV_Data_An_Prec!$W:$W,Q$2)</f>
        <v>20977.35</v>
      </c>
      <c r="R32" s="310"/>
      <c r="S32" s="202">
        <f t="shared" si="31"/>
        <v>-5103.369999999999</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12593.872421572638</v>
      </c>
      <c r="G33" s="302"/>
      <c r="H33" s="197">
        <f t="shared" si="27"/>
        <v>197</v>
      </c>
      <c r="I33" s="179">
        <f>+INDEX('Budget révisé'!$A$2:$AO$496,MATCH($A33,'Budget révisé'!$A$2:$A$496,0),MATCH(I$2,'Budget révisé'!$A$2:$AO$2,0))</f>
        <v>12593.872421572638</v>
      </c>
      <c r="J33" s="303"/>
      <c r="K33" s="197">
        <f t="shared" si="28"/>
        <v>135.56884615384615</v>
      </c>
      <c r="L33" s="179">
        <f>SUMIFS(BV_Data_An_Cour!$O:$O,BV_Data_An_Cour!$U:$U,$B33,BV_Data_An_Cour!$V:$V,$C33,BV_Data_An_Cour!$W:$W,L$2)</f>
        <v>10574.37</v>
      </c>
      <c r="M33" s="303"/>
      <c r="N33" s="304">
        <f t="shared" si="29"/>
        <v>-2019.5024215726371</v>
      </c>
      <c r="O33" s="303"/>
      <c r="P33" s="197">
        <f t="shared" si="30"/>
        <v>155.14846153846153</v>
      </c>
      <c r="Q33" s="180">
        <f>SUMIFS(BV_Data_An_Prec!$O:$O,BV_Data_An_Prec!$U:$U,$B33,BV_Data_An_Prec!$V:$V,$C33,BV_Data_An_Prec!$W:$W,Q$2)</f>
        <v>12101.58</v>
      </c>
      <c r="R33" s="303"/>
      <c r="S33" s="199">
        <f t="shared" si="31"/>
        <v>-1527.2099999999991</v>
      </c>
      <c r="T33" s="222"/>
      <c r="U33" s="222"/>
      <c r="V33" s="514"/>
      <c r="W33" s="514">
        <f>L24*0.25</f>
        <v>13394.720000000001</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383.56971842353209</v>
      </c>
      <c r="G34" s="302"/>
      <c r="H34" s="197">
        <f t="shared" si="27"/>
        <v>6</v>
      </c>
      <c r="I34" s="179">
        <f>+INDEX('Budget révisé'!$A$2:$AO$496,MATCH($A34,'Budget révisé'!$A$2:$A$496,0),MATCH(I$2,'Budget révisé'!$A$2:$AO$2,0))</f>
        <v>383.56971842353209</v>
      </c>
      <c r="J34" s="303"/>
      <c r="K34" s="197">
        <f t="shared" si="28"/>
        <v>0</v>
      </c>
      <c r="L34" s="179">
        <f>SUMIFS(BV_Data_An_Cour!$O:$O,BV_Data_An_Cour!$U:$U,$B34,BV_Data_An_Cour!$V:$V,$C34,BV_Data_An_Cour!$W:$W,L$2)</f>
        <v>0</v>
      </c>
      <c r="M34" s="303"/>
      <c r="N34" s="304">
        <f t="shared" si="29"/>
        <v>-383.56971842353209</v>
      </c>
      <c r="O34" s="303"/>
      <c r="P34" s="197">
        <f t="shared" si="30"/>
        <v>12.320256410256411</v>
      </c>
      <c r="Q34" s="180">
        <f>SUMIFS(BV_Data_An_Prec!$O:$O,BV_Data_An_Prec!$U:$U,$B34,BV_Data_An_Prec!$V:$V,$C34,BV_Data_An_Prec!$W:$W,Q$2)</f>
        <v>960.98</v>
      </c>
      <c r="R34" s="303"/>
      <c r="S34" s="199">
        <f t="shared" si="31"/>
        <v>-960.98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33.999999999999993</v>
      </c>
      <c r="F35" s="177">
        <f>+INDEX('Budget original'!$A$2:$AO$496,MATCH($A35,'Budget original'!$A$2:$A$496,0),MATCH(F$2,'Budget original'!$A$2:$AO$2,0))</f>
        <v>2173.5617377333483</v>
      </c>
      <c r="G35" s="309"/>
      <c r="H35" s="190">
        <f t="shared" si="27"/>
        <v>33.999999999999993</v>
      </c>
      <c r="I35" s="177">
        <f>+INDEX('Budget révisé'!$A$2:$AO$496,MATCH($A35,'Budget révisé'!$A$2:$A$496,0),MATCH(I$2,'Budget révisé'!$A$2:$AO$2,0))</f>
        <v>2173.5617377333483</v>
      </c>
      <c r="J35" s="310"/>
      <c r="K35" s="413">
        <f t="shared" si="28"/>
        <v>0.51282051282051277</v>
      </c>
      <c r="L35" s="177">
        <f>SUMIFS(BV_Data_An_Cour!$O:$O,BV_Data_An_Cour!$U:$U,$B35,BV_Data_An_Cour!$V:$V,$C35,BV_Data_An_Cour!$W:$W,L$2)</f>
        <v>40</v>
      </c>
      <c r="M35" s="310"/>
      <c r="N35" s="311">
        <f t="shared" si="29"/>
        <v>-2133.5617377333483</v>
      </c>
      <c r="O35" s="310"/>
      <c r="P35" s="413">
        <f t="shared" si="30"/>
        <v>46.408461538461538</v>
      </c>
      <c r="Q35" s="180">
        <f>SUMIFS(BV_Data_An_Prec!$O:$O,BV_Data_An_Prec!$U:$U,$B35,BV_Data_An_Prec!$V:$V,$C35,BV_Data_An_Prec!$W:$W,Q$2)</f>
        <v>3619.86</v>
      </c>
      <c r="R35" s="310"/>
      <c r="S35" s="202">
        <f t="shared" si="31"/>
        <v>-3579.86</v>
      </c>
      <c r="T35" s="222"/>
      <c r="U35" s="222"/>
      <c r="V35" s="514"/>
      <c r="W35" s="978">
        <f>L32-W33</f>
        <v>2479.2599999999984</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+INDEX('Budget original'!$A$2:$AO$496,MATCH($A36,'Budget original'!$A$2:$A$496,0),MATCH(F$2,'Budget original'!$A$2:$AO$2,0))</f>
        <v>11549.900673065729</v>
      </c>
      <c r="G36" s="302"/>
      <c r="H36" s="197">
        <f t="shared" si="27"/>
        <v>180.6696428571428</v>
      </c>
      <c r="I36" s="179">
        <f>+INDEX('Budget révisé'!$A$2:$AO$496,MATCH($A36,'Budget révisé'!$A$2:$A$496,0),MATCH(I$2,'Budget révisé'!$A$2:$AO$2,0))</f>
        <v>11549.900673065729</v>
      </c>
      <c r="J36" s="303"/>
      <c r="K36" s="197">
        <f t="shared" si="28"/>
        <v>97.126794871794871</v>
      </c>
      <c r="L36" s="630">
        <f>SUMIFS(BV_Data_An_Cour!$O:$O,BV_Data_An_Cour!$U:$U,$B36,BV_Data_An_Cour!$V:$V,$C36,BV_Data_An_Cour!$W:$W,L$2)</f>
        <v>7575.8899999999994</v>
      </c>
      <c r="M36" s="178"/>
      <c r="N36" s="304">
        <f t="shared" si="29"/>
        <v>-3974.0106730657299</v>
      </c>
      <c r="O36" s="303"/>
      <c r="P36" s="197">
        <f t="shared" si="30"/>
        <v>67.820512820512818</v>
      </c>
      <c r="Q36" s="429">
        <f>SUMIFS(BV_Data_An_Prec!$O:$O,BV_Data_An_Prec!$U:$U,$B36,BV_Data_An_Prec!$V:$V,$C36,BV_Data_An_Prec!$W:$W,Q$2)</f>
        <v>5290</v>
      </c>
      <c r="R36" s="303"/>
      <c r="S36" s="199">
        <f t="shared" si="31"/>
        <v>2285.8899999999994</v>
      </c>
      <c r="T36" s="222"/>
      <c r="U36" s="222"/>
      <c r="V36" s="514" t="s">
        <v>2925</v>
      </c>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ref="E37:E40" si="33">F37/D$24</f>
        <v>229.32442912116127</v>
      </c>
      <c r="F37" s="179">
        <f>+INDEX('Budget original'!$A$2:$AO$496,MATCH($A37,'Budget original'!$A$2:$A$496,0),MATCH(F$2,'Budget original'!$A$2:$AO$2,0))</f>
        <v>14660.317784273513</v>
      </c>
      <c r="G37" s="302"/>
      <c r="H37" s="197">
        <f t="shared" ref="H37:H40" si="34">I37/G$24</f>
        <v>231.24629321245661</v>
      </c>
      <c r="I37" s="179">
        <f>+INDEX('Budget révisé'!$A$2:$AO$496,MATCH($A37,'Budget révisé'!$A$2:$A$496,0),MATCH(I$2,'Budget révisé'!$A$2:$AO$2,0))</f>
        <v>14783.179262331254</v>
      </c>
      <c r="J37" s="303"/>
      <c r="K37" s="197">
        <f t="shared" ref="K37:K40" si="35">IF(L37=0,0,L37/J$24)</f>
        <v>172.06923076923076</v>
      </c>
      <c r="L37" s="631">
        <f>SUMIFS(BV_Data_An_Cour!$O:$O,BV_Data_An_Cour!$U:$U,$B37,BV_Data_An_Cour!$V:$V,$C37,BV_Data_An_Cour!$W:$W,L$2)</f>
        <v>13421.4</v>
      </c>
      <c r="M37" s="178"/>
      <c r="N37" s="304">
        <f t="shared" ref="N37:N40" si="36">L37-I37</f>
        <v>-1361.7792623312544</v>
      </c>
      <c r="O37" s="303"/>
      <c r="P37" s="197">
        <f t="shared" ref="P37:P40" si="37">IF(Q37=0,0,Q37/O$24)</f>
        <v>261.11076923076922</v>
      </c>
      <c r="Q37" s="180">
        <f>SUMIFS(BV_Data_An_Prec!$O:$O,BV_Data_An_Prec!$U:$U,$B37,BV_Data_An_Prec!$V:$V,$C37,BV_Data_An_Prec!$W:$W,Q$2)</f>
        <v>20366.64</v>
      </c>
      <c r="R37" s="303"/>
      <c r="S37" s="199">
        <f t="shared" ref="S37:S40" si="38">L37-Q37</f>
        <v>-6945.24</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33"/>
        <v>0</v>
      </c>
      <c r="F38" s="179">
        <f>+INDEX('Budget original'!$A$2:$AO$496,MATCH($A38,'Budget original'!$A$2:$A$496,0),MATCH(F$2,'Budget original'!$A$2:$AO$2,0))</f>
        <v>0</v>
      </c>
      <c r="G38" s="302"/>
      <c r="H38" s="197">
        <f t="shared" si="34"/>
        <v>0</v>
      </c>
      <c r="I38" s="179">
        <f>+INDEX('Budget révisé'!$A$2:$AO$496,MATCH($A38,'Budget révisé'!$A$2:$A$496,0),MATCH(I$2,'Budget révisé'!$A$2:$AO$2,0))</f>
        <v>0</v>
      </c>
      <c r="J38" s="303"/>
      <c r="K38" s="197">
        <f t="shared" si="35"/>
        <v>0</v>
      </c>
      <c r="L38" s="631">
        <f>SUMIFS(BV_Data_An_Cour!$O:$O,BV_Data_An_Cour!$U:$U,$B38,BV_Data_An_Cour!$V:$V,$C38,BV_Data_An_Cour!$W:$W,L$2)</f>
        <v>0</v>
      </c>
      <c r="M38" s="178"/>
      <c r="N38" s="304">
        <f t="shared" si="36"/>
        <v>0</v>
      </c>
      <c r="O38" s="303"/>
      <c r="P38" s="197">
        <f t="shared" si="37"/>
        <v>0</v>
      </c>
      <c r="Q38" s="180">
        <f>SUMIFS(BV_Data_An_Prec!$O:$O,BV_Data_An_Prec!$U:$U,$B38,BV_Data_An_Prec!$V:$V,$C38,BV_Data_An_Prec!$W:$W,Q$2)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33"/>
        <v>0</v>
      </c>
      <c r="F39" s="179">
        <f>+INDEX('Budget original'!$A$2:$AO$496,MATCH($A39,'Budget original'!$A$2:$A$496,0),MATCH(F$2,'Budget original'!$A$2:$AO$2,0))</f>
        <v>0</v>
      </c>
      <c r="G39" s="302"/>
      <c r="H39" s="197">
        <f t="shared" si="34"/>
        <v>0</v>
      </c>
      <c r="I39" s="179">
        <f>+INDEX('Budget révisé'!$A$2:$AO$496,MATCH($A39,'Budget révisé'!$A$2:$A$496,0),MATCH(I$2,'Budget révisé'!$A$2:$AO$2,0))</f>
        <v>0</v>
      </c>
      <c r="J39" s="303"/>
      <c r="K39" s="197">
        <f t="shared" si="35"/>
        <v>0</v>
      </c>
      <c r="L39" s="631">
        <f>SUMIFS(BV_Data_An_Cour!$O:$O,BV_Data_An_Cour!$U:$U,$B39,BV_Data_An_Cour!$V:$V,$C39,BV_Data_An_Cour!$W:$W,L$2)</f>
        <v>0</v>
      </c>
      <c r="M39" s="178"/>
      <c r="N39" s="304">
        <f t="shared" si="36"/>
        <v>0</v>
      </c>
      <c r="O39" s="303"/>
      <c r="P39" s="197">
        <f t="shared" si="37"/>
        <v>0</v>
      </c>
      <c r="Q39" s="180">
        <f>SUMIFS(BV_Data_An_Prec!$O:$O,BV_Data_An_Prec!$U:$U,$B39,BV_Data_An_Prec!$V:$V,$C39,BV_Data_An_Prec!$W:$W,Q$2)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+INDEX('Budget original'!$A$2:$AO$496,MATCH($A40,'Budget original'!$A$2:$A$496,0),MATCH(F$2,'Budget original'!$A$2:$AO$2,0))</f>
        <v>0</v>
      </c>
      <c r="G40" s="302"/>
      <c r="H40" s="197">
        <f t="shared" si="34"/>
        <v>0</v>
      </c>
      <c r="I40" s="179">
        <f>+INDEX('Budget révisé'!$A$2:$AO$496,MATCH($A40,'Budget révisé'!$A$2:$A$496,0),MATCH(I$2,'Budget révisé'!$A$2:$AO$2,0))</f>
        <v>0</v>
      </c>
      <c r="J40" s="303"/>
      <c r="K40" s="197">
        <f t="shared" si="35"/>
        <v>0</v>
      </c>
      <c r="L40" s="632">
        <f>SUMIFS(BV_Data_An_Cour!$O:$O,BV_Data_An_Cour!$U:$U,$B40,BV_Data_An_Cour!$V:$V,$C40,BV_Data_An_Cour!$W:$W,L$2)</f>
        <v>0</v>
      </c>
      <c r="M40" s="178"/>
      <c r="N40" s="304">
        <f t="shared" si="36"/>
        <v>0</v>
      </c>
      <c r="O40" s="303"/>
      <c r="P40" s="197">
        <f t="shared" si="37"/>
        <v>0</v>
      </c>
      <c r="Q40" s="180">
        <f>SUMIFS(BV_Data_An_Prec!$O:$O,BV_Data_An_Prec!$U:$U,$B40,BV_Data_An_Prec!$V:$V,$C40,BV_Data_An_Prec!$W:$W,Q$2)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0.68412332258125208</v>
      </c>
      <c r="F41" s="41">
        <f>SUM(F31:F40)</f>
        <v>82327.401615305105</v>
      </c>
      <c r="G41" s="42" t="s">
        <v>111</v>
      </c>
      <c r="H41" s="40">
        <f>I41/I$27</f>
        <v>0.56804898728569198</v>
      </c>
      <c r="I41" s="41">
        <f>SUM(I31:I40)</f>
        <v>82922.749766296125</v>
      </c>
      <c r="J41" s="42" t="s">
        <v>111</v>
      </c>
      <c r="K41" s="40">
        <f>L41/L$27</f>
        <v>0.48159916412566034</v>
      </c>
      <c r="L41" s="41">
        <f>SUM(L31:L40)</f>
        <v>89466.459999999992</v>
      </c>
      <c r="M41" s="583"/>
      <c r="N41" s="41">
        <f t="shared" si="29"/>
        <v>6543.7102337038668</v>
      </c>
      <c r="O41" s="42" t="s">
        <v>111</v>
      </c>
      <c r="P41" s="40">
        <f>Q41/Q$27</f>
        <v>0.98983008029603992</v>
      </c>
      <c r="Q41" s="582">
        <f>SUM(Q31:Q40)</f>
        <v>93330.91</v>
      </c>
      <c r="R41" s="44"/>
      <c r="S41" s="316">
        <f t="shared" si="31"/>
        <v>-3864.4500000000116</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25919.969540229882</v>
      </c>
      <c r="G42" s="303"/>
      <c r="H42" s="178"/>
      <c r="I42" s="179">
        <f>+INDEX('Budget révisé'!$A$2:$AO$496,MATCH($A42,'Budget révisé'!$A$2:$A$496,0),MATCH(I$2,'Budget révisé'!$A$2:$AO$2,0))</f>
        <v>25919.969540229882</v>
      </c>
      <c r="J42" s="303"/>
      <c r="K42" s="178"/>
      <c r="L42" s="281">
        <f>SUMIFS(BV_Data_An_Cour!$O:$O,BV_Data_An_Cour!$U:$U,$B42,BV_Data_An_Cour!$V:$V,$C42,BV_Data_An_Cour!$W:$W,L$2)</f>
        <v>33399.279999999999</v>
      </c>
      <c r="M42" s="303"/>
      <c r="N42" s="304">
        <f t="shared" si="29"/>
        <v>7479.3104597701167</v>
      </c>
      <c r="O42" s="303"/>
      <c r="P42" s="178"/>
      <c r="Q42" s="180">
        <f>SUMIFS(BV_Data_An_Prec!$O:$O,BV_Data_An_Prec!$U:$U,$B42,BV_Data_An_Prec!$V:$V,$C42,BV_Data_An_Prec!$W:$W,Q$2)</f>
        <v>32957.339999999997</v>
      </c>
      <c r="R42" s="303"/>
      <c r="S42" s="199">
        <f t="shared" ref="S42:S53" si="39">L42-Q42</f>
        <v>441.94000000000233</v>
      </c>
      <c r="T42" s="222"/>
      <c r="U42" s="222" t="s">
        <v>2876</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10485.240564689655</v>
      </c>
      <c r="G43" s="302"/>
      <c r="H43" s="178"/>
      <c r="I43" s="177">
        <f>+INDEX('Budget révisé'!$A$2:$AO$496,MATCH($A43,'Budget révisé'!$A$2:$A$496,0),MATCH(I$2,'Budget révisé'!$A$2:$AO$2,0))</f>
        <v>10485.240564689655</v>
      </c>
      <c r="J43" s="303"/>
      <c r="K43" s="178"/>
      <c r="L43" s="281">
        <f>SUMIFS(BV_Data_An_Cour!$O:$O,BV_Data_An_Cour!$U:$U,$B43,BV_Data_An_Cour!$V:$V,$C43,BV_Data_An_Cour!$W:$W,L$2)</f>
        <v>9351.0400000000009</v>
      </c>
      <c r="M43" s="303"/>
      <c r="N43" s="304">
        <f t="shared" si="29"/>
        <v>-1134.2005646896541</v>
      </c>
      <c r="O43" s="303"/>
      <c r="P43" s="178"/>
      <c r="Q43" s="180">
        <f>SUMIFS(BV_Data_An_Prec!$O:$O,BV_Data_An_Prec!$U:$U,$B43,BV_Data_An_Prec!$V:$V,$C43,BV_Data_An_Prec!$W:$W,Q$2)</f>
        <v>10372.43</v>
      </c>
      <c r="R43" s="303"/>
      <c r="S43" s="199">
        <f t="shared" si="39"/>
        <v>-1021.3899999999994</v>
      </c>
      <c r="T43" s="222"/>
      <c r="U43" s="222"/>
      <c r="V43" s="514" t="s">
        <v>2879</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6607.2069857839078</v>
      </c>
      <c r="G44" s="393"/>
      <c r="H44" s="352"/>
      <c r="I44" s="179">
        <f>+INDEX('Budget révisé'!$A$2:$AO$496,MATCH($A44,'Budget révisé'!$A$2:$A$496,0),MATCH(I$2,'Budget révisé'!$A$2:$AO$2,0))</f>
        <v>6607.2069857839078</v>
      </c>
      <c r="J44" s="368"/>
      <c r="K44" s="352"/>
      <c r="L44" s="181">
        <f>SUMIFS(BV_Data_An_Cour!$O:$O,BV_Data_An_Cour!$U:$U,$B44,BV_Data_An_Cour!$V:$V,$C44,BV_Data_An_Cour!$W:$W,L$2)</f>
        <v>7584.35</v>
      </c>
      <c r="M44" s="368"/>
      <c r="N44" s="356">
        <f t="shared" si="29"/>
        <v>977.14301421609252</v>
      </c>
      <c r="O44" s="368"/>
      <c r="P44" s="352"/>
      <c r="Q44" s="181">
        <f>SUMIFS(BV_Data_An_Prec!$O:$O,BV_Data_An_Prec!$U:$U,$B44,BV_Data_An_Prec!$V:$V,$C44,BV_Data_An_Prec!$W:$W,Q$2)</f>
        <v>4969.0200000000004</v>
      </c>
      <c r="R44" s="368"/>
      <c r="S44" s="201">
        <f t="shared" si="39"/>
        <v>2615.33</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40">+B46&amp;C46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41">L46-I46</f>
        <v>0</v>
      </c>
      <c r="O46" s="303"/>
      <c r="P46" s="178"/>
      <c r="Q46" s="180">
        <f>SUMIFS(BV_Data_An_Prec!$O:$O,BV_Data_An_Prec!$U:$U,$B46,BV_Data_An_Prec!$V:$V,$C46,BV_Data_An_Prec!$W:$W,Q$2)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40"/>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41"/>
        <v>0</v>
      </c>
      <c r="O47" s="303"/>
      <c r="P47" s="178"/>
      <c r="Q47" s="180">
        <f>SUMIFS(BV_Data_An_Prec!$O:$O,BV_Data_An_Prec!$U:$U,$B47,BV_Data_An_Prec!$V:$V,$C47,BV_Data_An_Prec!$W:$W,Q$2)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40"/>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41"/>
        <v>0</v>
      </c>
      <c r="O48" s="303"/>
      <c r="P48" s="178"/>
      <c r="Q48" s="180">
        <f>SUMIFS(BV_Data_An_Prec!$O:$O,BV_Data_An_Prec!$U:$U,$B48,BV_Data_An_Prec!$V:$V,$C48,BV_Data_An_Prec!$W:$W,Q$2)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10077.431564512774</v>
      </c>
      <c r="G49" s="302"/>
      <c r="H49" s="178"/>
      <c r="I49" s="177">
        <f>+INDEX('Budget révisé'!$A$2:$AO$496,MATCH($A49,'Budget révisé'!$A$2:$A$496,0),MATCH(I$2,'Budget révisé'!$A$2:$AO$2,0))</f>
        <v>10134.129965264767</v>
      </c>
      <c r="J49" s="303"/>
      <c r="K49" s="178"/>
      <c r="L49" s="177">
        <f>SUMIFS(BV_Data_An_Cour!$O:$O,BV_Data_An_Cour!$U:$U,$B49,BV_Data_An_Cour!$V:$V,$C49,BV_Data_An_Cour!$W:$W,L$2)</f>
        <v>9708.4</v>
      </c>
      <c r="M49" s="303"/>
      <c r="N49" s="304">
        <f t="shared" si="29"/>
        <v>-425.72996526476709</v>
      </c>
      <c r="O49" s="303"/>
      <c r="P49" s="178"/>
      <c r="Q49" s="177">
        <f>SUMIFS(BV_Data_An_Prec!$O:$O,BV_Data_An_Prec!$U:$U,$B49,BV_Data_An_Prec!$V:$V,$C49,BV_Data_An_Prec!$W:$W,Q$2)</f>
        <v>13634.47</v>
      </c>
      <c r="R49" s="303"/>
      <c r="S49" s="199">
        <f t="shared" si="39"/>
        <v>-3926.0699999999997</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10077.431564512774</v>
      </c>
      <c r="G50" s="393"/>
      <c r="H50" s="352"/>
      <c r="I50" s="179">
        <f>+INDEX('Budget révisé'!$A$2:$AO$496,MATCH($A50,'Budget révisé'!$A$2:$A$496,0),MATCH(I$2,'Budget révisé'!$A$2:$AO$2,0))</f>
        <v>10134.129965264767</v>
      </c>
      <c r="J50" s="368"/>
      <c r="K50" s="352"/>
      <c r="L50" s="281">
        <f>SUMIFS(BV_Data_An_Cour!$O:$O,BV_Data_An_Cour!$U:$U,$B50,BV_Data_An_Cour!$V:$V,$C50,BV_Data_An_Cour!$W:$W,L$2)</f>
        <v>-707.4</v>
      </c>
      <c r="M50" s="368"/>
      <c r="N50" s="356">
        <f t="shared" si="29"/>
        <v>-10841.529965264766</v>
      </c>
      <c r="O50" s="368"/>
      <c r="P50" s="352"/>
      <c r="Q50" s="180">
        <f>SUMIFS(BV_Data_An_Prec!$O:$O,BV_Data_An_Prec!$U:$U,$B50,BV_Data_An_Prec!$V:$V,$C50,BV_Data_An_Prec!$W:$W,Q$2)</f>
        <v>12017.04</v>
      </c>
      <c r="R50" s="368"/>
      <c r="S50" s="201">
        <f t="shared" si="39"/>
        <v>-12724.44</v>
      </c>
      <c r="T50" s="222"/>
      <c r="U50" s="222" t="s">
        <v>2950</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7222.1592879008203</v>
      </c>
      <c r="G51" s="302"/>
      <c r="H51" s="178"/>
      <c r="I51" s="179">
        <f>+INDEX('Budget révisé'!$A$2:$AO$496,MATCH($A51,'Budget révisé'!$A$2:$A$496,0),MATCH(I$2,'Budget révisé'!$A$2:$AO$2,0))</f>
        <v>7262.7931417730824</v>
      </c>
      <c r="J51" s="303"/>
      <c r="K51" s="178"/>
      <c r="L51" s="180">
        <f>SUMIFS(BV_Data_An_Cour!$O:$O,BV_Data_An_Cour!$U:$U,$B51,BV_Data_An_Cour!$V:$V,$C51,BV_Data_An_Cour!$W:$W,L$2)</f>
        <v>8170.62</v>
      </c>
      <c r="M51" s="303"/>
      <c r="N51" s="304">
        <f t="shared" si="29"/>
        <v>907.82685822691747</v>
      </c>
      <c r="O51" s="303"/>
      <c r="P51" s="178"/>
      <c r="Q51" s="180">
        <f>SUMIFS(BV_Data_An_Prec!$O:$O,BV_Data_An_Prec!$U:$U,$B51,BV_Data_An_Prec!$V:$V,$C51,BV_Data_An_Prec!$W:$W,Q$2)</f>
        <v>8128.51</v>
      </c>
      <c r="R51" s="303"/>
      <c r="S51" s="199">
        <f t="shared" si="39"/>
        <v>42.109999999999673</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1679.5719274187957</v>
      </c>
      <c r="G52" s="302"/>
      <c r="H52" s="178"/>
      <c r="I52" s="179">
        <f>+INDEX('Budget révisé'!$A$2:$AO$496,MATCH($A52,'Budget révisé'!$A$2:$A$496,0),MATCH(I$2,'Budget révisé'!$A$2:$AO$2,0))</f>
        <v>1689.0216608774613</v>
      </c>
      <c r="J52" s="303"/>
      <c r="K52" s="178"/>
      <c r="L52" s="180">
        <f>SUMIFS(BV_Data_An_Cour!$O:$O,BV_Data_An_Cour!$U:$U,$B52,BV_Data_An_Cour!$V:$V,$C52,BV_Data_An_Cour!$W:$W,L$2)</f>
        <v>10660.71</v>
      </c>
      <c r="M52" s="303"/>
      <c r="N52" s="304">
        <f t="shared" si="29"/>
        <v>8971.6883391225383</v>
      </c>
      <c r="O52" s="303"/>
      <c r="P52" s="178"/>
      <c r="Q52" s="180">
        <f>SUMIFS(BV_Data_An_Prec!$O:$O,BV_Data_An_Prec!$U:$U,$B52,BV_Data_An_Prec!$V:$V,$C52,BV_Data_An_Prec!$W:$W,Q$2)</f>
        <v>2994.03</v>
      </c>
      <c r="R52" s="303"/>
      <c r="S52" s="199">
        <f t="shared" si="39"/>
        <v>7666.6799999999985</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0.59887826641823483</v>
      </c>
      <c r="F54" s="41">
        <f>+SUM(F42:F53)</f>
        <v>72069.011435048611</v>
      </c>
      <c r="G54" s="42" t="s">
        <v>111</v>
      </c>
      <c r="H54" s="40">
        <f>I54/I$27</f>
        <v>0.49481709115194245</v>
      </c>
      <c r="I54" s="41">
        <f>+SUM(I42:I53)</f>
        <v>72232.491823883523</v>
      </c>
      <c r="J54" s="42" t="s">
        <v>111</v>
      </c>
      <c r="K54" s="40">
        <f>L54/L$27</f>
        <v>0.42077401813160481</v>
      </c>
      <c r="L54" s="41">
        <f>+SUM(L42:L53)</f>
        <v>78167</v>
      </c>
      <c r="M54" s="44"/>
      <c r="N54" s="41">
        <f>+SUM(N42:N53)</f>
        <v>5934.5081761164774</v>
      </c>
      <c r="O54" s="42" t="s">
        <v>111</v>
      </c>
      <c r="P54" s="40">
        <f>Q54/Q$27</f>
        <v>0.90224831246381443</v>
      </c>
      <c r="Q54" s="41">
        <f>+SUM(Q42:Q53)</f>
        <v>85072.839999999982</v>
      </c>
      <c r="R54" s="44"/>
      <c r="S54" s="316">
        <f>+SUM(S42:S53)</f>
        <v>-6905.8399999999983</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3">L55-I55</f>
        <v>0</v>
      </c>
      <c r="O55" s="303"/>
      <c r="P55" s="178"/>
      <c r="Q55" s="180">
        <f>SUMIFS(BV_Data_An_Prec!$O:$O,BV_Data_An_Prec!$U:$U,$B55,BV_Data_An_Prec!$V:$V,$C55,BV_Data_An_Prec!$W:$W,Q$2)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3"/>
        <v>0</v>
      </c>
      <c r="O56" s="303"/>
      <c r="P56" s="178"/>
      <c r="Q56" s="180">
        <f>SUMIFS(BV_Data_An_Prec!$O:$O,BV_Data_An_Prec!$U:$U,$B56,BV_Data_An_Prec!$V:$V,$C56,BV_Data_An_Prec!$W:$W,Q$2)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5758.38</v>
      </c>
      <c r="M57" s="310"/>
      <c r="N57" s="434">
        <f t="shared" si="43"/>
        <v>-3330.4975000000004</v>
      </c>
      <c r="O57" s="310"/>
      <c r="P57" s="308"/>
      <c r="Q57" s="177">
        <f>SUMIFS(BV_Data_An_Prec!$O:$O,BV_Data_An_Prec!$U:$U,$B57,BV_Data_An_Prec!$V:$V,$C57,BV_Data_An_Prec!$W:$W,Q$2)</f>
        <v>8667.2900000000009</v>
      </c>
      <c r="R57" s="310"/>
      <c r="S57" s="202">
        <f t="shared" si="44"/>
        <v>-2908.9100000000008</v>
      </c>
      <c r="T57" s="525"/>
      <c r="U57" s="222" t="s">
        <v>2937</v>
      </c>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5346.08</v>
      </c>
      <c r="M58" s="303"/>
      <c r="N58" s="304">
        <f t="shared" si="43"/>
        <v>-1331.3162666666676</v>
      </c>
      <c r="O58" s="303"/>
      <c r="P58" s="178"/>
      <c r="Q58" s="180">
        <f>SUMIFS(BV_Data_An_Prec!$O:$O,BV_Data_An_Prec!$U:$U,$B58,BV_Data_An_Prec!$V:$V,$C58,BV_Data_An_Prec!$W:$W,Q$2)</f>
        <v>6718.5</v>
      </c>
      <c r="R58" s="303"/>
      <c r="S58" s="199">
        <f t="shared" si="44"/>
        <v>-1372.42</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587.39</v>
      </c>
      <c r="M59" s="303"/>
      <c r="N59" s="304">
        <f t="shared" si="43"/>
        <v>-1009.1067999999999</v>
      </c>
      <c r="O59" s="303"/>
      <c r="P59" s="178"/>
      <c r="Q59" s="180">
        <f>SUMIFS(BV_Data_An_Prec!$O:$O,BV_Data_An_Prec!$U:$U,$B59,BV_Data_An_Prec!$V:$V,$C59,BV_Data_An_Prec!$W:$W,Q$2)</f>
        <v>1944.64</v>
      </c>
      <c r="R59" s="303"/>
      <c r="S59" s="199">
        <f t="shared" si="44"/>
        <v>-1357.25</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6231.54</v>
      </c>
      <c r="M60" s="310"/>
      <c r="N60" s="311">
        <f t="shared" si="43"/>
        <v>-3178.3546666666671</v>
      </c>
      <c r="O60" s="310"/>
      <c r="P60" s="308"/>
      <c r="Q60" s="177">
        <f>SUMIFS(BV_Data_An_Prec!$O:$O,BV_Data_An_Prec!$U:$U,$B60,BV_Data_An_Prec!$V:$V,$C60,BV_Data_An_Prec!$W:$W,Q$2)</f>
        <v>8135.35</v>
      </c>
      <c r="R60" s="310"/>
      <c r="S60" s="202">
        <f t="shared" si="44"/>
        <v>-1903.8100000000004</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255.71314561568806</v>
      </c>
      <c r="G61" s="302"/>
      <c r="H61" s="178"/>
      <c r="I61" s="179">
        <f>+INDEX('Budget révisé'!$A$2:$AO$496,MATCH($A61,'Budget révisé'!$A$2:$A$496,0),MATCH(I$2,'Budget révisé'!$A$2:$AO$2,0))</f>
        <v>255.71314561568806</v>
      </c>
      <c r="J61" s="303"/>
      <c r="K61" s="178"/>
      <c r="L61" s="180">
        <f>SUMIFS(BV_Data_An_Cour!$O:$O,BV_Data_An_Cour!$U:$U,$B61,BV_Data_An_Cour!$V:$V,$C61,BV_Data_An_Cour!$W:$W,L$2)</f>
        <v>0</v>
      </c>
      <c r="M61" s="303"/>
      <c r="N61" s="304">
        <f t="shared" si="43"/>
        <v>-255.71314561568806</v>
      </c>
      <c r="O61" s="303"/>
      <c r="P61" s="178"/>
      <c r="Q61" s="180">
        <f>SUMIFS(BV_Data_An_Prec!$O:$O,BV_Data_An_Prec!$U:$U,$B61,BV_Data_An_Prec!$V:$V,$C61,BV_Data_An_Prec!$W:$W,Q$2)</f>
        <v>231</v>
      </c>
      <c r="R61" s="303"/>
      <c r="S61" s="199">
        <f t="shared" si="44"/>
        <v>-231</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3"/>
        <v>-35</v>
      </c>
      <c r="O62" s="303"/>
      <c r="P62" s="178"/>
      <c r="Q62" s="180">
        <f>SUMIFS(BV_Data_An_Prec!$O:$O,BV_Data_An_Prec!$U:$U,$B62,BV_Data_An_Prec!$V:$V,$C62,BV_Data_An_Prec!$W:$W,Q$2)</f>
        <v>35</v>
      </c>
      <c r="R62" s="303"/>
      <c r="S62" s="199">
        <f t="shared" si="44"/>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500.69</v>
      </c>
      <c r="M63" s="303"/>
      <c r="N63" s="304">
        <f t="shared" si="43"/>
        <v>-196.91000000000003</v>
      </c>
      <c r="O63" s="303"/>
      <c r="P63" s="178"/>
      <c r="Q63" s="554">
        <f>SUMIFS(BV_Data_An_Prec!$O:$O,BV_Data_An_Prec!$U:$U,$B63,BV_Data_An_Prec!$V:$V,$C63,BV_Data_An_Prec!$W:$W,Q$2)</f>
        <v>592</v>
      </c>
      <c r="R63" s="303"/>
      <c r="S63" s="199">
        <f t="shared" si="44"/>
        <v>-91.31</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238.05</v>
      </c>
      <c r="M64" s="303"/>
      <c r="N64" s="304">
        <f t="shared" si="43"/>
        <v>-351.86200000000002</v>
      </c>
      <c r="O64" s="303"/>
      <c r="P64" s="178"/>
      <c r="Q64" s="180">
        <f>SUMIFS(BV_Data_An_Prec!$O:$O,BV_Data_An_Prec!$U:$U,$B64,BV_Data_An_Prec!$V:$V,$C64,BV_Data_An_Prec!$W:$W,Q$2)</f>
        <v>633.66999999999996</v>
      </c>
      <c r="R64" s="303"/>
      <c r="S64" s="199">
        <f t="shared" si="44"/>
        <v>-395.61999999999995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136.35</v>
      </c>
      <c r="M65" s="303"/>
      <c r="N65" s="304">
        <f t="shared" si="43"/>
        <v>-140.45000000000002</v>
      </c>
      <c r="O65" s="303"/>
      <c r="P65" s="178"/>
      <c r="Q65" s="180">
        <f>SUMIFS(BV_Data_An_Prec!$O:$O,BV_Data_An_Prec!$U:$U,$B65,BV_Data_An_Prec!$V:$V,$C65,BV_Data_An_Prec!$W:$W,Q$2)</f>
        <v>82.32</v>
      </c>
      <c r="R65" s="303"/>
      <c r="S65" s="199">
        <f t="shared" si="44"/>
        <v>54.03</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3441.41</v>
      </c>
      <c r="M66" s="303"/>
      <c r="N66" s="304">
        <f t="shared" si="43"/>
        <v>2092.29</v>
      </c>
      <c r="O66" s="303"/>
      <c r="P66" s="178"/>
      <c r="Q66" s="180">
        <f>SUMIFS(BV_Data_An_Prec!$O:$O,BV_Data_An_Prec!$U:$U,$B66,BV_Data_An_Prec!$V:$V,$C66,BV_Data_An_Prec!$W:$W,Q$2)</f>
        <v>1545.45</v>
      </c>
      <c r="R66" s="303"/>
      <c r="S66" s="199">
        <f t="shared" si="44"/>
        <v>1895.9599999999998</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5">+B67&amp;C67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523.33000000000004</v>
      </c>
      <c r="M67" s="303"/>
      <c r="N67" s="304">
        <f t="shared" ref="N67" si="46">L67-I67</f>
        <v>-915.01666666666677</v>
      </c>
      <c r="O67" s="303"/>
      <c r="P67" s="178"/>
      <c r="Q67" s="180">
        <f>SUMIFS(BV_Data_An_Prec!$O:$O,BV_Data_An_Prec!$U:$U,$B67,BV_Data_An_Prec!$V:$V,$C67,BV_Data_An_Prec!$W:$W,Q$2)</f>
        <v>4555.83</v>
      </c>
      <c r="R67" s="303"/>
      <c r="S67" s="199">
        <f t="shared" ref="S67" si="47">L67-Q67</f>
        <v>-4032.5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5"/>
        <v>Véhicules neufsFrais bancaires</v>
      </c>
      <c r="B68" s="24" t="str">
        <f t="shared" si="0"/>
        <v>Véhicules neufs</v>
      </c>
      <c r="C68" s="264" t="s">
        <v>134</v>
      </c>
      <c r="D68" s="301"/>
      <c r="E68" s="178"/>
      <c r="F68" s="179">
        <f>+INDEX('Budget original'!$A$2:$AO$496,MATCH($A68,'Budget original'!$A$2:$A$496,0),MATCH(F$2,'Budget original'!$A$2:$AO$2,0))</f>
        <v>2083.3141574587762</v>
      </c>
      <c r="G68" s="302"/>
      <c r="H68" s="178"/>
      <c r="I68" s="179">
        <f>+INDEX('Budget révisé'!$A$2:$AO$496,MATCH($A68,'Budget révisé'!$A$2:$A$496,0),MATCH(I$2,'Budget révisé'!$A$2:$AO$2,0))</f>
        <v>2083.3141574587762</v>
      </c>
      <c r="J68" s="303"/>
      <c r="K68" s="178"/>
      <c r="L68" s="985">
        <f>AF447*W3</f>
        <v>3004.1010000000001</v>
      </c>
      <c r="M68" s="303"/>
      <c r="N68" s="304">
        <f t="shared" ref="N68:N69" si="48">L68-I68</f>
        <v>920.7868425412239</v>
      </c>
      <c r="O68" s="303"/>
      <c r="P68" s="178"/>
      <c r="Q68" s="281">
        <f>AL447*W3</f>
        <v>2682.3330000000001</v>
      </c>
      <c r="R68" s="303"/>
      <c r="S68" s="199">
        <f t="shared" ref="S68:S69" si="49">L68-Q68</f>
        <v>321.76800000000003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5"/>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8"/>
        <v>0</v>
      </c>
      <c r="O69" s="303"/>
      <c r="P69" s="178"/>
      <c r="Q69" s="180">
        <f>SUMIFS(BV_Data_An_Prec!$O:$O,BV_Data_An_Prec!$U:$U,$B69,BV_Data_An_Prec!$V:$V,$C69,BV_Data_An_Prec!$W:$W,Q$2)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3"/>
        <v>0</v>
      </c>
      <c r="O70" s="303"/>
      <c r="P70" s="178"/>
      <c r="Q70" s="180">
        <f>SUMIFS(BV_Data_An_Prec!$O:$O,BV_Data_An_Prec!$U:$U,$B70,BV_Data_An_Prec!$V:$V,$C70,BV_Data_An_Prec!$W:$W,Q$2)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3"/>
        <v>0</v>
      </c>
      <c r="O71" s="303"/>
      <c r="P71" s="178"/>
      <c r="Q71" s="180">
        <f>SUMIFS(BV_Data_An_Prec!$O:$O,BV_Data_An_Prec!$U:$U,$B71,BV_Data_An_Prec!$V:$V,$C71,BV_Data_An_Prec!$W:$W,Q$2)*0.32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0.27836522192119434</v>
      </c>
      <c r="F72" s="41">
        <f>+SUM(F55:F71)</f>
        <v>33498.47120307447</v>
      </c>
      <c r="G72" s="42" t="s">
        <v>111</v>
      </c>
      <c r="H72" s="40">
        <f>I72/I$27</f>
        <v>0.22947590011371763</v>
      </c>
      <c r="I72" s="41">
        <f>+SUM(I55:I71)</f>
        <v>33498.47120307447</v>
      </c>
      <c r="J72" s="42" t="s">
        <v>111</v>
      </c>
      <c r="K72" s="40">
        <f>L72/L$27</f>
        <v>0.13870583742061074</v>
      </c>
      <c r="L72" s="41">
        <f>+SUM(L55:L71)</f>
        <v>25767.320999999996</v>
      </c>
      <c r="M72" s="44"/>
      <c r="N72" s="41">
        <f>+SUM(N55:N71)</f>
        <v>-7731.150203074465</v>
      </c>
      <c r="O72" s="42" t="s">
        <v>111</v>
      </c>
      <c r="P72" s="40">
        <f>Q72/Q$27</f>
        <v>0.37992838676238971</v>
      </c>
      <c r="Q72" s="41">
        <f>+SUM(Q55:Q71)</f>
        <v>35823.382999999994</v>
      </c>
      <c r="R72" s="44"/>
      <c r="S72" s="316">
        <f>+SUM(S55:S71)</f>
        <v>-10056.062000000002</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1.5613668109206813</v>
      </c>
      <c r="F74" s="41">
        <f>F41+F54+F72</f>
        <v>187894.88425342817</v>
      </c>
      <c r="G74" s="42" t="s">
        <v>111</v>
      </c>
      <c r="H74" s="40">
        <f>I74/I$27</f>
        <v>1.2923419785513521</v>
      </c>
      <c r="I74" s="41">
        <f>I41+I54+I72</f>
        <v>188653.71279325412</v>
      </c>
      <c r="J74" s="42" t="s">
        <v>111</v>
      </c>
      <c r="K74" s="40">
        <f>L74/L$27</f>
        <v>1.0410790196778759</v>
      </c>
      <c r="L74" s="41">
        <f>L41+L54+L72</f>
        <v>193400.78099999999</v>
      </c>
      <c r="M74" s="44"/>
      <c r="N74" s="46">
        <f>L74-I74</f>
        <v>4747.0682067458692</v>
      </c>
      <c r="O74" s="42" t="s">
        <v>111</v>
      </c>
      <c r="P74" s="40">
        <f>Q74/Q$27</f>
        <v>2.2720067795222443</v>
      </c>
      <c r="Q74" s="41">
        <f>Q41+Q54+Q72</f>
        <v>214227.133</v>
      </c>
      <c r="R74" s="44"/>
      <c r="S74" s="299">
        <f>L74-Q74</f>
        <v>-20826.352000000014</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45357.637500000012</v>
      </c>
      <c r="G75" s="302"/>
      <c r="H75" s="178"/>
      <c r="I75" s="179">
        <f>+INDEX('Budget révisé'!$A$2:$AO$496,MATCH($A75,'Budget révisé'!$A$2:$A$496,0),MATCH(I$2,'Budget révisé'!$A$2:$AO$2,0))</f>
        <v>758.49607159347272</v>
      </c>
      <c r="J75" s="303"/>
      <c r="K75" s="178"/>
      <c r="L75" s="554">
        <f>-SUMIFS(BV_Data_An_Cour!$O:$O,BV_Data_An_Cour!$U:$U,$B75,BV_Data_An_Cour!$V:$V,$C75,BV_Data_An_Cour!$W:$W,L$2)-L155</f>
        <v>26100</v>
      </c>
      <c r="M75" s="303"/>
      <c r="N75" s="304">
        <f>L75-I75</f>
        <v>25341.503928406528</v>
      </c>
      <c r="O75" s="303"/>
      <c r="P75" s="178"/>
      <c r="Q75" s="554">
        <f>-SUMIFS(BV_Data_An_Prec!$O:$O,BV_Data_An_Prec!$U:$U,$B75,BV_Data_An_Prec!$V:$V,$C75,BV_Data_An_Prec!$W:$W,Q$2)-Q155</f>
        <v>10850</v>
      </c>
      <c r="R75" s="303"/>
      <c r="S75" s="199"/>
      <c r="T75" s="222"/>
      <c r="U75" s="222"/>
      <c r="V75" s="514" t="s">
        <v>2936</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5">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5">
        <f>-SUMIFS(BV_Data_An_Cour!$O:$O,BV_Data_An_Cour!$U:$U,$B77,BV_Data_An_Cour!$V:$V,$C77,BV_Data_An_Cour!$W:$W,L$2)</f>
        <v>0</v>
      </c>
      <c r="M77" s="303"/>
      <c r="N77" s="304">
        <f t="shared" ref="N77:N82" si="50">L77-I77</f>
        <v>0</v>
      </c>
      <c r="O77" s="303"/>
      <c r="P77" s="178"/>
      <c r="Q77" s="554">
        <f>-SUMIFS(BV_Data_An_Prec!$O:$O,BV_Data_An_Prec!$U:$U,$B77,BV_Data_An_Prec!$V:$V,$C77,BV_Data_An_Prec!$W:$W,Q$2)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72775.567500000005</v>
      </c>
      <c r="G78" s="302"/>
      <c r="H78" s="178"/>
      <c r="I78" s="179">
        <f>+INDEX('Budget révisé'!$A$2:$AO$496,MATCH($A78,'Budget révisé'!$A$2:$A$496,0),MATCH(I$2,'Budget révisé'!$A$2:$AO$2,0))</f>
        <v>73926.169357707506</v>
      </c>
      <c r="J78" s="303"/>
      <c r="K78" s="178"/>
      <c r="L78" s="281">
        <f>-SUMIFS(BV_Data_An_Cour!$O:$O,BV_Data_An_Cour!$U:$U,$B78,BV_Data_An_Cour!$V:$V,$C78,BV_Data_An_Cour!$W:$W,L$2)</f>
        <v>91841</v>
      </c>
      <c r="M78" s="303"/>
      <c r="N78" s="304">
        <f t="shared" si="50"/>
        <v>17914.830642292494</v>
      </c>
      <c r="O78" s="303"/>
      <c r="P78" s="178"/>
      <c r="Q78" s="554">
        <f>-SUMIFS(BV_Data_An_Prec!$O:$O,BV_Data_An_Prec!$U:$U,$B78,BV_Data_An_Prec!$V:$V,$C78,BV_Data_An_Prec!$W:$W,Q$2)</f>
        <v>60872</v>
      </c>
      <c r="R78" s="303"/>
      <c r="S78" s="199">
        <f t="shared" si="51"/>
        <v>30969</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2">+B79&amp;C79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3">L79-I79</f>
        <v>0</v>
      </c>
      <c r="O79" s="303"/>
      <c r="P79" s="178"/>
      <c r="Q79" s="554">
        <f>-SUMIFS(BV_Data_An_Prec!$O:$O,BV_Data_An_Prec!$U:$U,$B79,BV_Data_An_Prec!$V:$V,$C79,BV_Data_An_Prec!$W:$W,Q$2)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2"/>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3"/>
        <v>0</v>
      </c>
      <c r="O80" s="303"/>
      <c r="P80" s="178"/>
      <c r="Q80" s="554">
        <f>-SUMIFS(BV_Data_An_Prec!$O:$O,BV_Data_An_Prec!$U:$U,$B80,BV_Data_An_Prec!$V:$V,$C80,BV_Data_An_Prec!$W:$W,Q$2)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2"/>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3"/>
        <v>0</v>
      </c>
      <c r="O81" s="303"/>
      <c r="P81" s="178"/>
      <c r="Q81" s="554">
        <f>-SUMIFS(BV_Data_An_Prec!$O:$O,BV_Data_An_Prec!$U:$U,$B81,BV_Data_An_Prec!$V:$V,$C81,BV_Data_An_Prec!$W:$W,Q$2)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20079.874759471906</v>
      </c>
      <c r="G82" s="302"/>
      <c r="H82" s="178"/>
      <c r="I82" s="179">
        <f>+INDEX('Budget révisé'!$A$2:$AO$496,MATCH($A82,'Budget révisé'!$A$2:$A$496,0),MATCH(I$2,'Budget révisé'!$A$2:$AO$2,0))</f>
        <v>20079.87475947191</v>
      </c>
      <c r="J82" s="303"/>
      <c r="K82" s="178"/>
      <c r="L82" s="985">
        <f>-SUMIFS(BV_Data_An_Cour!$O:$O,BV_Data_An_Cour!$U:$U,$B82,BV_Data_An_Cour!$V:$V,$C82,BV_Data_An_Cour!$W:$W,L$2)-L158</f>
        <v>20188</v>
      </c>
      <c r="M82" s="303"/>
      <c r="N82" s="304">
        <f t="shared" si="50"/>
        <v>108.12524052809022</v>
      </c>
      <c r="O82" s="303"/>
      <c r="P82" s="178"/>
      <c r="Q82" s="554">
        <f>-SUMIFS(BV_Data_An_Prec!$O:$O,BV_Data_An_Prec!$U:$U,$B82,BV_Data_An_Prec!$V:$V,$C82,BV_Data_An_Prec!$W:$W,Q$2)-Q158</f>
        <v>22354</v>
      </c>
      <c r="R82" s="303"/>
      <c r="S82" s="199">
        <f t="shared" si="51"/>
        <v>-2166</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138213.07975947193</v>
      </c>
      <c r="G83" s="42"/>
      <c r="H83" s="40"/>
      <c r="I83" s="41">
        <f>+SUM(I75:I82)</f>
        <v>94764.540188772895</v>
      </c>
      <c r="J83" s="42"/>
      <c r="K83" s="40"/>
      <c r="L83" s="41">
        <f>+SUM(L75:L82)</f>
        <v>138129</v>
      </c>
      <c r="M83" s="44"/>
      <c r="N83" s="41">
        <f>+SUM(N75:N82)</f>
        <v>43364.459811227112</v>
      </c>
      <c r="O83" s="42"/>
      <c r="P83" s="40"/>
      <c r="Q83" s="41">
        <f>+SUM(Q75:Q82)</f>
        <v>94076</v>
      </c>
      <c r="R83" s="44"/>
      <c r="S83" s="316">
        <f>+SUM(S75:S82)</f>
        <v>28803</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70658.196932507664</v>
      </c>
      <c r="G85" s="436"/>
      <c r="H85" s="346"/>
      <c r="I85" s="343">
        <f>I27-I74+I83</f>
        <v>52088.994107030449</v>
      </c>
      <c r="J85" s="436"/>
      <c r="K85" s="342"/>
      <c r="L85" s="343">
        <f>L27-L74+L83</f>
        <v>130497.76899999985</v>
      </c>
      <c r="M85" s="436"/>
      <c r="N85" s="343">
        <f>N27-N41-N54-N72+N83</f>
        <v>78408.774892969406</v>
      </c>
      <c r="O85" s="436"/>
      <c r="P85" s="342"/>
      <c r="Q85" s="343">
        <f>Q27-Q74+Q83</f>
        <v>-25861.302999999956</v>
      </c>
      <c r="R85" s="436"/>
      <c r="S85" s="347">
        <f>S27-S41-S54-S72+S83</f>
        <v>141109.07199999981</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Mars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35" t="s">
        <v>77</v>
      </c>
      <c r="E91" s="1136"/>
      <c r="F91" s="1137"/>
      <c r="G91" s="1138" t="s">
        <v>145</v>
      </c>
      <c r="H91" s="1136"/>
      <c r="I91" s="1137"/>
      <c r="J91" s="1138" t="s">
        <v>79</v>
      </c>
      <c r="K91" s="1136"/>
      <c r="L91" s="1137"/>
      <c r="M91" s="1138" t="s">
        <v>80</v>
      </c>
      <c r="N91" s="1137"/>
      <c r="O91" s="1135" t="s">
        <v>81</v>
      </c>
      <c r="P91" s="1136"/>
      <c r="Q91" s="1137"/>
      <c r="R91" s="1138" t="s">
        <v>82</v>
      </c>
      <c r="S91" s="1139"/>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+INDEX('Budget original'!$A$2:$AO$496,MATCH($A93,'Budget original'!$A$2:$A$496,0),MATCH(F$2,'Budget original'!$A$2:$AO$2,0))</f>
        <v>758716.19304405223</v>
      </c>
      <c r="G93" s="183"/>
      <c r="H93" s="184"/>
      <c r="I93" s="177">
        <f>+INDEX('Budget révisé'!$A$2:$AO$496,MATCH($A93,'Budget révisé'!$A$2:$A$496,0),MATCH(I$2,'Budget révisé'!$A$2:$AO$2,0))</f>
        <v>758716.19304405223</v>
      </c>
      <c r="J93" s="568"/>
      <c r="K93" s="184"/>
      <c r="L93" s="177">
        <f>-SUMIFS(BV_Data_An_Cour!$O:$O,BV_Data_An_Cour!$X:$X,"Oui",BV_Data_An_Cour!$U:$U,$B93)</f>
        <v>1538216.86</v>
      </c>
      <c r="M93" s="395"/>
      <c r="N93" s="396"/>
      <c r="O93" s="568"/>
      <c r="P93" s="184"/>
      <c r="Q93" s="177">
        <f>-SUMIFS(BV_Data_An_Prec!$O:$O,BV_Data_An_Prec!$X:$X,"Oui",BV_Data_An_Prec!$U:$U,$B93)</f>
        <v>730565.19000000006</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+INDEX('Budget original'!$A$2:$AO$496,MATCH($A94,'Budget original'!$A$2:$A$496,0),MATCH(D$2,'Budget original'!$A$2:$AO$2,0))</f>
        <v>22.770963096237939</v>
      </c>
      <c r="E94" s="179">
        <f>IF(D94=0,0,F94/D94)</f>
        <v>750</v>
      </c>
      <c r="F94" s="179">
        <f>+INDEX('Budget original'!$A$2:$AO$496,MATCH($A94,'Budget original'!$A$2:$A$496,0),MATCH(F$2,'Budget original'!$A$2:$AO$2,0))</f>
        <v>17078.222322178455</v>
      </c>
      <c r="G94" s="182">
        <f>+INDEX('Budget révisé'!$A$2:$AO$496,MATCH($A94,'Budget révisé'!$A$2:$A$496,0),MATCH(G$2,'Budget révisé'!$A$2:$AO$2,0))</f>
        <v>22.770963096237939</v>
      </c>
      <c r="H94" s="179">
        <f>IF(G94=0,0,I94/G94)</f>
        <v>750</v>
      </c>
      <c r="I94" s="179">
        <f>+INDEX('Budget révisé'!$A$2:$AO$496,MATCH($A94,'Budget révisé'!$A$2:$A$496,0),MATCH(I$2,'Budget révisé'!$A$2:$AO$2,0))</f>
        <v>17078.222322178455</v>
      </c>
      <c r="J94" s="569">
        <f>-SUMIFS(BV_Data_An_Cour!$O:$O,BV_Data_An_Cour!$U:$U,$B94,BV_Data_An_Cour!$V:$V,$C94,BV_Data_An_Cour!$W:$W,J$2)</f>
        <v>42</v>
      </c>
      <c r="K94" s="179">
        <f t="shared" ref="K94:K95" si="56">IF(J94=0,0,L94/J94)</f>
        <v>932.81976190476246</v>
      </c>
      <c r="L94" s="281">
        <f>-SUMIFS(BV_Data_An_Cour!$O:$O,BV_Data_An_Cour!$U:$U,$B94,BV_Data_An_Cour!$V:$V,$C94,BV_Data_An_Cour!$W:$W,$L2)</f>
        <v>39178.430000000022</v>
      </c>
      <c r="M94" s="182">
        <f>J94-G94</f>
        <v>19.229036903762061</v>
      </c>
      <c r="N94" s="180">
        <f>L94-I94</f>
        <v>22100.207677821567</v>
      </c>
      <c r="O94" s="569">
        <f>-SUMIFS(BV_Data_An_Prec!$O:$O,BV_Data_An_Prec!$U:$U,$B94,BV_Data_An_Prec!$V:$V,$C94,BV_Data_An_Prec!$W:$W,O$2)</f>
        <v>0</v>
      </c>
      <c r="P94" s="179">
        <f t="shared" ref="P94:P95" si="57">IF(O94=0,0,Q94/O94)</f>
        <v>0</v>
      </c>
      <c r="Q94" s="180">
        <f>-SUMIFS(BV_Data_An_Prec!$O:$O,BV_Data_An_Prec!$U:$U,$B94,BV_Data_An_Prec!$V:$V,$C94,BV_Data_An_Prec!$W:$W,$L2)</f>
        <v>0</v>
      </c>
      <c r="R94" s="182">
        <f t="shared" ref="R94:R95" si="58">J94-O94</f>
        <v>42</v>
      </c>
      <c r="S94" s="399">
        <f t="shared" ref="S94:S95" si="59">L94-Q94</f>
        <v>39178.430000000022</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+INDEX('Budget original'!$A$2:$AO$496,MATCH($A95,'Budget original'!$A$2:$A$496,0),MATCH(D$2,'Budget original'!$A$2:$AO$2,0))</f>
        <v>1.2987241309641409</v>
      </c>
      <c r="E95" s="184">
        <f t="shared" ref="E95:E104" si="60">IF(D95=0,0,F95/D95)</f>
        <v>750</v>
      </c>
      <c r="F95" s="179">
        <f>+INDEX('Budget original'!$A$2:$AO$496,MATCH($A95,'Budget original'!$A$2:$A$496,0),MATCH(F$2,'Budget original'!$A$2:$AO$2,0))</f>
        <v>974.04309822310563</v>
      </c>
      <c r="G95" s="182">
        <f>+INDEX('Budget révisé'!$A$2:$AO$496,MATCH($A95,'Budget révisé'!$A$2:$A$496,0),MATCH(G$2,'Budget révisé'!$A$2:$AO$2,0))</f>
        <v>1.2987241309641409</v>
      </c>
      <c r="H95" s="179">
        <f t="shared" ref="H95:H97" si="61">IF(G95=0,0,I95/G95)</f>
        <v>750</v>
      </c>
      <c r="I95" s="179">
        <f>+INDEX('Budget révisé'!$A$2:$AO$496,MATCH($A95,'Budget révisé'!$A$2:$A$496,0),MATCH(I$2,'Budget révisé'!$A$2:$AO$2,0))</f>
        <v>974.04309822310563</v>
      </c>
      <c r="J95" s="182">
        <f>-SUMIFS(BV_Data_An_Cour!$O:$O,BV_Data_An_Cour!$U:$U,$B95,BV_Data_An_Cour!$V:$V,$C95,BV_Data_An_Cour!$W:$W,J$2)</f>
        <v>0</v>
      </c>
      <c r="K95" s="179">
        <f t="shared" si="56"/>
        <v>0</v>
      </c>
      <c r="L95" s="554">
        <f>-SUMIFS(BV_Data_An_Cour!$O:$O,BV_Data_An_Cour!$U:$U,$B95,BV_Data_An_Cour!$V:$V,$C95,BV_Data_An_Cour!$W:$W,$L2)</f>
        <v>0</v>
      </c>
      <c r="M95" s="182"/>
      <c r="N95" s="180"/>
      <c r="O95" s="182">
        <f>-SUMIFS(BV_Data_An_Prec!$O:$O,BV_Data_An_Prec!$U:$U,$B95,BV_Data_An_Prec!$V:$V,$C95,BV_Data_An_Prec!$W:$W,O$2)</f>
        <v>33</v>
      </c>
      <c r="P95" s="179">
        <f t="shared" si="57"/>
        <v>147.62787878787924</v>
      </c>
      <c r="Q95" s="554">
        <f>-SUMIFS(BV_Data_An_Prec!$O:$O,BV_Data_An_Prec!$U:$U,$B95,BV_Data_An_Prec!$V:$V,$C95,BV_Data_An_Prec!$W:$W,$L2)</f>
        <v>4871.7200000000148</v>
      </c>
      <c r="R95" s="182">
        <f t="shared" si="58"/>
        <v>-33</v>
      </c>
      <c r="S95" s="399">
        <f t="shared" si="59"/>
        <v>-4871.7200000000148</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24.069687227202081</v>
      </c>
      <c r="E96" s="179">
        <f t="shared" si="60"/>
        <v>750</v>
      </c>
      <c r="F96" s="402">
        <f t="shared" ref="F96" si="62">+F94+F95</f>
        <v>18052.26542040156</v>
      </c>
      <c r="G96" s="403">
        <f>+G95+G94</f>
        <v>24.069687227202081</v>
      </c>
      <c r="H96" s="401">
        <f t="shared" si="61"/>
        <v>750</v>
      </c>
      <c r="I96" s="402">
        <f t="shared" ref="I96" si="63">+I94+I95</f>
        <v>18052.26542040156</v>
      </c>
      <c r="J96" s="403">
        <f t="shared" ref="J96" si="64">+J94+J95</f>
        <v>42</v>
      </c>
      <c r="K96" s="401">
        <f>IF(J96&lt;=0,0,L96/J96)</f>
        <v>932.81976190476246</v>
      </c>
      <c r="L96" s="402">
        <f>+L94+L95</f>
        <v>39178.430000000022</v>
      </c>
      <c r="M96" s="403">
        <f>J96-G96</f>
        <v>17.930312772797919</v>
      </c>
      <c r="N96" s="402">
        <f>L96-I96</f>
        <v>21126.164579598462</v>
      </c>
      <c r="O96" s="403">
        <f t="shared" ref="O96" si="65">+O94+O95</f>
        <v>33</v>
      </c>
      <c r="P96" s="401">
        <f>IF(O96&lt;=0,0,Q96/O96)</f>
        <v>147.62787878787924</v>
      </c>
      <c r="Q96" s="402">
        <f>+Q94+Q95</f>
        <v>4871.7200000000148</v>
      </c>
      <c r="R96" s="403">
        <f t="shared" ref="R96:S96" si="66">R94+R95</f>
        <v>9</v>
      </c>
      <c r="S96" s="404">
        <f t="shared" si="66"/>
        <v>34306.710000000006</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0.74493335137874916</v>
      </c>
      <c r="N97" s="332">
        <f>N96/I96</f>
        <v>1.1702777511637388</v>
      </c>
      <c r="O97" s="303"/>
      <c r="P97" s="178"/>
      <c r="Q97" s="312"/>
      <c r="R97" s="362">
        <f>R96/O96</f>
        <v>0.27272727272727271</v>
      </c>
      <c r="S97" s="333">
        <f>IF(Q96=0,0,(S96/Q96))</f>
        <v>7.0420118561821905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c r="E98" s="179"/>
      <c r="F98" s="179"/>
      <c r="G98" s="303"/>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+INDEX('Budget original'!$A$2:$AO$496,MATCH($A99,'Budget original'!$A$2:$A$496,0),MATCH(D$2,'Budget original'!$A$2:$AO$2,0))</f>
        <v>20.395892860944919</v>
      </c>
      <c r="E99" s="179">
        <f t="shared" si="60"/>
        <v>120</v>
      </c>
      <c r="F99" s="179">
        <f>+INDEX('Budget original'!$A$2:$AO$496,MATCH($A99,'Budget original'!$A$2:$A$496,0),MATCH(F$2,'Budget original'!$A$2:$AO$2,0))</f>
        <v>2447.5071433133903</v>
      </c>
      <c r="G99" s="303">
        <f>+INDEX('Budget révisé'!$A$2:$AO$496,MATCH($A99,'Budget révisé'!$A$2:$A$496,0),MATCH(G$2,'Budget révisé'!$A$2:$AO$2,0))</f>
        <v>20.395892860944919</v>
      </c>
      <c r="H99" s="179">
        <f t="shared" ref="H99:H104" si="67">IF(G99=0,0,I99/G99)</f>
        <v>120</v>
      </c>
      <c r="I99" s="179">
        <f>+INDEX('Budget révisé'!$A$2:$AO$496,MATCH($A99,'Budget révisé'!$A$2:$A$496,0),MATCH(I$2,'Budget révisé'!$A$2:$AO$2,0))</f>
        <v>2447.5071433133903</v>
      </c>
      <c r="J99" s="182">
        <f>-SUMIFS(BV_Data_An_Cour!$O:$O,BV_Data_An_Cour!$U:$U,$B99,BV_Data_An_Cour!$V:$V,$C99,BV_Data_An_Cour!$W:$W,J$2)</f>
        <v>49</v>
      </c>
      <c r="K99" s="179">
        <f t="shared" ref="K99" si="68">IF(J99=0,0,L99/J99)</f>
        <v>121.56244897959297</v>
      </c>
      <c r="L99" s="180">
        <f>-SUMIFS(BV_Data_An_Cour!$O:$O,BV_Data_An_Cour!$U:$U,$B99,BV_Data_An_Cour!$V:$V,$C99,BV_Data_An_Cour!$W:$W,L$2)</f>
        <v>5956.5600000000559</v>
      </c>
      <c r="M99" s="182">
        <f t="shared" ref="M99" si="69">J99-G99</f>
        <v>28.604107139055081</v>
      </c>
      <c r="N99" s="180">
        <f t="shared" ref="N99" si="70">L99-I99</f>
        <v>3509.0528566866656</v>
      </c>
      <c r="O99" s="182">
        <f>-SUMIFS(BV_Data_An_Prec!$O:$O,BV_Data_An_Prec!$U:$U,$B99,BV_Data_An_Prec!$V:$V,$C99,BV_Data_An_Prec!$W:$W,O$2)</f>
        <v>15</v>
      </c>
      <c r="P99" s="179">
        <f t="shared" ref="P99" si="71">IF(O99=0,0,Q99/O99)</f>
        <v>699.5359999999996</v>
      </c>
      <c r="Q99" s="180">
        <f>-SUMIFS(BV_Data_An_Prec!$O:$O,BV_Data_An_Prec!$U:$U,$B99,BV_Data_An_Prec!$V:$V,$C99,BV_Data_An_Prec!$W:$W,Q$2)</f>
        <v>10493.039999999994</v>
      </c>
      <c r="R99" s="182">
        <f t="shared" ref="R99" si="72">J99-O99</f>
        <v>34</v>
      </c>
      <c r="S99" s="399">
        <f t="shared" ref="S99" si="73">L99-Q99</f>
        <v>-4536.4799999999377</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+INDEX('Budget original'!$A$2:$AO$496,MATCH($A101,'Budget original'!$A$2:$A$496,0),MATCH(D$2,'Budget original'!$A$2:$AO$2,0))</f>
        <v>0</v>
      </c>
      <c r="E101" s="179">
        <f t="shared" si="60"/>
        <v>0</v>
      </c>
      <c r="F101" s="180">
        <f>+INDEX('Budget original'!$A$2:$AO$496,MATCH($A101,'Budget original'!$A$2:$A$496,0),MATCH(F$2,'Budget original'!$A$2:$AO$2,0))</f>
        <v>19354.280665147871</v>
      </c>
      <c r="G101" s="182">
        <f>+INDEX('Budget révisé'!$A$2:$AO$496,MATCH($A101,'Budget révisé'!$A$2:$A$496,0),MATCH(G$2,'Budget révisé'!$A$2:$AO$2,0))</f>
        <v>0</v>
      </c>
      <c r="H101" s="179">
        <f t="shared" si="67"/>
        <v>0</v>
      </c>
      <c r="I101" s="179">
        <f>+INDEX('Budget révisé'!$A$2:$AO$496,MATCH($A101,'Budget révisé'!$A$2:$A$496,0),MATCH(I$2,'Budget révisé'!$A$2:$AO$2,0))</f>
        <v>19354.280665147871</v>
      </c>
      <c r="J101" s="182"/>
      <c r="K101" s="179">
        <f>IF(J96=0,0,L101/J96)</f>
        <v>635.76023809523815</v>
      </c>
      <c r="L101" s="180">
        <f>-SUMIFS(BV_Data_An_Cour!$O:$O,BV_Data_An_Cour!$U:$U,$B101,BV_Data_An_Cour!$V:$V,$C101,BV_Data_An_Cour!$W:$W,$L2)</f>
        <v>26701.93</v>
      </c>
      <c r="M101" s="182"/>
      <c r="N101" s="180">
        <f t="shared" ref="N101:N104" si="74">L101-I101</f>
        <v>7347.649334852129</v>
      </c>
      <c r="O101" s="182"/>
      <c r="P101" s="179">
        <f>IF(O96=0,0,Q101/O96)</f>
        <v>598.23939393939395</v>
      </c>
      <c r="Q101" s="180">
        <f>-SUMIFS(BV_Data_An_Prec!$O:$O,BV_Data_An_Prec!$U:$U,$B101,BV_Data_An_Prec!$V:$V,$C101,BV_Data_An_Prec!$W:$W,$L2)</f>
        <v>19741.900000000001</v>
      </c>
      <c r="R101" s="182">
        <f t="shared" ref="R101:R103" si="75">O101-K101</f>
        <v>-635.76023809523815</v>
      </c>
      <c r="S101" s="399">
        <f t="shared" ref="S101:S104" si="76">L101-Q101</f>
        <v>6960.0299999999988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+INDEX('Budget original'!$A$2:$AO$496,MATCH($A102,'Budget original'!$A$2:$A$496,0),MATCH(D$2,'Budget original'!$A$2:$AO$2,0))</f>
        <v>0</v>
      </c>
      <c r="E102" s="179">
        <f t="shared" si="60"/>
        <v>0</v>
      </c>
      <c r="F102" s="180">
        <f>+INDEX('Budget original'!$A$2:$AO$496,MATCH($A102,'Budget original'!$A$2:$A$496,0),MATCH(F$2,'Budget original'!$A$2:$AO$2,0))</f>
        <v>21934.851420500923</v>
      </c>
      <c r="G102" s="182">
        <f>+INDEX('Budget révisé'!$A$2:$AO$496,MATCH($A102,'Budget révisé'!$A$2:$A$496,0),MATCH(G$2,'Budget révisé'!$A$2:$AO$2,0))</f>
        <v>0</v>
      </c>
      <c r="H102" s="179">
        <f t="shared" si="67"/>
        <v>0</v>
      </c>
      <c r="I102" s="179">
        <f>+INDEX('Budget révisé'!$A$2:$AO$496,MATCH($A102,'Budget révisé'!$A$2:$A$496,0),MATCH(I$2,'Budget révisé'!$A$2:$AO$2,0))</f>
        <v>21934.851420500923</v>
      </c>
      <c r="J102" s="182"/>
      <c r="K102" s="179">
        <f>IF(J96=0,0,L102/J96)</f>
        <v>951.75142857142851</v>
      </c>
      <c r="L102" s="180">
        <f>-SUMIFS(BV_Data_An_Cour!$O:$O,BV_Data_An_Cour!$U:$U,$B102,BV_Data_An_Cour!$V:$V,$C102,BV_Data_An_Cour!$W:$W,$L2)</f>
        <v>39973.56</v>
      </c>
      <c r="M102" s="182"/>
      <c r="N102" s="180">
        <f t="shared" si="74"/>
        <v>18038.708579499074</v>
      </c>
      <c r="O102" s="182"/>
      <c r="P102" s="179">
        <f>IF(O96=0,0,Q102/O96)</f>
        <v>678.84969696969699</v>
      </c>
      <c r="Q102" s="180">
        <f>-SUMIFS(BV_Data_An_Prec!$O:$O,BV_Data_An_Prec!$U:$U,$B102,BV_Data_An_Prec!$V:$V,$C102,BV_Data_An_Prec!$W:$W,$L2)</f>
        <v>22402.04</v>
      </c>
      <c r="R102" s="182">
        <f t="shared" si="75"/>
        <v>-951.75142857142851</v>
      </c>
      <c r="S102" s="399">
        <f t="shared" si="76"/>
        <v>17571.519999999997</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+INDEX('Budget original'!$A$2:$AO$496,MATCH($A103,'Budget original'!$A$2:$A$496,0),MATCH(D$2,'Budget original'!$A$2:$AO$2,0))</f>
        <v>0</v>
      </c>
      <c r="E103" s="184">
        <f t="shared" si="60"/>
        <v>0</v>
      </c>
      <c r="F103" s="180">
        <f>+INDEX('Budget original'!$A$2:$AO$496,MATCH($A103,'Budget original'!$A$2:$A$496,0),MATCH(F$2,'Budget original'!$A$2:$AO$2,0))</f>
        <v>0</v>
      </c>
      <c r="G103" s="182">
        <f>+INDEX('Budget révisé'!$A$2:$AO$496,MATCH($A103,'Budget révisé'!$A$2:$A$496,0),MATCH(G$2,'Budget révisé'!$A$2:$AO$2,0))</f>
        <v>0</v>
      </c>
      <c r="H103" s="407">
        <f t="shared" si="67"/>
        <v>0</v>
      </c>
      <c r="I103" s="179">
        <f>+INDEX('Budget révisé'!$A$2:$AO$496,MATCH($A103,'Budget révisé'!$A$2:$A$496,0),MATCH(I$2,'Budget révisé'!$A$2:$AO$2,0))</f>
        <v>0</v>
      </c>
      <c r="J103" s="182"/>
      <c r="K103" s="407">
        <f>IF(J96=0,0,L103/J96)</f>
        <v>75.814047619047614</v>
      </c>
      <c r="L103" s="180">
        <f>-SUMIFS(BV_Data_An_Cour!$O:$O,BV_Data_An_Cour!$U:$U,$B103,BV_Data_An_Cour!$V:$V,$C103,BV_Data_An_Cour!$W:$W,$L$2)</f>
        <v>3184.19</v>
      </c>
      <c r="M103" s="406"/>
      <c r="N103" s="180">
        <f t="shared" si="74"/>
        <v>3184.19</v>
      </c>
      <c r="O103" s="182"/>
      <c r="P103" s="407">
        <f>IF(O96=0,0,Q103/O96)</f>
        <v>0</v>
      </c>
      <c r="Q103" s="180">
        <f>-SUMIFS(BV_Data_An_Prec!$O:$O,BV_Data_An_Prec!$U:$U,$B103,BV_Data_An_Prec!$V:$V,$C103,BV_Data_An_Prec!$W:$W,$L$2)</f>
        <v>0</v>
      </c>
      <c r="R103" s="182">
        <f t="shared" si="75"/>
        <v>-75.814047619047614</v>
      </c>
      <c r="S103" s="399">
        <f t="shared" si="76"/>
        <v>3184.19</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24.069687227202081</v>
      </c>
      <c r="E104" s="179">
        <f t="shared" si="60"/>
        <v>1715.3996101364523</v>
      </c>
      <c r="F104" s="402">
        <f>F101+F102+F103</f>
        <v>41289.132085648795</v>
      </c>
      <c r="G104" s="403">
        <f>G96</f>
        <v>24.069687227202081</v>
      </c>
      <c r="H104" s="401">
        <f t="shared" si="67"/>
        <v>1715.3996101364523</v>
      </c>
      <c r="I104" s="402">
        <f>I101+I102+I103</f>
        <v>41289.132085648795</v>
      </c>
      <c r="J104" s="403">
        <f>J96</f>
        <v>42</v>
      </c>
      <c r="K104" s="401">
        <f>IF(J104&lt;=0,0,L104/J104)</f>
        <v>1663.3257142857142</v>
      </c>
      <c r="L104" s="402">
        <f>L101+L102+L103</f>
        <v>69859.679999999993</v>
      </c>
      <c r="M104" s="182">
        <f>J104-G104</f>
        <v>17.930312772797919</v>
      </c>
      <c r="N104" s="402">
        <f t="shared" si="74"/>
        <v>28570.547914351198</v>
      </c>
      <c r="O104" s="403">
        <f>O96</f>
        <v>33</v>
      </c>
      <c r="P104" s="401">
        <f>IF(O104&lt;=0,0,Q104/O104)</f>
        <v>1277.0890909090911</v>
      </c>
      <c r="Q104" s="402">
        <f>Q101+Q102+Q103</f>
        <v>42143.94</v>
      </c>
      <c r="R104" s="411"/>
      <c r="S104" s="404">
        <f t="shared" si="76"/>
        <v>27715.739999999991</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0.69196290818333039</v>
      </c>
      <c r="O105" s="303"/>
      <c r="P105" s="178"/>
      <c r="Q105" s="304"/>
      <c r="R105" s="325"/>
      <c r="S105" s="333">
        <f>IF(Q104=0,0,(S104/Q104))</f>
        <v>0.65764472899306492</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5"/>
        <v>Véhicules usagésTotal Dépt. Usagés</v>
      </c>
      <c r="B107" s="24" t="s">
        <v>144</v>
      </c>
      <c r="C107" s="269" t="s">
        <v>151</v>
      </c>
      <c r="D107" s="26">
        <f>D96+D99</f>
        <v>44.465580088147</v>
      </c>
      <c r="E107" s="30">
        <f>IF(D107&lt;=0,0,F107/D107)</f>
        <v>1389.5895325524957</v>
      </c>
      <c r="F107" s="28">
        <f>F96+F104+F99</f>
        <v>61788.904649363751</v>
      </c>
      <c r="G107" s="29">
        <f>G96+G99</f>
        <v>44.465580088147</v>
      </c>
      <c r="H107" s="30">
        <f>IF(G107&lt;=0,0,I107/G107)</f>
        <v>1389.5895325524957</v>
      </c>
      <c r="I107" s="28">
        <f>I96+I104+I99</f>
        <v>61788.904649363751</v>
      </c>
      <c r="J107" s="29">
        <f>J96+J99</f>
        <v>91</v>
      </c>
      <c r="K107" s="30">
        <f>IF(J107&lt;=0,0,L107/J107)</f>
        <v>1263.6776923076932</v>
      </c>
      <c r="L107" s="28">
        <f>L96+L104+L99</f>
        <v>114994.67000000007</v>
      </c>
      <c r="M107" s="29">
        <f>J107-G107</f>
        <v>46.534419911853</v>
      </c>
      <c r="N107" s="28">
        <f>L107-I107</f>
        <v>53205.76535063632</v>
      </c>
      <c r="O107" s="29">
        <f>O96+O99</f>
        <v>48</v>
      </c>
      <c r="P107" s="30">
        <f>IF(O107&lt;=0,0,Q107/O107)</f>
        <v>1198.0979166666668</v>
      </c>
      <c r="Q107" s="28">
        <f>Q96+Q104+Q99</f>
        <v>57508.700000000012</v>
      </c>
      <c r="R107" s="29">
        <f>J107-O107</f>
        <v>43</v>
      </c>
      <c r="S107" s="363">
        <f>L107-Q107</f>
        <v>57485.970000000059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1.0465267701355701</v>
      </c>
      <c r="N108" s="34">
        <f>N107/I107</f>
        <v>0.86108931130217381</v>
      </c>
      <c r="O108" s="31"/>
      <c r="P108" s="365"/>
      <c r="Q108" s="32"/>
      <c r="R108" s="33">
        <f>O107/R107</f>
        <v>1.1162790697674418</v>
      </c>
      <c r="S108" s="412">
        <f>IF(Q107=0,0,(S107/Q107))</f>
        <v>0.99960475545439298</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7">F111/D$96</f>
        <v>497.57830715421136</v>
      </c>
      <c r="F111" s="179">
        <f>+INDEX('Budget original'!$A$2:$AO$496,MATCH($A111,'Budget original'!$A$2:$A$496,0),MATCH(F$2,'Budget original'!$A$2:$AO$2,0))</f>
        <v>11976.554224242554</v>
      </c>
      <c r="G111" s="302"/>
      <c r="H111" s="197">
        <f t="shared" ref="H111:H116" si="78">I111/G$96</f>
        <v>497.57830715421136</v>
      </c>
      <c r="I111" s="179">
        <f>+INDEX('Budget révisé'!$A$2:$AO$496,MATCH($A111,'Budget révisé'!$A$2:$A$496,0),MATCH(I$2,'Budget révisé'!$A$2:$AO$2,0))</f>
        <v>11976.554224242554</v>
      </c>
      <c r="J111" s="976">
        <f>L111/L96</f>
        <v>0.50002667284013136</v>
      </c>
      <c r="K111" s="197">
        <f t="shared" ref="K111:K116" si="79">IF($J$96=0,0,L111/(J$94+J$95))</f>
        <v>466.43476190476184</v>
      </c>
      <c r="L111" s="180">
        <f>SUMIFS(BV_Data_An_Cour!$O:$O,BV_Data_An_Cour!$U:$U,$B111,BV_Data_An_Cour!$V:$V,$C111,BV_Data_An_Cour!$W:$W,$L$2)</f>
        <v>19590.259999999998</v>
      </c>
      <c r="M111" s="303"/>
      <c r="N111" s="304">
        <f t="shared" ref="N111:N121" si="80">L111-I111</f>
        <v>7613.7057757574439</v>
      </c>
      <c r="O111" s="303"/>
      <c r="P111" s="197">
        <f t="shared" ref="P111:P116" si="81">IF($J$96=0,0,Q111/(O$94+O$95))</f>
        <v>338.90696969696972</v>
      </c>
      <c r="Q111" s="180">
        <f>SUMIFS(BV_Data_An_Prec!$O:$O,BV_Data_An_Prec!$U:$U,$B111,BV_Data_An_Prec!$V:$V,$C111,BV_Data_An_Prec!$W:$W,$L$2)</f>
        <v>11183.93</v>
      </c>
      <c r="R111" s="303"/>
      <c r="S111" s="199">
        <f t="shared" ref="S111:S121" si="82">L111-Q111</f>
        <v>8406.3299999999981</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7"/>
        <v>514.61988304093563</v>
      </c>
      <c r="F112" s="177">
        <f>+INDEX('Budget original'!$A$2:$AO$496,MATCH($A112,'Budget original'!$A$2:$A$496,0),MATCH(F$2,'Budget original'!$A$2:$AO$2,0))</f>
        <v>12386.739625694638</v>
      </c>
      <c r="G112" s="309"/>
      <c r="H112" s="413">
        <f t="shared" si="78"/>
        <v>514.61988304093563</v>
      </c>
      <c r="I112" s="177">
        <f>+INDEX('Budget révisé'!$A$2:$AO$496,MATCH($A112,'Budget révisé'!$A$2:$A$496,0),MATCH(I$2,'Budget révisé'!$A$2:$AO$2,0))</f>
        <v>12386.739625694638</v>
      </c>
      <c r="J112" s="977">
        <f>L112/L104</f>
        <v>0.31948614708799128</v>
      </c>
      <c r="K112" s="413">
        <f t="shared" si="79"/>
        <v>531.40952380952388</v>
      </c>
      <c r="L112" s="281">
        <f>SUMIFS(BV_Data_An_Cour!$O:$O,BV_Data_An_Cour!$U:$U,$B112,BV_Data_An_Cour!$V:$V,$C112,BV_Data_An_Cour!$W:$W,$L$2)</f>
        <v>22319.200000000001</v>
      </c>
      <c r="M112" s="310"/>
      <c r="N112" s="311">
        <f t="shared" si="80"/>
        <v>9932.4603743053631</v>
      </c>
      <c r="O112" s="310"/>
      <c r="P112" s="413">
        <f t="shared" si="81"/>
        <v>215.64272727272729</v>
      </c>
      <c r="Q112" s="180">
        <f>SUMIFS(BV_Data_An_Prec!$O:$O,BV_Data_An_Prec!$U:$U,$B112,BV_Data_An_Prec!$V:$V,$C112,BV_Data_An_Prec!$W:$W,$L$2)</f>
        <v>7116.21</v>
      </c>
      <c r="R112" s="310"/>
      <c r="S112" s="202">
        <f t="shared" si="82"/>
        <v>15202.990000000002</v>
      </c>
      <c r="T112" s="222"/>
      <c r="U112" s="222"/>
      <c r="V112" s="222"/>
      <c r="W112" s="222">
        <f>L104*0.25</f>
        <v>17464.919999999998</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7"/>
        <v>54</v>
      </c>
      <c r="F113" s="179">
        <f>+INDEX('Budget original'!$A$2:$AO$496,MATCH($A113,'Budget original'!$A$2:$A$496,0),MATCH(F$2,'Budget original'!$A$2:$AO$2,0))</f>
        <v>1299.7631102689124</v>
      </c>
      <c r="G113" s="302"/>
      <c r="H113" s="197">
        <f t="shared" si="78"/>
        <v>54</v>
      </c>
      <c r="I113" s="179">
        <f>+INDEX('Budget révisé'!$A$2:$AO$496,MATCH($A113,'Budget révisé'!$A$2:$A$496,0),MATCH(I$2,'Budget révisé'!$A$2:$AO$2,0))</f>
        <v>1299.7631102689124</v>
      </c>
      <c r="J113" s="303"/>
      <c r="K113" s="197">
        <f t="shared" si="79"/>
        <v>52.679285714285719</v>
      </c>
      <c r="L113" s="181">
        <f>SUMIFS(BV_Data_An_Cour!$O:$O,BV_Data_An_Cour!$U:$U,$B113,BV_Data_An_Cour!$V:$V,$C113,BV_Data_An_Cour!$W:$W,$L$2)</f>
        <v>2212.5300000000002</v>
      </c>
      <c r="M113" s="303"/>
      <c r="N113" s="304">
        <f t="shared" si="80"/>
        <v>912.76688973108776</v>
      </c>
      <c r="O113" s="303"/>
      <c r="P113" s="197">
        <f t="shared" si="81"/>
        <v>6.0606060606060606E-4</v>
      </c>
      <c r="Q113" s="181">
        <f>SUMIFS(BV_Data_An_Prec!$O:$O,BV_Data_An_Prec!$U:$U,$B113,BV_Data_An_Prec!$V:$V,$C113,BV_Data_An_Prec!$W:$W,$L$2)</f>
        <v>0.02</v>
      </c>
      <c r="R113" s="303"/>
      <c r="S113" s="199">
        <f t="shared" si="82"/>
        <v>2212.5100000000002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7"/>
        <v>105</v>
      </c>
      <c r="F114" s="179">
        <f>+INDEX('Budget original'!$A$2:$AO$496,MATCH($A114,'Budget original'!$A$2:$A$496,0),MATCH(F$2,'Budget original'!$A$2:$AO$2,0))</f>
        <v>2527.3171588562186</v>
      </c>
      <c r="G114" s="302"/>
      <c r="H114" s="197">
        <f t="shared" si="78"/>
        <v>105</v>
      </c>
      <c r="I114" s="179">
        <f>+INDEX('Budget révisé'!$A$2:$AO$496,MATCH($A114,'Budget révisé'!$A$2:$A$496,0),MATCH(I$2,'Budget révisé'!$A$2:$AO$2,0))</f>
        <v>2527.3171588562186</v>
      </c>
      <c r="J114" s="303"/>
      <c r="K114" s="197">
        <f t="shared" si="79"/>
        <v>0</v>
      </c>
      <c r="L114" s="180">
        <f>SUMIFS(BV_Data_An_Cour!$O:$O,BV_Data_An_Cour!$U:$U,$B114,BV_Data_An_Cour!$V:$V,$C114,BV_Data_An_Cour!$W:$W,$L$2)</f>
        <v>0</v>
      </c>
      <c r="M114" s="303"/>
      <c r="N114" s="304">
        <f t="shared" si="80"/>
        <v>-2527.3171588562186</v>
      </c>
      <c r="O114" s="303"/>
      <c r="P114" s="197">
        <f t="shared" si="81"/>
        <v>0</v>
      </c>
      <c r="Q114" s="180">
        <f>SUMIFS(BV_Data_An_Prec!$O:$O,BV_Data_An_Prec!$U:$U,$B114,BV_Data_An_Prec!$V:$V,$C114,BV_Data_An_Prec!$W:$W,$L$2)</f>
        <v>0</v>
      </c>
      <c r="R114" s="303"/>
      <c r="S114" s="199">
        <f t="shared" si="82"/>
        <v>0</v>
      </c>
      <c r="T114" s="222"/>
      <c r="U114" s="222"/>
      <c r="V114" s="222"/>
      <c r="W114" s="979">
        <f>L112-W112</f>
        <v>4854.2800000000025</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7"/>
        <v>61</v>
      </c>
      <c r="F115" s="177">
        <f>+INDEX('Budget original'!$A$2:$AO$496,MATCH($A115,'Budget original'!$A$2:$A$496,0),MATCH(F$2,'Budget original'!$A$2:$AO$2,0))</f>
        <v>1468.2509208593269</v>
      </c>
      <c r="G115" s="309"/>
      <c r="H115" s="413">
        <f t="shared" si="78"/>
        <v>61</v>
      </c>
      <c r="I115" s="177">
        <f>+INDEX('Budget révisé'!$A$2:$AO$496,MATCH($A115,'Budget révisé'!$A$2:$A$496,0),MATCH(I$2,'Budget révisé'!$A$2:$AO$2,0))</f>
        <v>1468.2509208593269</v>
      </c>
      <c r="J115" s="310"/>
      <c r="K115" s="413">
        <f t="shared" si="79"/>
        <v>67.077380952380949</v>
      </c>
      <c r="L115" s="405">
        <f>SUMIFS(BV_Data_An_Cour!$O:$O,BV_Data_An_Cour!$U:$U,$B115,BV_Data_An_Cour!$V:$V,$C115,BV_Data_An_Cour!$W:$W,$L$2)</f>
        <v>2817.25</v>
      </c>
      <c r="M115" s="310"/>
      <c r="N115" s="311">
        <f t="shared" si="80"/>
        <v>1348.9990791406731</v>
      </c>
      <c r="O115" s="310"/>
      <c r="P115" s="413">
        <f t="shared" si="81"/>
        <v>42.99969696969697</v>
      </c>
      <c r="Q115" s="405">
        <f>SUMIFS(BV_Data_An_Prec!$O:$O,BV_Data_An_Prec!$U:$U,$B115,BV_Data_An_Prec!$V:$V,$C115,BV_Data_An_Prec!$W:$W,$L$2)</f>
        <v>1418.99</v>
      </c>
      <c r="R115" s="310"/>
      <c r="S115" s="202">
        <f t="shared" si="82"/>
        <v>1398.26</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5"/>
        <v>Véhicules usagésPublicité 1</v>
      </c>
      <c r="B116" s="24" t="s">
        <v>144</v>
      </c>
      <c r="C116" s="264" t="s">
        <v>108</v>
      </c>
      <c r="D116" s="301"/>
      <c r="E116" s="197">
        <f t="shared" si="77"/>
        <v>27.410526315789454</v>
      </c>
      <c r="F116" s="179">
        <f>+INDEX('Budget original'!$A$2:$AO$496,MATCH($A116,'Budget original'!$A$2:$A$496,0),MATCH(F$2,'Budget original'!$A$2:$AO$2,0))</f>
        <v>659.76279515404394</v>
      </c>
      <c r="G116" s="302"/>
      <c r="H116" s="197">
        <f t="shared" si="78"/>
        <v>27.410526315789454</v>
      </c>
      <c r="I116" s="179">
        <f>+INDEX('Budget révisé'!$A$2:$AO$496,MATCH($A116,'Budget révisé'!$A$2:$A$496,0),MATCH(I$2,'Budget révisé'!$A$2:$AO$2,0))</f>
        <v>659.76279515404394</v>
      </c>
      <c r="J116" s="303"/>
      <c r="K116" s="197">
        <f t="shared" si="79"/>
        <v>79.616428571428585</v>
      </c>
      <c r="L116" s="180">
        <f>SUMIFS(BV_Data_An_Cour!$O:$O,BV_Data_An_Cour!$U:$U,$B116,BV_Data_An_Cour!$V:$V,$C116,BV_Data_An_Cour!$W:$W,$L$2)</f>
        <v>3343.8900000000003</v>
      </c>
      <c r="M116" s="303"/>
      <c r="N116" s="304">
        <f t="shared" si="80"/>
        <v>2684.1272048459564</v>
      </c>
      <c r="O116" s="303"/>
      <c r="P116" s="197">
        <f t="shared" si="81"/>
        <v>180.30303030303031</v>
      </c>
      <c r="Q116" s="180">
        <f>SUMIFS(BV_Data_An_Prec!$O:$O,BV_Data_An_Prec!$U:$U,$B116,BV_Data_An_Prec!$V:$V,$C116,BV_Data_An_Prec!$W:$W,$L$2)</f>
        <v>5950</v>
      </c>
      <c r="R116" s="303"/>
      <c r="S116" s="199">
        <f t="shared" si="82"/>
        <v>-2606.1099999999997</v>
      </c>
      <c r="T116" s="222"/>
      <c r="U116" s="222"/>
      <c r="V116" s="222"/>
      <c r="W116" s="514" t="s">
        <v>2925</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3">+B117&amp;C117</f>
        <v>Véhicules usagésIntérêt de gros</v>
      </c>
      <c r="B117" s="24" t="s">
        <v>144</v>
      </c>
      <c r="C117" s="264" t="s">
        <v>109</v>
      </c>
      <c r="D117" s="301"/>
      <c r="E117" s="197">
        <f t="shared" ref="E117:E119" si="84">F117/D$96</f>
        <v>49.005918486367769</v>
      </c>
      <c r="F117" s="179">
        <f>+INDEX('Budget original'!$A$2:$AO$496,MATCH($A117,'Budget original'!$A$2:$A$496,0),MATCH(F$2,'Budget original'!$A$2:$AO$2,0))</f>
        <v>1179.5571302486326</v>
      </c>
      <c r="G117" s="302"/>
      <c r="H117" s="197">
        <f t="shared" ref="H117:H119" si="85">I117/G$96</f>
        <v>49.005918486367769</v>
      </c>
      <c r="I117" s="179">
        <f>+INDEX('Budget révisé'!$A$2:$AO$496,MATCH($A117,'Budget révisé'!$A$2:$A$496,0),MATCH(I$2,'Budget révisé'!$A$2:$AO$2,0))</f>
        <v>1179.5571302486326</v>
      </c>
      <c r="J117" s="303"/>
      <c r="K117" s="197">
        <f t="shared" ref="K117:K119" si="86">IF($J$96=0,0,L117/(J$94+J$95))</f>
        <v>14.973571428571429</v>
      </c>
      <c r="L117" s="180">
        <f>SUMIFS(BV_Data_An_Cour!$O:$O,BV_Data_An_Cour!$U:$U,$B117,BV_Data_An_Cour!$V:$V,$C117,BV_Data_An_Cour!$W:$W,$L$2)</f>
        <v>628.89</v>
      </c>
      <c r="M117" s="303"/>
      <c r="N117" s="304">
        <f t="shared" ref="N117:N119" si="87">L117-I117</f>
        <v>-550.66713024863259</v>
      </c>
      <c r="O117" s="303"/>
      <c r="P117" s="197">
        <f t="shared" ref="P117:P119" si="88">IF($J$96=0,0,Q117/(O$94+O$95))</f>
        <v>3.9672727272727268</v>
      </c>
      <c r="Q117" s="180">
        <f>SUMIFS(BV_Data_An_Prec!$O:$O,BV_Data_An_Prec!$U:$U,$B117,BV_Data_An_Prec!$V:$V,$C117,BV_Data_An_Prec!$W:$W,$L$2)</f>
        <v>130.91999999999999</v>
      </c>
      <c r="R117" s="303"/>
      <c r="S117" s="199">
        <f t="shared" ref="S117:S119" si="89">L117-Q117</f>
        <v>497.97</v>
      </c>
      <c r="T117" s="222"/>
      <c r="U117" s="222"/>
      <c r="V117" s="222"/>
      <c r="W117" s="979">
        <f>W114+W35</f>
        <v>7333.5400000000009</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3"/>
        <v>Véhicules usagés[...]</v>
      </c>
      <c r="B118" s="24" t="s">
        <v>144</v>
      </c>
      <c r="C118" s="264" t="s">
        <v>42</v>
      </c>
      <c r="D118" s="301"/>
      <c r="E118" s="197">
        <f t="shared" si="84"/>
        <v>0</v>
      </c>
      <c r="F118" s="179">
        <f>+INDEX('Budget original'!$A$2:$AO$496,MATCH($A118,'Budget original'!$A$2:$A$496,0),MATCH(F$2,'Budget original'!$A$2:$AO$2,0))</f>
        <v>0</v>
      </c>
      <c r="G118" s="302"/>
      <c r="H118" s="197">
        <f t="shared" si="85"/>
        <v>0</v>
      </c>
      <c r="I118" s="179">
        <f>+INDEX('Budget révisé'!$A$2:$AO$496,MATCH($A118,'Budget révisé'!$A$2:$A$496,0),MATCH(I$2,'Budget révisé'!$A$2:$AO$2,0))</f>
        <v>0</v>
      </c>
      <c r="J118" s="303"/>
      <c r="K118" s="197">
        <f t="shared" si="86"/>
        <v>0</v>
      </c>
      <c r="L118" s="180">
        <f>SUMIFS(BV_Data_An_Cour!$O:$O,BV_Data_An_Cour!$U:$U,$B118,BV_Data_An_Cour!$V:$V,$C118,BV_Data_An_Cour!$W:$W,$L$2)</f>
        <v>0</v>
      </c>
      <c r="M118" s="303"/>
      <c r="N118" s="304">
        <f t="shared" si="87"/>
        <v>0</v>
      </c>
      <c r="O118" s="303"/>
      <c r="P118" s="197">
        <f t="shared" si="88"/>
        <v>0</v>
      </c>
      <c r="Q118" s="180">
        <f>SUMIFS(BV_Data_An_Prec!$O:$O,BV_Data_An_Prec!$U:$U,$B118,BV_Data_An_Prec!$V:$V,$C118,BV_Data_An_Prec!$W:$W,$L$2)</f>
        <v>0</v>
      </c>
      <c r="R118" s="303"/>
      <c r="S118" s="199">
        <f t="shared" si="89"/>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3"/>
        <v>Véhicules usagés[...]</v>
      </c>
      <c r="B119" s="24" t="s">
        <v>144</v>
      </c>
      <c r="C119" s="264" t="s">
        <v>42</v>
      </c>
      <c r="D119" s="301"/>
      <c r="E119" s="197">
        <f t="shared" si="84"/>
        <v>0</v>
      </c>
      <c r="F119" s="179">
        <f>+INDEX('Budget original'!$A$2:$AO$496,MATCH($A119,'Budget original'!$A$2:$A$496,0),MATCH(F$2,'Budget original'!$A$2:$AO$2,0))</f>
        <v>0</v>
      </c>
      <c r="G119" s="302"/>
      <c r="H119" s="197">
        <f t="shared" si="85"/>
        <v>0</v>
      </c>
      <c r="I119" s="179">
        <f>+INDEX('Budget révisé'!$A$2:$AO$496,MATCH($A119,'Budget révisé'!$A$2:$A$496,0),MATCH(I$2,'Budget révisé'!$A$2:$AO$2,0))</f>
        <v>0</v>
      </c>
      <c r="J119" s="303"/>
      <c r="K119" s="197">
        <f t="shared" si="86"/>
        <v>0</v>
      </c>
      <c r="L119" s="180">
        <f>SUMIFS(BV_Data_An_Cour!$O:$O,BV_Data_An_Cour!$U:$U,$B119,BV_Data_An_Cour!$V:$V,$C119,BV_Data_An_Cour!$W:$W,$L$2)</f>
        <v>0</v>
      </c>
      <c r="M119" s="303"/>
      <c r="N119" s="304">
        <f t="shared" si="87"/>
        <v>0</v>
      </c>
      <c r="O119" s="303"/>
      <c r="P119" s="197">
        <f t="shared" si="88"/>
        <v>0</v>
      </c>
      <c r="Q119" s="180">
        <f>SUMIFS(BV_Data_An_Prec!$O:$O,BV_Data_An_Prec!$U:$U,$B119,BV_Data_An_Prec!$V:$V,$C119,BV_Data_An_Prec!$W:$W,$L$2)</f>
        <v>0</v>
      </c>
      <c r="R119" s="303"/>
      <c r="S119" s="199">
        <f t="shared" si="89"/>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3"/>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80"/>
        <v>0</v>
      </c>
      <c r="O120" s="303"/>
      <c r="P120" s="197">
        <f>IF($J$96=0,0,Q120/(O$94+O$95))</f>
        <v>0</v>
      </c>
      <c r="Q120" s="180">
        <f>SUMIFS(BV_Data_An_Prec!$O:$O,BV_Data_An_Prec!$U:$U,$B120,BV_Data_An_Prec!$V:$V,$C120,BV_Data_An_Prec!$W:$W,$L$2)</f>
        <v>0</v>
      </c>
      <c r="R120" s="303"/>
      <c r="S120" s="199">
        <f t="shared" si="8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0.50976700661821273</v>
      </c>
      <c r="F121" s="41">
        <f>SUM(F111:F120)</f>
        <v>31497.944965324325</v>
      </c>
      <c r="G121" s="42" t="s">
        <v>111</v>
      </c>
      <c r="H121" s="40">
        <f>I121/I$107</f>
        <v>0.50976700661821273</v>
      </c>
      <c r="I121" s="41">
        <f>SUM(I111:I120)</f>
        <v>31497.944965324325</v>
      </c>
      <c r="J121" s="42" t="s">
        <v>111</v>
      </c>
      <c r="K121" s="40">
        <f>L121/L$107</f>
        <v>0.44273373713755571</v>
      </c>
      <c r="L121" s="41">
        <f>SUM(L111:L120)</f>
        <v>50912.02</v>
      </c>
      <c r="M121" s="44"/>
      <c r="N121" s="41">
        <f t="shared" si="80"/>
        <v>19414.075034675672</v>
      </c>
      <c r="O121" s="42" t="s">
        <v>111</v>
      </c>
      <c r="P121" s="40">
        <f>Q121/Q$107</f>
        <v>0.44862899004846213</v>
      </c>
      <c r="Q121" s="41">
        <f>SUM(Q111:Q120)</f>
        <v>25800.07</v>
      </c>
      <c r="R121" s="44"/>
      <c r="S121" s="316">
        <f t="shared" si="82"/>
        <v>25111.949999999997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5"/>
        <v>Véhicules usagésSalaires cadres</v>
      </c>
      <c r="B122" s="24" t="s">
        <v>144</v>
      </c>
      <c r="C122" s="305" t="s">
        <v>112</v>
      </c>
      <c r="D122" s="178"/>
      <c r="E122" s="178"/>
      <c r="F122" s="179">
        <f>+INDEX('Budget original'!$A$2:$AO$496,MATCH($A122,'Budget original'!$A$2:$A$496,0),MATCH(F$2,'Budget original'!$A$2:$AO$2,0))</f>
        <v>6734.2802681992334</v>
      </c>
      <c r="G122" s="303"/>
      <c r="H122" s="178"/>
      <c r="I122" s="179">
        <f>+INDEX('Budget révisé'!$A$2:$AO$496,MATCH($A122,'Budget révisé'!$A$2:$A$496,0),MATCH(I$2,'Budget révisé'!$A$2:$AO$2,0))</f>
        <v>6734.2802681992334</v>
      </c>
      <c r="J122" s="303"/>
      <c r="K122" s="178"/>
      <c r="L122" s="281">
        <f>SUMIFS(BV_Data_An_Cour!$O:$O,BV_Data_An_Cour!$U:$U,$B122,BV_Data_An_Cour!$V:$V,$C122,BV_Data_An_Cour!$W:$W,$L$2)</f>
        <v>12452.87</v>
      </c>
      <c r="M122" s="303"/>
      <c r="N122" s="304">
        <f t="shared" ref="N122:N133" si="90">L122-I122</f>
        <v>5718.5897318007674</v>
      </c>
      <c r="O122" s="303"/>
      <c r="P122" s="178"/>
      <c r="Q122" s="180">
        <f>SUMIFS(BV_Data_An_Prec!$O:$O,BV_Data_An_Prec!$U:$U,$B122,BV_Data_An_Prec!$V:$V,$C122,BV_Data_An_Prec!$W:$W,$L$2)</f>
        <v>10140.299999999999</v>
      </c>
      <c r="R122" s="303"/>
      <c r="S122" s="199">
        <f t="shared" ref="S122:S133" si="91">L122-Q122</f>
        <v>2312.5700000000015</v>
      </c>
      <c r="T122" s="233"/>
      <c r="U122" s="233"/>
      <c r="V122" s="222" t="s">
        <v>2877</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5"/>
        <v>Véhicules usagésSalaires commis</v>
      </c>
      <c r="B123" s="24" t="s">
        <v>144</v>
      </c>
      <c r="C123" s="306" t="s">
        <v>113</v>
      </c>
      <c r="D123" s="301"/>
      <c r="E123" s="178"/>
      <c r="F123" s="177">
        <f>+INDEX('Budget original'!$A$2:$AO$496,MATCH($A123,'Budget original'!$A$2:$A$496,0),MATCH(F$2,'Budget original'!$A$2:$AO$2,0))</f>
        <v>2330.0534588199239</v>
      </c>
      <c r="G123" s="302"/>
      <c r="H123" s="178"/>
      <c r="I123" s="177">
        <f>+INDEX('Budget révisé'!$A$2:$AO$496,MATCH($A123,'Budget révisé'!$A$2:$A$496,0),MATCH(I$2,'Budget révisé'!$A$2:$AO$2,0))</f>
        <v>2330.0534588199239</v>
      </c>
      <c r="J123" s="303"/>
      <c r="K123" s="178"/>
      <c r="L123" s="177">
        <f>SUMIFS(BV_Data_An_Cour!$O:$O,BV_Data_An_Cour!$U:$U,$B123,BV_Data_An_Cour!$V:$V,$C123,BV_Data_An_Cour!$W:$W,$L$2)</f>
        <v>2078.0100000000002</v>
      </c>
      <c r="M123" s="303"/>
      <c r="N123" s="304">
        <f t="shared" si="90"/>
        <v>-252.04345881992367</v>
      </c>
      <c r="O123" s="303"/>
      <c r="P123" s="178"/>
      <c r="Q123" s="177">
        <f>SUMIFS(BV_Data_An_Prec!$O:$O,BV_Data_An_Prec!$U:$U,$B123,BV_Data_An_Prec!$V:$V,$C123,BV_Data_An_Prec!$W:$W,$L$2)</f>
        <v>2559.4</v>
      </c>
      <c r="R123" s="303"/>
      <c r="S123" s="199">
        <f t="shared" si="91"/>
        <v>-481.38999999999987</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5"/>
        <v>Véhicules usagésSalaires autres</v>
      </c>
      <c r="B124" s="24" t="s">
        <v>144</v>
      </c>
      <c r="C124" s="305" t="s">
        <v>114</v>
      </c>
      <c r="D124" s="392"/>
      <c r="E124" s="352"/>
      <c r="F124" s="179">
        <f>+INDEX('Budget original'!$A$2:$AO$496,MATCH($A124,'Budget original'!$A$2:$A$496,0),MATCH(F$2,'Budget original'!$A$2:$AO$2,0))</f>
        <v>7347.0356950068963</v>
      </c>
      <c r="G124" s="393"/>
      <c r="H124" s="352"/>
      <c r="I124" s="179">
        <f>+INDEX('Budget révisé'!$A$2:$AO$496,MATCH($A124,'Budget révisé'!$A$2:$A$496,0),MATCH(I$2,'Budget révisé'!$A$2:$AO$2,0))</f>
        <v>7347.0356950068963</v>
      </c>
      <c r="J124" s="368"/>
      <c r="K124" s="352"/>
      <c r="L124" s="281">
        <f>SUMIFS(BV_Data_An_Cour!$O:$O,BV_Data_An_Cour!$U:$U,$B124,BV_Data_An_Cour!$V:$V,$C124,BV_Data_An_Cour!$W:$W,$L$2)</f>
        <v>6845.89</v>
      </c>
      <c r="M124" s="368"/>
      <c r="N124" s="356">
        <f t="shared" si="90"/>
        <v>-501.14569500689595</v>
      </c>
      <c r="O124" s="368"/>
      <c r="P124" s="352"/>
      <c r="Q124" s="180">
        <f>SUMIFS(BV_Data_An_Prec!$O:$O,BV_Data_An_Prec!$U:$U,$B124,BV_Data_An_Prec!$V:$V,$C124,BV_Data_An_Prec!$W:$W,$L$2)</f>
        <v>10989.9</v>
      </c>
      <c r="R124" s="368"/>
      <c r="S124" s="201">
        <f t="shared" si="91"/>
        <v>-4144.0099999999993</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90"/>
        <v>0</v>
      </c>
      <c r="O125" s="303"/>
      <c r="P125" s="178"/>
      <c r="Q125" s="180">
        <f>SUMIFS(BV_Data_An_Prec!$O:$O,BV_Data_An_Prec!$U:$U,$B125,BV_Data_An_Prec!$V:$V,$C125,BV_Data_An_Prec!$W:$W,$L$2)</f>
        <v>0</v>
      </c>
      <c r="R125" s="303"/>
      <c r="S125" s="199">
        <f t="shared" si="91"/>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2">+B126&amp;C126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3">L126-I126</f>
        <v>0</v>
      </c>
      <c r="O126" s="303"/>
      <c r="P126" s="178"/>
      <c r="Q126" s="180">
        <f>SUMIFS(BV_Data_An_Prec!$O:$O,BV_Data_An_Prec!$U:$U,$B126,BV_Data_An_Prec!$V:$V,$C126,BV_Data_An_Prec!$W:$W,$L$2)</f>
        <v>0</v>
      </c>
      <c r="R126" s="303"/>
      <c r="S126" s="199">
        <f t="shared" ref="S126:S129" si="94">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2"/>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3"/>
        <v>0</v>
      </c>
      <c r="O127" s="303"/>
      <c r="P127" s="178"/>
      <c r="Q127" s="180">
        <f>SUMIFS(BV_Data_An_Prec!$O:$O,BV_Data_An_Prec!$U:$U,$B127,BV_Data_An_Prec!$V:$V,$C127,BV_Data_An_Prec!$W:$W,$L$2)</f>
        <v>0</v>
      </c>
      <c r="R127" s="303"/>
      <c r="S127" s="199">
        <f t="shared" si="94"/>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2"/>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3"/>
        <v>0</v>
      </c>
      <c r="O128" s="303"/>
      <c r="P128" s="178"/>
      <c r="Q128" s="180">
        <f>SUMIFS(BV_Data_An_Prec!$O:$O,BV_Data_An_Prec!$U:$U,$B128,BV_Data_An_Prec!$V:$V,$C128,BV_Data_An_Prec!$W:$W,$L$2)</f>
        <v>0</v>
      </c>
      <c r="R128" s="303"/>
      <c r="S128" s="199">
        <f t="shared" si="94"/>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+INDEX('Budget original'!$A$2:$AO$496,MATCH($A129,'Budget original'!$A$2:$A$496,0),MATCH(F$2,'Budget original'!$A$2:$AO$2,0))</f>
        <v>4892.9595926355896</v>
      </c>
      <c r="G129" s="302"/>
      <c r="H129" s="178"/>
      <c r="I129" s="179">
        <f>+INDEX('Budget révisé'!$A$2:$AO$496,MATCH($A129,'Budget révisé'!$A$2:$A$496,0),MATCH(I$2,'Budget révisé'!$A$2:$AO$2,0))</f>
        <v>4892.9595926355896</v>
      </c>
      <c r="J129" s="303"/>
      <c r="K129" s="178"/>
      <c r="L129" s="180">
        <f>SUMIFS(BV_Data_An_Cour!$O:$O,BV_Data_An_Cour!$U:$U,$B129,BV_Data_An_Cour!$V:$V,$C129,BV_Data_An_Cour!$W:$W,$L$2)</f>
        <v>4893.1099999999997</v>
      </c>
      <c r="M129" s="303"/>
      <c r="N129" s="304">
        <f t="shared" si="93"/>
        <v>0.1504073644100572</v>
      </c>
      <c r="O129" s="303"/>
      <c r="P129" s="178"/>
      <c r="Q129" s="180">
        <f>SUMIFS(BV_Data_An_Prec!$O:$O,BV_Data_An_Prec!$U:$U,$B129,BV_Data_An_Prec!$V:$V,$C129,BV_Data_An_Prec!$W:$W,$L$2)</f>
        <v>5752.56</v>
      </c>
      <c r="R129" s="303"/>
      <c r="S129" s="199">
        <f t="shared" si="94"/>
        <v>-859.45000000000073</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+INDEX('Budget original'!$A$2:$AO$496,MATCH($A130,'Budget original'!$A$2:$A$496,0),MATCH(F$2,'Budget original'!$A$2:$AO$2,0))</f>
        <v>4892.9595926355896</v>
      </c>
      <c r="G130" s="287"/>
      <c r="H130" s="286"/>
      <c r="I130" s="633">
        <f>+INDEX('Budget révisé'!$A$2:$AO$496,MATCH($A130,'Budget révisé'!$A$2:$A$496,0),MATCH(I$2,'Budget révisé'!$A$2:$AO$2,0))</f>
        <v>4892.9595926355896</v>
      </c>
      <c r="J130" s="288"/>
      <c r="K130" s="286"/>
      <c r="L130" s="634">
        <f>SUMIFS(BV_Data_An_Cour!$O:$O,BV_Data_An_Cour!$U:$U,$B130,BV_Data_An_Cour!$V:$V,$C130,BV_Data_An_Cour!$W:$W,$L$2)</f>
        <v>6076.04</v>
      </c>
      <c r="M130" s="288"/>
      <c r="N130" s="356">
        <f t="shared" si="90"/>
        <v>1183.0804073644103</v>
      </c>
      <c r="O130" s="288"/>
      <c r="P130" s="286"/>
      <c r="Q130" s="634">
        <f>SUMIFS(BV_Data_An_Prec!$O:$O,BV_Data_An_Prec!$U:$U,$B130,BV_Data_An_Prec!$V:$V,$C130,BV_Data_An_Prec!$W:$W,$L$2)</f>
        <v>5933.28</v>
      </c>
      <c r="R130" s="288"/>
      <c r="S130" s="290">
        <f t="shared" si="91"/>
        <v>142.76000000000022</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+INDEX('Budget original'!$A$2:$AO$496,MATCH($A131,'Budget original'!$A$2:$A$496,0),MATCH(F$2,'Budget original'!$A$2:$AO$2,0))</f>
        <v>3506.6210413888389</v>
      </c>
      <c r="G131" s="283"/>
      <c r="H131" s="233"/>
      <c r="I131" s="231">
        <f>+INDEX('Budget révisé'!$A$2:$AO$496,MATCH($A131,'Budget révisé'!$A$2:$A$496,0),MATCH(I$2,'Budget révisé'!$A$2:$AO$2,0))</f>
        <v>3506.6210413888389</v>
      </c>
      <c r="J131" s="227"/>
      <c r="K131" s="233"/>
      <c r="L131" s="281">
        <f>SUMIFS(BV_Data_An_Cour!$O:$O,BV_Data_An_Cour!$U:$U,$B131,BV_Data_An_Cour!$V:$V,$C131,BV_Data_An_Cour!$W:$W,$L$2)</f>
        <v>3999.95</v>
      </c>
      <c r="M131" s="227"/>
      <c r="N131" s="304">
        <f t="shared" si="90"/>
        <v>493.32895861116094</v>
      </c>
      <c r="O131" s="227"/>
      <c r="P131" s="233"/>
      <c r="Q131" s="281">
        <f>SUMIFS(BV_Data_An_Prec!$O:$O,BV_Data_An_Prec!$U:$U,$B131,BV_Data_An_Prec!$V:$V,$C131,BV_Data_An_Prec!$W:$W,$L$2)</f>
        <v>3708.77</v>
      </c>
      <c r="R131" s="227"/>
      <c r="S131" s="284">
        <f t="shared" si="91"/>
        <v>291.17999999999984</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+INDEX('Budget original'!$A$2:$AO$496,MATCH($A132,'Budget original'!$A$2:$A$496,0),MATCH(F$2,'Budget original'!$A$2:$AO$2,0))</f>
        <v>815.49326543926497</v>
      </c>
      <c r="G132" s="283"/>
      <c r="H132" s="233"/>
      <c r="I132" s="231">
        <f>+INDEX('Budget révisé'!$A$2:$AO$496,MATCH($A132,'Budget révisé'!$A$2:$A$496,0),MATCH(I$2,'Budget révisé'!$A$2:$AO$2,0))</f>
        <v>815.49326543926497</v>
      </c>
      <c r="J132" s="227"/>
      <c r="K132" s="233"/>
      <c r="L132" s="281">
        <f>SUMIFS(BV_Data_An_Cour!$O:$O,BV_Data_An_Cour!$U:$U,$B132,BV_Data_An_Cour!$V:$V,$C132,BV_Data_An_Cour!$W:$W,$L$2)</f>
        <v>643.29999999999995</v>
      </c>
      <c r="M132" s="227"/>
      <c r="N132" s="304">
        <f t="shared" si="90"/>
        <v>-172.19326543926502</v>
      </c>
      <c r="O132" s="227"/>
      <c r="P132" s="233"/>
      <c r="Q132" s="281">
        <f>SUMIFS(BV_Data_An_Prec!$O:$O,BV_Data_An_Prec!$U:$U,$B132,BV_Data_An_Prec!$V:$V,$C132,BV_Data_An_Prec!$W:$W,$L$2)</f>
        <v>1484.04</v>
      </c>
      <c r="R132" s="227"/>
      <c r="S132" s="284">
        <f t="shared" si="91"/>
        <v>-840.74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90"/>
        <v>0</v>
      </c>
      <c r="O133" s="295"/>
      <c r="P133" s="293"/>
      <c r="Q133" s="281">
        <f>SUMIFS(BV_Data_An_Prec!$O:$O,BV_Data_An_Prec!$U:$U,$B133,BV_Data_An_Prec!$V:$V,$C133,BV_Data_An_Prec!$W:$W,$L$2)</f>
        <v>0</v>
      </c>
      <c r="R133" s="295"/>
      <c r="S133" s="297">
        <f t="shared" si="91"/>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0.49393014955217529</v>
      </c>
      <c r="F134" s="41">
        <f>+SUM(F122:F133)</f>
        <v>30519.402914125338</v>
      </c>
      <c r="G134" s="42" t="s">
        <v>111</v>
      </c>
      <c r="H134" s="40">
        <f>I134/I$107</f>
        <v>0.49393014955217529</v>
      </c>
      <c r="I134" s="41">
        <f>+SUM(I122:I133)</f>
        <v>30519.402914125338</v>
      </c>
      <c r="J134" s="42" t="s">
        <v>111</v>
      </c>
      <c r="K134" s="40">
        <f>L134/L$107</f>
        <v>0.32165986475720992</v>
      </c>
      <c r="L134" s="41">
        <f>SUM(L122:L133)</f>
        <v>36989.170000000006</v>
      </c>
      <c r="M134" s="43"/>
      <c r="N134" s="46">
        <f t="shared" ref="N134:N147" si="95">L134-I134</f>
        <v>6469.7670858746678</v>
      </c>
      <c r="O134" s="42" t="s">
        <v>111</v>
      </c>
      <c r="P134" s="40">
        <f>Q134/Q$107</f>
        <v>0.70542804827791261</v>
      </c>
      <c r="Q134" s="41">
        <f>SUM(Q122:Q133)</f>
        <v>40568.25</v>
      </c>
      <c r="R134" s="43"/>
      <c r="S134" s="299">
        <f t="shared" ref="S134:S147" si="96">L134-Q134</f>
        <v>-3579.0799999999945</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5"/>
        <v>0</v>
      </c>
      <c r="O135" s="303"/>
      <c r="P135" s="178"/>
      <c r="Q135" s="281">
        <f>SUMIFS(BV_Data_An_Prec!$O:$O,BV_Data_An_Prec!$U:$U,$B135,BV_Data_An_Prec!$V:$V,$C135,BV_Data_An_Prec!$W:$W,$L$2)</f>
        <v>0</v>
      </c>
      <c r="R135" s="303"/>
      <c r="S135" s="199">
        <f t="shared" si="96"/>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5"/>
        <v>0</v>
      </c>
      <c r="O136" s="303"/>
      <c r="P136" s="178"/>
      <c r="Q136" s="180">
        <f>SUMIFS(BV_Data_An_Prec!$O:$O,BV_Data_An_Prec!$U:$U,$B136,BV_Data_An_Prec!$V:$V,$C136,BV_Data_An_Prec!$W:$W,$L$2)</f>
        <v>0</v>
      </c>
      <c r="R136" s="303"/>
      <c r="S136" s="199">
        <f t="shared" si="96"/>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-492.65</v>
      </c>
      <c r="M137" s="310"/>
      <c r="N137" s="311">
        <f t="shared" si="95"/>
        <v>-707.68999999999994</v>
      </c>
      <c r="O137" s="310"/>
      <c r="P137" s="308"/>
      <c r="Q137" s="177">
        <f>SUMIFS(BV_Data_An_Prec!$O:$O,BV_Data_An_Prec!$U:$U,$B137,BV_Data_An_Prec!$V:$V,$C137,BV_Data_An_Prec!$W:$W,$L$2)</f>
        <v>-2820.25</v>
      </c>
      <c r="R137" s="310"/>
      <c r="S137" s="202">
        <f t="shared" si="96"/>
        <v>2327.6</v>
      </c>
      <c r="T137" s="222"/>
      <c r="U137" s="222"/>
      <c r="V137" s="222" t="s">
        <v>2938</v>
      </c>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1758.75</v>
      </c>
      <c r="M138" s="303"/>
      <c r="N138" s="304">
        <f t="shared" si="95"/>
        <v>-904.02359999999999</v>
      </c>
      <c r="O138" s="303"/>
      <c r="P138" s="178"/>
      <c r="Q138" s="180">
        <f>SUMIFS(BV_Data_An_Prec!$O:$O,BV_Data_An_Prec!$U:$U,$B138,BV_Data_An_Prec!$V:$V,$C138,BV_Data_An_Prec!$W:$W,$L$2)</f>
        <v>2561.62</v>
      </c>
      <c r="R138" s="303"/>
      <c r="S138" s="199">
        <f t="shared" si="96"/>
        <v>-802.86999999999989</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220.28</v>
      </c>
      <c r="M139" s="303"/>
      <c r="N139" s="304">
        <f t="shared" si="95"/>
        <v>-378.40629999999999</v>
      </c>
      <c r="O139" s="303"/>
      <c r="P139" s="178"/>
      <c r="Q139" s="180">
        <f>SUMIFS(BV_Data_An_Prec!$O:$O,BV_Data_An_Prec!$U:$U,$B139,BV_Data_An_Prec!$V:$V,$C139,BV_Data_An_Prec!$W:$W,$L$2)</f>
        <v>729.24</v>
      </c>
      <c r="R139" s="303"/>
      <c r="S139" s="199">
        <f t="shared" si="96"/>
        <v>-508.96000000000004</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852.16</v>
      </c>
      <c r="M140" s="310"/>
      <c r="N140" s="311">
        <f t="shared" si="95"/>
        <v>-1914.4004999999997</v>
      </c>
      <c r="O140" s="310"/>
      <c r="P140" s="308"/>
      <c r="Q140" s="177">
        <f>SUMIFS(BV_Data_An_Prec!$O:$O,BV_Data_An_Prec!$U:$U,$B140,BV_Data_An_Prec!$V:$V,$C140,BV_Data_An_Prec!$W:$W,$L$2)</f>
        <v>2104.48</v>
      </c>
      <c r="R140" s="310"/>
      <c r="S140" s="202">
        <f t="shared" si="96"/>
        <v>-1252.3200000000002</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+INDEX('Budget original'!$A$2:$AO$496,MATCH($A141,'Budget original'!$A$2:$A$496,0),MATCH(F$2,'Budget original'!$A$2:$AO$2,0))</f>
        <v>96.278748908808325</v>
      </c>
      <c r="G141" s="302"/>
      <c r="H141" s="178"/>
      <c r="I141" s="179">
        <f>+INDEX('Budget révisé'!$A$2:$AO$496,MATCH($A141,'Budget révisé'!$A$2:$A$496,0),MATCH(I$2,'Budget révisé'!$A$2:$AO$2,0))</f>
        <v>96.278748908808325</v>
      </c>
      <c r="J141" s="303"/>
      <c r="K141" s="178"/>
      <c r="L141" s="281">
        <f>SUMIFS(BV_Data_An_Cour!$O:$O,BV_Data_An_Cour!$U:$U,$B141,BV_Data_An_Cour!$V:$V,$C141,BV_Data_An_Cour!$W:$W,$L$2)</f>
        <v>0</v>
      </c>
      <c r="M141" s="303"/>
      <c r="N141" s="304">
        <f t="shared" si="95"/>
        <v>-96.278748908808325</v>
      </c>
      <c r="O141" s="303"/>
      <c r="P141" s="178"/>
      <c r="Q141" s="180">
        <f>SUMIFS(BV_Data_An_Prec!$O:$O,BV_Data_An_Prec!$U:$U,$B141,BV_Data_An_Prec!$V:$V,$C141,BV_Data_An_Prec!$W:$W,$L$2)</f>
        <v>111</v>
      </c>
      <c r="R141" s="303"/>
      <c r="S141" s="199">
        <f t="shared" si="96"/>
        <v>-111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5"/>
        <v>-10</v>
      </c>
      <c r="O142" s="303"/>
      <c r="P142" s="178"/>
      <c r="Q142" s="180">
        <f>SUMIFS(BV_Data_An_Prec!$O:$O,BV_Data_An_Prec!$U:$U,$B142,BV_Data_An_Prec!$V:$V,$C142,BV_Data_An_Prec!$W:$W,$L$2)</f>
        <v>10</v>
      </c>
      <c r="R142" s="303"/>
      <c r="S142" s="199">
        <f t="shared" si="96"/>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5">
        <f>SUMIFS(BV_Data_An_Cour!$O:$O,BV_Data_An_Cour!$U:$U,$B143,BV_Data_An_Cour!$V:$V,$C143,BV_Data_An_Cour!$W:$W,$L$2)</f>
        <v>144.71</v>
      </c>
      <c r="M143" s="303"/>
      <c r="N143" s="304">
        <f t="shared" si="95"/>
        <v>-116.88999999999996</v>
      </c>
      <c r="O143" s="303"/>
      <c r="P143" s="178"/>
      <c r="Q143" s="554">
        <f>SUMIFS(BV_Data_An_Prec!$O:$O,BV_Data_An_Prec!$U:$U,$B143,BV_Data_An_Prec!$V:$V,$C143,BV_Data_An_Prec!$W:$W,$L$2)</f>
        <v>222</v>
      </c>
      <c r="R143" s="303"/>
      <c r="S143" s="199">
        <f t="shared" si="96"/>
        <v>-77.289999999999992</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89.27</v>
      </c>
      <c r="M144" s="303"/>
      <c r="N144" s="304">
        <f t="shared" si="95"/>
        <v>-178.822</v>
      </c>
      <c r="O144" s="303"/>
      <c r="P144" s="178"/>
      <c r="Q144" s="180">
        <f>SUMIFS(BV_Data_An_Prec!$O:$O,BV_Data_An_Prec!$U:$U,$B144,BV_Data_An_Prec!$V:$V,$C144,BV_Data_An_Prec!$W:$W,$L$2)</f>
        <v>177.37</v>
      </c>
      <c r="R144" s="303"/>
      <c r="S144" s="199">
        <f t="shared" si="96"/>
        <v>-88.100000000000009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66.33</v>
      </c>
      <c r="M145" s="303"/>
      <c r="N145" s="304">
        <f t="shared" si="95"/>
        <v>-37.47</v>
      </c>
      <c r="O145" s="303"/>
      <c r="P145" s="178"/>
      <c r="Q145" s="180">
        <f>SUMIFS(BV_Data_An_Prec!$O:$O,BV_Data_An_Prec!$U:$U,$B145,BV_Data_An_Prec!$V:$V,$C145,BV_Data_An_Prec!$W:$W,$L$2)</f>
        <v>101.04</v>
      </c>
      <c r="R145" s="303"/>
      <c r="S145" s="199">
        <f t="shared" si="96"/>
        <v>-34.710000000000008</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714.45</v>
      </c>
      <c r="M146" s="303"/>
      <c r="N146" s="304">
        <f t="shared" si="95"/>
        <v>283.53000000000009</v>
      </c>
      <c r="O146" s="303"/>
      <c r="P146" s="178"/>
      <c r="Q146" s="180">
        <f>SUMIFS(BV_Data_An_Prec!$O:$O,BV_Data_An_Prec!$U:$U,$B146,BV_Data_An_Prec!$V:$V,$C146,BV_Data_An_Prec!$W:$W,$L$2)</f>
        <v>617.49</v>
      </c>
      <c r="R146" s="303"/>
      <c r="S146" s="199">
        <f t="shared" si="96"/>
        <v>96.960000000000036</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5"/>
        <v>-60.01</v>
      </c>
      <c r="O147" s="303"/>
      <c r="P147" s="178"/>
      <c r="Q147" s="180">
        <f>SUMIFS(BV_Data_An_Prec!$O:$O,BV_Data_An_Prec!$U:$U,$B147,BV_Data_An_Prec!$V:$V,$C147,BV_Data_An_Prec!$W:$W,$L$2)</f>
        <v>60</v>
      </c>
      <c r="R147" s="303"/>
      <c r="S147" s="199">
        <f t="shared" si="96"/>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7">+B148&amp;C148</f>
        <v>Véhicules usagésFrais bancaires</v>
      </c>
      <c r="B148" s="24" t="s">
        <v>144</v>
      </c>
      <c r="C148" s="264" t="s">
        <v>134</v>
      </c>
      <c r="D148" s="301"/>
      <c r="E148" s="178"/>
      <c r="F148" s="179">
        <f>+INDEX('Budget original'!$A$2:$AO$496,MATCH($A148,'Budget original'!$A$2:$A$496,0),MATCH(F$2,'Budget original'!$A$2:$AO$2,0))</f>
        <v>781.24280904704108</v>
      </c>
      <c r="G148" s="302"/>
      <c r="H148" s="178"/>
      <c r="I148" s="179">
        <f>+INDEX('Budget révisé'!$A$2:$AO$496,MATCH($A148,'Budget révisé'!$A$2:$A$496,0),MATCH(I$2,'Budget révisé'!$A$2:$AO$2,0))</f>
        <v>781.24280904704108</v>
      </c>
      <c r="J148" s="303"/>
      <c r="K148" s="178"/>
      <c r="L148" s="281">
        <f>AF447*W4</f>
        <v>667.57799999999997</v>
      </c>
      <c r="M148" s="303"/>
      <c r="N148" s="304">
        <f t="shared" ref="N148:N151" si="98">L148-I148</f>
        <v>-113.6648090470411</v>
      </c>
      <c r="O148" s="303"/>
      <c r="P148" s="178"/>
      <c r="Q148" s="281">
        <f>AL447*W4</f>
        <v>596.07399999999996</v>
      </c>
      <c r="R148" s="303"/>
      <c r="S148" s="199">
        <f t="shared" ref="S148:S151" si="99">L148-Q148</f>
        <v>71.504000000000019</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7"/>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8"/>
        <v>0</v>
      </c>
      <c r="O149" s="303"/>
      <c r="P149" s="178"/>
      <c r="Q149" s="180">
        <f>SUMIFS(BV_Data_An_Prec!$O:$O,BV_Data_An_Prec!$U:$U,$B149,BV_Data_An_Prec!$V:$V,$C149,BV_Data_An_Prec!$W:$W,$L$2)</f>
        <v>0</v>
      </c>
      <c r="R149" s="303"/>
      <c r="S149" s="199">
        <f t="shared" si="99"/>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7"/>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8"/>
        <v>0</v>
      </c>
      <c r="O150" s="303"/>
      <c r="P150" s="178"/>
      <c r="Q150" s="180">
        <f>SUMIFS(BV_Data_An_Prec!$O:$O,BV_Data_An_Prec!$U:$U,$B150,BV_Data_An_Prec!$V:$V,$C150,BV_Data_An_Prec!$W:$W,$L$2)</f>
        <v>0</v>
      </c>
      <c r="R150" s="303"/>
      <c r="S150" s="199">
        <f t="shared" si="99"/>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7"/>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8"/>
        <v>0</v>
      </c>
      <c r="O151" s="303"/>
      <c r="P151" s="178"/>
      <c r="Q151" s="180">
        <f>SUMIFS(BV_Data_An_Prec!$O:$O,BV_Data_An_Prec!$U:$U,$B151,BV_Data_An_Prec!$V:$V,$C151,BV_Data_An_Prec!$W:$W,$L$2)</f>
        <v>0</v>
      </c>
      <c r="R151" s="303"/>
      <c r="S151" s="199">
        <f t="shared" si="99"/>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0.13377197742638672</v>
      </c>
      <c r="F152" s="41">
        <f>+SUM(F135:F151)</f>
        <v>8265.6239579558496</v>
      </c>
      <c r="G152" s="42" t="s">
        <v>111</v>
      </c>
      <c r="H152" s="40">
        <f>I152/I$107</f>
        <v>0.13377197742638672</v>
      </c>
      <c r="I152" s="41">
        <f>+SUM(I135:I151)</f>
        <v>8265.6239579558496</v>
      </c>
      <c r="J152" s="42" t="s">
        <v>111</v>
      </c>
      <c r="K152" s="40">
        <f>L152/L$107</f>
        <v>3.5058129215901901E-2</v>
      </c>
      <c r="L152" s="41">
        <f>+SUM(L135:L151)</f>
        <v>4031.498</v>
      </c>
      <c r="M152" s="44"/>
      <c r="N152" s="41">
        <f t="shared" ref="N152" si="100">L152-I152</f>
        <v>-4234.12595795585</v>
      </c>
      <c r="O152" s="42" t="s">
        <v>111</v>
      </c>
      <c r="P152" s="40">
        <f>Q152/Q$107</f>
        <v>7.7728482820860118E-2</v>
      </c>
      <c r="Q152" s="41">
        <f>+SUM(Q135:Q151)</f>
        <v>4470.0639999999994</v>
      </c>
      <c r="R152" s="44"/>
      <c r="S152" s="316">
        <f t="shared" ref="S152" si="101">L152-Q152</f>
        <v>-438.56599999999935</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1.1374691335967746</v>
      </c>
      <c r="F154" s="41">
        <f>F121+F134+F152</f>
        <v>70282.971837405508</v>
      </c>
      <c r="G154" s="42" t="s">
        <v>111</v>
      </c>
      <c r="H154" s="40">
        <f>I154/I$107</f>
        <v>1.1374691335967746</v>
      </c>
      <c r="I154" s="41">
        <f>I121+I134+I152</f>
        <v>70282.971837405508</v>
      </c>
      <c r="J154" s="42" t="s">
        <v>111</v>
      </c>
      <c r="K154" s="40">
        <f>L154/L$107</f>
        <v>0.79945173111066758</v>
      </c>
      <c r="L154" s="41">
        <f>L121+L134+L152</f>
        <v>91932.688000000009</v>
      </c>
      <c r="M154" s="44"/>
      <c r="N154" s="46">
        <f>L154-I154</f>
        <v>21649.716162594501</v>
      </c>
      <c r="O154" s="42" t="s">
        <v>111</v>
      </c>
      <c r="P154" s="40">
        <f>Q154/Q$107</f>
        <v>1.2317855211472351</v>
      </c>
      <c r="Q154" s="41">
        <f>Q121+Q134+Q152</f>
        <v>70838.384000000005</v>
      </c>
      <c r="R154" s="44"/>
      <c r="S154" s="299">
        <f>L154-Q154</f>
        <v>21094.304000000004</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6"/>
      <c r="L155" s="985">
        <v>8500</v>
      </c>
      <c r="M155" s="303"/>
      <c r="N155" s="304">
        <f t="shared" ref="N155:N157" si="102">L155-I155</f>
        <v>0</v>
      </c>
      <c r="O155" s="416"/>
      <c r="P155" s="415"/>
      <c r="Q155" s="180">
        <f>-SUMIFS(BV_Data_An_Prec!$O:$O,BV_Data_An_Prec!$U:$U,$B155,BV_Data_An_Prec!$V:$V,$C155,BV_Data_An_Prec!$W:$W,$L$2)</f>
        <v>0</v>
      </c>
      <c r="R155" s="303"/>
      <c r="S155" s="199">
        <f t="shared" ref="S155:S157" si="103">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6"/>
      <c r="L156" s="281">
        <f>-SUMIFS(BV_Data_An_Cour!$O:$O,BV_Data_An_Cour!$U:$U,$B156,BV_Data_An_Cour!$V:$V,$C156,BV_Data_An_Cour!$W:$W,$L$2)</f>
        <v>0</v>
      </c>
      <c r="M156" s="303"/>
      <c r="N156" s="304">
        <f t="shared" si="102"/>
        <v>0</v>
      </c>
      <c r="O156" s="416"/>
      <c r="P156" s="415"/>
      <c r="Q156" s="180">
        <f>-SUMIFS(BV_Data_An_Prec!$O:$O,BV_Data_An_Prec!$U:$U,$B156,BV_Data_An_Prec!$V:$V,$C156,BV_Data_An_Prec!$W:$W,$L$2)</f>
        <v>0</v>
      </c>
      <c r="R156" s="303"/>
      <c r="S156" s="199">
        <f t="shared" si="103"/>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2"/>
        <v>0</v>
      </c>
      <c r="O157" s="303"/>
      <c r="P157" s="178"/>
      <c r="Q157" s="180">
        <f>-SUMIFS(BV_Data_An_Prec!$O:$O,BV_Data_An_Prec!$U:$U,$B157,BV_Data_An_Prec!$V:$V,$C157,BV_Data_An_Prec!$W:$W,$L$2)</f>
        <v>0</v>
      </c>
      <c r="R157" s="303"/>
      <c r="S157" s="199">
        <f t="shared" si="103"/>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4">+B158&amp;C158</f>
        <v>Véhicules usagésFrais administration</v>
      </c>
      <c r="B158" s="24" t="s">
        <v>144</v>
      </c>
      <c r="C158" s="264" t="s">
        <v>141</v>
      </c>
      <c r="D158" s="301"/>
      <c r="E158" s="178"/>
      <c r="F158" s="179">
        <f>+INDEX('Budget original'!$A$2:$AO$496,MATCH($A158,'Budget original'!$A$2:$A$496,0),MATCH(F$2,'Budget original'!$A$2:$AO$2,0))</f>
        <v>7560.2887580641736</v>
      </c>
      <c r="G158" s="302"/>
      <c r="H158" s="178"/>
      <c r="I158" s="179">
        <f>+INDEX('Budget révisé'!$A$2:$AO$496,MATCH($A158,'Budget révisé'!$A$2:$A$496,0),MATCH(I$2,'Budget révisé'!$A$2:$AO$2,0))</f>
        <v>7560.2887580641736</v>
      </c>
      <c r="J158" s="303"/>
      <c r="K158" s="233"/>
      <c r="L158" s="985">
        <f>349*J96</f>
        <v>14658</v>
      </c>
      <c r="M158" s="303"/>
      <c r="N158" s="304">
        <f t="shared" ref="N158" si="105">L158-I158</f>
        <v>7097.7112419358264</v>
      </c>
      <c r="O158" s="303"/>
      <c r="P158" s="178"/>
      <c r="Q158" s="180">
        <f>349*O96</f>
        <v>11517</v>
      </c>
      <c r="R158" s="303"/>
      <c r="S158" s="199">
        <f t="shared" ref="S158" si="106">L158-Q158</f>
        <v>3141</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4"/>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5">
        <f>-SUMIFS(BV_Data_An_Cour!$O:$O,BV_Data_An_Cour!$U:$U,$B159,BV_Data_An_Cour!$V:$V,$C159,BV_Data_An_Cour!$W:$W,$L$2)</f>
        <v>0</v>
      </c>
      <c r="M159" s="303"/>
      <c r="N159" s="304">
        <f t="shared" ref="N159:N161" si="107">L159-I159</f>
        <v>0</v>
      </c>
      <c r="O159" s="303"/>
      <c r="P159" s="178"/>
      <c r="Q159" s="180">
        <f>-SUMIFS(BV_Data_An_Prec!$O:$O,BV_Data_An_Prec!$U:$U,$B159,BV_Data_An_Prec!$V:$V,$C159,BV_Data_An_Prec!$W:$W,$L$2)</f>
        <v>0</v>
      </c>
      <c r="R159" s="303"/>
      <c r="S159" s="199">
        <f t="shared" ref="S159:S161" si="108">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4"/>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7"/>
        <v>0</v>
      </c>
      <c r="O160" s="303"/>
      <c r="P160" s="178"/>
      <c r="Q160" s="180">
        <f>-SUMIFS(BV_Data_An_Prec!$O:$O,BV_Data_An_Prec!$U:$U,$B160,BV_Data_An_Prec!$V:$V,$C160,BV_Data_An_Prec!$W:$W,$L$2)</f>
        <v>0</v>
      </c>
      <c r="R160" s="303"/>
      <c r="S160" s="199">
        <f t="shared" si="108"/>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4"/>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7"/>
        <v>0</v>
      </c>
      <c r="O161" s="303"/>
      <c r="P161" s="178"/>
      <c r="Q161" s="180">
        <f>-SUMIFS(BV_Data_An_Prec!$O:$O,BV_Data_An_Prec!$U:$U,$B161,BV_Data_An_Prec!$V:$V,$C161,BV_Data_An_Prec!$W:$W,$L$2)</f>
        <v>0</v>
      </c>
      <c r="R161" s="303"/>
      <c r="S161" s="199">
        <f t="shared" si="108"/>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16060.288758064173</v>
      </c>
      <c r="G162" s="42"/>
      <c r="H162" s="40"/>
      <c r="I162" s="41">
        <f>+SUM(I155:I161)</f>
        <v>16060.288758064173</v>
      </c>
      <c r="J162" s="42"/>
      <c r="K162" s="40"/>
      <c r="L162" s="41">
        <f>+SUM(L155:L161)</f>
        <v>23158</v>
      </c>
      <c r="M162" s="44"/>
      <c r="N162" s="41">
        <f>SUM(N157:N157)</f>
        <v>0</v>
      </c>
      <c r="O162" s="42"/>
      <c r="P162" s="40"/>
      <c r="Q162" s="41">
        <f>+SUM(Q155:Q161)</f>
        <v>11517</v>
      </c>
      <c r="R162" s="44"/>
      <c r="S162" s="316">
        <f>+SUM(S155:S161)</f>
        <v>11641</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7566.2215700224151</v>
      </c>
      <c r="G164" s="344"/>
      <c r="H164" s="342"/>
      <c r="I164" s="343">
        <f>I107-I154+I162</f>
        <v>7566.2215700224151</v>
      </c>
      <c r="J164" s="345"/>
      <c r="K164" s="346"/>
      <c r="L164" s="343">
        <f>L107-L154+L162</f>
        <v>46219.982000000062</v>
      </c>
      <c r="M164" s="345"/>
      <c r="N164" s="343">
        <f>L164-I164</f>
        <v>38653.760429977643</v>
      </c>
      <c r="O164" s="345"/>
      <c r="P164" s="346"/>
      <c r="Q164" s="343">
        <f>Q107-Q154+Q162</f>
        <v>-1812.6839999999938</v>
      </c>
      <c r="R164" s="345"/>
      <c r="S164" s="347">
        <f>L164-Q164</f>
        <v>48032.666000000056</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Mars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35" t="s">
        <v>77</v>
      </c>
      <c r="E169" s="1136"/>
      <c r="F169" s="1137"/>
      <c r="G169" s="1138" t="s">
        <v>145</v>
      </c>
      <c r="H169" s="1136"/>
      <c r="I169" s="1137"/>
      <c r="J169" s="1138" t="s">
        <v>79</v>
      </c>
      <c r="K169" s="1136"/>
      <c r="L169" s="1137"/>
      <c r="M169" s="1138" t="s">
        <v>80</v>
      </c>
      <c r="N169" s="1137"/>
      <c r="O169" s="1135" t="s">
        <v>81</v>
      </c>
      <c r="P169" s="1136"/>
      <c r="Q169" s="1137"/>
      <c r="R169" s="1138" t="s">
        <v>82</v>
      </c>
      <c r="S169" s="1139"/>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9">+B170&amp;C170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9"/>
        <v>ServiceM/O Client</v>
      </c>
      <c r="B171" s="24" t="s">
        <v>155</v>
      </c>
      <c r="C171" s="264" t="s">
        <v>159</v>
      </c>
      <c r="D171" s="178">
        <f>+INDEX('Budget original'!$A$2:$AO$496,MATCH($A171,'Budget original'!$A$2:$A$496,0),MATCH(D$2,'Budget original'!$A$2:$AO$2,0))</f>
        <v>395.91441996095165</v>
      </c>
      <c r="E171" s="197">
        <f>+INDEX('Budget original'!$A$2:$AO$496,MATCH($A171,'Budget original'!$A$2:$A$496,0),MATCH(E$2,'Budget original'!$A$2:$AO$2,0))</f>
        <v>97172.635743349791</v>
      </c>
      <c r="F171" s="197">
        <f>+INDEX('Budget original'!$A$2:$AO$496,MATCH($A171,'Budget original'!$A$2:$A$496,0),MATCH(F$2,'Budget original'!$A$2:$AO$2,0))</f>
        <v>72928.639682144712</v>
      </c>
      <c r="G171" s="348">
        <f>+INDEX('Budget révisé'!$A$2:$AO$496,MATCH($A171,'Budget révisé'!$A$2:$A$496,0),MATCH(G$2,'Budget révisé'!$A$2:$AO$2,0))</f>
        <v>395.91441996095165</v>
      </c>
      <c r="H171" s="197">
        <f>+INDEX('Budget révisé'!$A$2:$AO$496,MATCH($A171,'Budget révisé'!$A$2:$A$496,0),MATCH(H$2,'Budget révisé'!$A$2:$AO$2,0))</f>
        <v>97172.635743349791</v>
      </c>
      <c r="I171" s="197">
        <f>+INDEX('Budget révisé'!$A$2:$AO$496,MATCH($A171,'Budget révisé'!$A$2:$A$496,0),MATCH(I$2,'Budget révisé'!$A$2:$AO$2,0))</f>
        <v>72928.639682144712</v>
      </c>
      <c r="J171" s="325">
        <f>-SUMIFS(BV_Data_An_Cour!$O:$O,BV_Data_An_Cour!$U:$U,$B171,BV_Data_An_Cour!$V:$V,$C171,BV_Data_An_Cour!$W:$W,J$2)</f>
        <v>399</v>
      </c>
      <c r="K171" s="179">
        <f>-SUMIFS(BV_Data_An_Cour!$O:$O,BV_Data_An_Cour!$X:$X,"Oui",BV_Data_An_Cour!$U:$U,$B171,BV_Data_An_Cour!$V:$V,$C171)</f>
        <v>89666.81</v>
      </c>
      <c r="L171" s="180">
        <f>-SUMIFS(BV_Data_An_Cour!$O:$O,BV_Data_An_Cour!$U:$U,$B171,BV_Data_An_Cour!$V:$V,$C171,BV_Data_An_Cour!$W:$W,$L$2)</f>
        <v>71201.3</v>
      </c>
      <c r="M171" s="324">
        <f>(K171-H171)/H171</f>
        <v>-7.7242175082849598E-2</v>
      </c>
      <c r="N171" s="304">
        <f>L171-I171</f>
        <v>-1727.3396821447095</v>
      </c>
      <c r="O171" s="325">
        <f>-SUMIFS(BV_Data_An_Prec!$O:$O,BV_Data_An_Prec!$U:$U,$B171,BV_Data_An_Prec!$V:$V,$C171,BV_Data_An_Prec!$W:$W,O$2)</f>
        <v>344</v>
      </c>
      <c r="P171" s="179">
        <f>-SUMIFS(BV_Data_An_Prec!$O:$O,BV_Data_An_Prec!$X:$X,"Oui",BV_Data_An_Prec!$U:$U,$B171,BV_Data_An_Prec!$V:$V,$C171)</f>
        <v>82275.63</v>
      </c>
      <c r="Q171" s="180">
        <f>-SUMIFS(BV_Data_An_Prec!$O:$O,BV_Data_An_Prec!$U:$U,$B171,BV_Data_An_Prec!$V:$V,$C171,BV_Data_An_Prec!$W:$W,$L$2)</f>
        <v>59690.770000000004</v>
      </c>
      <c r="R171" s="324">
        <f>IF(O171=0,0,J171/O171)</f>
        <v>1.1598837209302326</v>
      </c>
      <c r="S171" s="199">
        <f>L171-Q171</f>
        <v>11510.529999999999</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9"/>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0.79406527342725819</v>
      </c>
      <c r="M172" s="324"/>
      <c r="N172" s="304"/>
      <c r="O172" s="325"/>
      <c r="P172" s="178"/>
      <c r="Q172" s="350">
        <f>IF(Q171=0,0,Q171/P171)</f>
        <v>0.7254975744336446</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9"/>
        <v>Service</v>
      </c>
      <c r="B173" s="24" t="s">
        <v>155</v>
      </c>
      <c r="C173" s="326"/>
      <c r="D173" s="308"/>
      <c r="E173" s="358">
        <f t="shared" ref="E173" si="110">IFERROR(E171/D171,0)</f>
        <v>245.43848580441642</v>
      </c>
      <c r="F173" s="359"/>
      <c r="G173" s="310"/>
      <c r="H173" s="358">
        <f t="shared" ref="H173" si="111">IFERROR(H171/G171,0)</f>
        <v>245.43848580441642</v>
      </c>
      <c r="I173" s="359"/>
      <c r="J173" s="339"/>
      <c r="K173" s="573">
        <f t="shared" ref="K173" si="112">IFERROR(K171/J171,0)</f>
        <v>224.72884711779449</v>
      </c>
      <c r="L173" s="359"/>
      <c r="M173" s="361"/>
      <c r="N173" s="311"/>
      <c r="O173" s="339"/>
      <c r="P173" s="573">
        <f t="shared" ref="P173" si="113">IFERROR(P171/O171,0)</f>
        <v>239.17334302325582</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9"/>
        <v>ServiceM/O Garantie</v>
      </c>
      <c r="B174" s="24" t="s">
        <v>155</v>
      </c>
      <c r="C174" s="351" t="s">
        <v>161</v>
      </c>
      <c r="D174" s="357">
        <f>+INDEX('Budget original'!$A$2:$AO$496,MATCH($A174,'Budget original'!$A$2:$A$496,0),MATCH(D$2,'Budget original'!$A$2:$AO$2,0))</f>
        <v>285.24048684205479</v>
      </c>
      <c r="E174" s="197">
        <f>+INDEX('Budget original'!$A$2:$AO$496,MATCH($A174,'Budget original'!$A$2:$A$496,0),MATCH(E$2,'Budget original'!$A$2:$AO$2,0))</f>
        <v>50411.692917329121</v>
      </c>
      <c r="F174" s="197">
        <f>+INDEX('Budget original'!$A$2:$AO$496,MATCH($A174,'Budget original'!$A$2:$A$496,0),MATCH(F$2,'Budget original'!$A$2:$AO$2,0))</f>
        <v>35195.645918063725</v>
      </c>
      <c r="G174" s="354">
        <f>+INDEX('Budget révisé'!$A$2:$AO$496,MATCH($A174,'Budget révisé'!$A$2:$A$496,0),MATCH(G$2,'Budget révisé'!$A$2:$AO$2,0))</f>
        <v>285.24048684205479</v>
      </c>
      <c r="H174" s="197">
        <f>+INDEX('Budget révisé'!$A$2:$AO$496,MATCH($A174,'Budget révisé'!$A$2:$A$496,0),MATCH(H$2,'Budget révisé'!$A$2:$AO$2,0))</f>
        <v>50411.692917329121</v>
      </c>
      <c r="I174" s="197">
        <f>+INDEX('Budget révisé'!$A$2:$AO$496,MATCH($A174,'Budget révisé'!$A$2:$A$496,0),MATCH(I$2,'Budget révisé'!$A$2:$AO$2,0))</f>
        <v>35195.645918063725</v>
      </c>
      <c r="J174" s="354">
        <f>-SUMIFS(BV_Data_An_Cour!$O:$O,BV_Data_An_Cour!$U:$U,$B174,BV_Data_An_Cour!$V:$V,$C174,BV_Data_An_Cour!$W:$W,J$2)</f>
        <v>204</v>
      </c>
      <c r="K174" s="186">
        <f>-SUMIFS(BV_Data_An_Cour!$O:$O,BV_Data_An_Cour!$X:$X,"Oui",BV_Data_An_Cour!$U:$U,$B174,BV_Data_An_Cour!$V:$V,$C174)</f>
        <v>42296.04</v>
      </c>
      <c r="L174" s="180">
        <f>-SUMIFS(BV_Data_An_Cour!$O:$O,BV_Data_An_Cour!$U:$U,$B174,BV_Data_An_Cour!$V:$V,$C174,BV_Data_An_Cour!$W:$W,$L$2)</f>
        <v>30540.940000000002</v>
      </c>
      <c r="M174" s="324">
        <f>(K174-H174)/H174</f>
        <v>-0.16098750999372505</v>
      </c>
      <c r="N174" s="356">
        <f>L174-I174</f>
        <v>-4654.7059180637225</v>
      </c>
      <c r="O174" s="354">
        <f>-SUMIFS(BV_Data_An_Prec!$O:$O,BV_Data_An_Prec!$U:$U,$B174,BV_Data_An_Prec!$V:$V,$C174,BV_Data_An_Prec!$W:$W,O$2)</f>
        <v>282</v>
      </c>
      <c r="P174" s="186">
        <f>-SUMIFS(BV_Data_An_Prec!$O:$O,BV_Data_An_Prec!$X:$X,"Oui",BV_Data_An_Prec!$U:$U,$B174,BV_Data_An_Prec!$V:$V,$C174)</f>
        <v>64816.27</v>
      </c>
      <c r="Q174" s="180">
        <f>-SUMIFS(BV_Data_An_Prec!$O:$O,BV_Data_An_Prec!$U:$U,$B174,BV_Data_An_Prec!$V:$V,$C174,BV_Data_An_Prec!$W:$W,$L$2)</f>
        <v>44274.569999999992</v>
      </c>
      <c r="R174" s="324">
        <f>IF(O174=0,0,J174/O174)</f>
        <v>0.72340425531914898</v>
      </c>
      <c r="S174" s="199">
        <f>L174-Q174</f>
        <v>-13733.62999999999</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9"/>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0.72207563639527483</v>
      </c>
      <c r="M175" s="362"/>
      <c r="N175" s="332"/>
      <c r="O175" s="303"/>
      <c r="P175" s="178"/>
      <c r="Q175" s="350">
        <f>IF(Q174=0,0,Q174/P174)</f>
        <v>0.68307802963669451</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9"/>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9"/>
        <v>ServiceM/O Interne</v>
      </c>
      <c r="B177" s="24" t="s">
        <v>155</v>
      </c>
      <c r="C177" s="264" t="s">
        <v>162</v>
      </c>
      <c r="D177" s="178">
        <f>+INDEX('Budget original'!$A$2:$AO$496,MATCH($A177,'Budget original'!$A$2:$A$496,0),MATCH(D$2,'Budget original'!$A$2:$AO$2,0))</f>
        <v>222.73320905479713</v>
      </c>
      <c r="E177" s="197">
        <f>+INDEX('Budget original'!$A$2:$AO$496,MATCH($A177,'Budget original'!$A$2:$A$496,0),MATCH(E$2,'Budget original'!$A$2:$AO$2,0))</f>
        <v>52525.429717539402</v>
      </c>
      <c r="F177" s="197">
        <f>+INDEX('Budget original'!$A$2:$AO$496,MATCH($A177,'Budget original'!$A$2:$A$496,0),MATCH(F$2,'Budget original'!$A$2:$AO$2,0))</f>
        <v>38513.041356783542</v>
      </c>
      <c r="G177" s="303">
        <f>+INDEX('Budget révisé'!$A$2:$AO$496,MATCH($A177,'Budget révisé'!$A$2:$A$496,0),MATCH(G$2,'Budget révisé'!$A$2:$AO$2,0))</f>
        <v>222.73320905479713</v>
      </c>
      <c r="H177" s="197">
        <f>+INDEX('Budget révisé'!$A$2:$AO$496,MATCH($A177,'Budget révisé'!$A$2:$A$496,0),MATCH(H$2,'Budget révisé'!$A$2:$AO$2,0))</f>
        <v>52525.429717539402</v>
      </c>
      <c r="I177" s="197">
        <f>+INDEX('Budget révisé'!$A$2:$AO$496,MATCH($A177,'Budget révisé'!$A$2:$A$496,0),MATCH(I$2,'Budget révisé'!$A$2:$AO$2,0))</f>
        <v>38513.041356783542</v>
      </c>
      <c r="J177" s="325">
        <f>-SUMIFS(BV_Data_An_Cour!$O:$O,BV_Data_An_Cour!$U:$U,$B177,BV_Data_An_Cour!$V:$V,$C177,BV_Data_An_Cour!$W:$W,J$2)</f>
        <v>397</v>
      </c>
      <c r="K177" s="186">
        <f>-SUMIFS(BV_Data_An_Cour!$O:$O,BV_Data_An_Cour!$X:$X,"Oui",BV_Data_An_Cour!$U:$U,$B177,BV_Data_An_Cour!$V:$V,$C177)</f>
        <v>75196.51999999999</v>
      </c>
      <c r="L177" s="180">
        <f>-SUMIFS(BV_Data_An_Cour!$O:$O,BV_Data_An_Cour!$U:$U,$B177,BV_Data_An_Cour!$V:$V,$C177,BV_Data_An_Cour!$W:$W,$L$2)</f>
        <v>55997.979999999989</v>
      </c>
      <c r="M177" s="324">
        <f>(K177-H177)/H177</f>
        <v>0.43162122431699418</v>
      </c>
      <c r="N177" s="304">
        <f t="shared" ref="N177:N178" si="114">L177-I177</f>
        <v>17484.938643216447</v>
      </c>
      <c r="O177" s="325">
        <f>-SUMIFS(BV_Data_An_Prec!$O:$O,BV_Data_An_Prec!$U:$U,$B177,BV_Data_An_Prec!$V:$V,$C177,BV_Data_An_Prec!$W:$W,O$2)</f>
        <v>214</v>
      </c>
      <c r="P177" s="186">
        <f>-SUMIFS(BV_Data_An_Prec!$O:$O,BV_Data_An_Prec!$X:$X,"Oui",BV_Data_An_Prec!$U:$U,$B177,BV_Data_An_Prec!$V:$V,$C177)</f>
        <v>38804.76</v>
      </c>
      <c r="Q177" s="180">
        <f>-SUMIFS(BV_Data_An_Prec!$O:$O,BV_Data_An_Prec!$U:$U,$B177,BV_Data_An_Prec!$V:$V,$C177,BV_Data_An_Prec!$W:$W,$L$2)</f>
        <v>26486.340000000004</v>
      </c>
      <c r="R177" s="324">
        <f>IF(O177=0,0,J177/O177)</f>
        <v>1.8551401869158879</v>
      </c>
      <c r="S177" s="199">
        <f>L177-Q177</f>
        <v>29511.639999999985</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9"/>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0.7446884510081051</v>
      </c>
      <c r="M178" s="324"/>
      <c r="N178" s="304">
        <f t="shared" si="114"/>
        <v>1.146186792461279E-2</v>
      </c>
      <c r="O178" s="325"/>
      <c r="P178" s="349"/>
      <c r="Q178" s="350">
        <f>IF(Q177=0,0,Q177/P177)</f>
        <v>0.68255389287293622</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9"/>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9"/>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0</v>
      </c>
      <c r="F180" s="197">
        <f>+INDEX('Budget original'!$A$2:$AO$496,MATCH($A180,'Budget original'!$A$2:$A$496,0),MATCH(F$2,'Budget original'!$A$2:$AO$2,0))</f>
        <v>0</v>
      </c>
      <c r="G180" s="368">
        <f>+INDEX('Budget révisé'!$A$2:$AO$496,MATCH($A180,'Budget révisé'!$A$2:$A$496,0),MATCH(G$2,'Budget révisé'!$A$2:$AO$2,0))</f>
        <v>0</v>
      </c>
      <c r="H180" s="197">
        <f>+INDEX('Budget révisé'!$A$2:$AO$496,MATCH($A180,'Budget révisé'!$A$2:$A$496,0),MATCH(H$2,'Budget révisé'!$A$2:$AO$2,0))</f>
        <v>0</v>
      </c>
      <c r="I180" s="197">
        <f>+INDEX('Budget révisé'!$A$2:$AO$496,MATCH($A180,'Budget révisé'!$A$2:$A$496,0),MATCH(I$2,'Budget révisé'!$A$2:$AO$2,0))</f>
        <v>0</v>
      </c>
      <c r="J180" s="354">
        <f>-SUMIFS(BV_Data_An_Cour!$O:$O,BV_Data_An_Cour!$U:$U,$B180,BV_Data_An_Cour!$V:$V,$C180,BV_Data_An_Cour!$W:$W,J$2)</f>
        <v>0</v>
      </c>
      <c r="K180" s="186">
        <f>-SUMIFS(BV_Data_An_Cour!$O:$O,BV_Data_An_Cour!$X:$X,"Oui",BV_Data_An_Cour!$U:$U,$B180,BV_Data_An_Cour!$V:$V,$C180)</f>
        <v>572.42999999999995</v>
      </c>
      <c r="L180" s="181">
        <f>-SUMIFS(BV_Data_An_Cour!$O:$O,BV_Data_An_Cour!$U:$U,$B180,BV_Data_An_Cour!$V:$V,$C180,BV_Data_An_Cour!$W:$W,$L$2)</f>
        <v>522.4799999999999</v>
      </c>
      <c r="M180" s="355">
        <f>IF(H180=0,0,(K180-H180)/H180)</f>
        <v>0</v>
      </c>
      <c r="N180" s="356">
        <f>L180-I180</f>
        <v>522.4799999999999</v>
      </c>
      <c r="O180" s="354">
        <f>-SUMIFS(BV_Data_An_Prec!$O:$O,BV_Data_An_Prec!$U:$U,$B180,BV_Data_An_Prec!$V:$V,$C180,BV_Data_An_Prec!$W:$W,O$2)</f>
        <v>0</v>
      </c>
      <c r="P180" s="186">
        <f>-SUMIFS(BV_Data_An_Prec!$O:$O,BV_Data_An_Prec!$X:$X,"Oui",BV_Data_An_Prec!$U:$U,$B180,BV_Data_An_Prec!$V:$V,$C180)</f>
        <v>0</v>
      </c>
      <c r="Q180" s="181">
        <f>-SUMIFS(BV_Data_An_Prec!$O:$O,BV_Data_An_Prec!$U:$U,$B180,BV_Data_An_Prec!$V:$V,$C180,BV_Data_An_Prec!$W:$W,$L$2)</f>
        <v>0</v>
      </c>
      <c r="R180" s="324">
        <f>IF(O180=0,0,J180/O180)</f>
        <v>0</v>
      </c>
      <c r="S180" s="201">
        <f>L180-Q180</f>
        <v>522.4799999999999</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9"/>
        <v>Service% profit / ventes</v>
      </c>
      <c r="B181" s="24" t="s">
        <v>155</v>
      </c>
      <c r="C181" s="264" t="s">
        <v>160</v>
      </c>
      <c r="D181" s="369"/>
      <c r="E181" s="370"/>
      <c r="F181" s="350">
        <f>IFERROR(F180/E180,0)</f>
        <v>0</v>
      </c>
      <c r="G181" s="313"/>
      <c r="H181" s="370"/>
      <c r="I181" s="350">
        <f>IFERROR(I180/H180,0)</f>
        <v>0</v>
      </c>
      <c r="J181" s="371"/>
      <c r="K181" s="370">
        <f>IF(J181&lt;=0,0,L181/J181)</f>
        <v>0</v>
      </c>
      <c r="L181" s="350">
        <f>IF(L180=0,0,L180/K180)</f>
        <v>0.91274042240972686</v>
      </c>
      <c r="M181" s="325">
        <f>J181-G181</f>
        <v>0</v>
      </c>
      <c r="N181" s="372"/>
      <c r="O181" s="371"/>
      <c r="P181" s="370">
        <f>IF(O181&lt;=0,0,Q181/O181)</f>
        <v>0</v>
      </c>
      <c r="Q181" s="350">
        <f>IF(Q180=0,0,Q180/P180)</f>
        <v>0</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9"/>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9"/>
        <v>ServiceAjustement M/O</v>
      </c>
      <c r="B183" s="24" t="s">
        <v>155</v>
      </c>
      <c r="C183" s="264" t="s">
        <v>164</v>
      </c>
      <c r="D183" s="178"/>
      <c r="E183" s="178"/>
      <c r="F183" s="304">
        <f>+INDEX('Budget original'!$A$2:$AO$496,MATCH($A183,'Budget original'!$A$2:$A$496,0),MATCH(F$2,'Budget original'!$A$2:$AO$2,0))</f>
        <v>-3475.7080423797106</v>
      </c>
      <c r="G183" s="303"/>
      <c r="H183" s="197"/>
      <c r="I183" s="197">
        <f>+INDEX('Budget révisé'!$A$2:$AO$496,MATCH($A183,'Budget révisé'!$A$2:$A$496,0),MATCH(I$2,'Budget révisé'!$A$2:$AO$2,0))</f>
        <v>-3475.7080423797106</v>
      </c>
      <c r="J183" s="325"/>
      <c r="K183" s="197"/>
      <c r="L183" s="197">
        <f>-SUMIFS(BV_Data_An_Cour!$O:$O,BV_Data_An_Cour!$U:$U,$B183,BV_Data_An_Cour!$V:$V,$C183,BV_Data_An_Cour!$W:$W,$L$2)</f>
        <v>-3087.66</v>
      </c>
      <c r="M183" s="371"/>
      <c r="N183" s="304">
        <f t="shared" ref="N183:N184" si="115">L183-I183</f>
        <v>388.04804237971075</v>
      </c>
      <c r="O183" s="325"/>
      <c r="P183" s="197"/>
      <c r="Q183" s="180">
        <f>-SUMIFS(BV_Data_An_Prec!$O:$O,BV_Data_An_Prec!$U:$U,$B183,BV_Data_An_Prec!$V:$V,$C183,BV_Data_An_Prec!$W:$W,$L$2)</f>
        <v>-3388.98</v>
      </c>
      <c r="R183" s="209"/>
      <c r="S183" s="199">
        <f t="shared" ref="S183:S184" si="116">L183-Q183</f>
        <v>301.32000000000016</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9"/>
        <v>ServiceSous-total M/O</v>
      </c>
      <c r="B184" s="24" t="s">
        <v>155</v>
      </c>
      <c r="C184" s="380" t="s">
        <v>165</v>
      </c>
      <c r="D184" s="58"/>
      <c r="E184" s="58">
        <f t="shared" ref="E184:F184" si="117">E171+E174+E177+E180+E183</f>
        <v>200109.75837821831</v>
      </c>
      <c r="F184" s="59">
        <f t="shared" si="117"/>
        <v>143161.61891461228</v>
      </c>
      <c r="G184" s="60"/>
      <c r="H184" s="58">
        <f t="shared" ref="H184:I184" si="118">H171+H174+H177+H180+H183</f>
        <v>200109.75837821831</v>
      </c>
      <c r="I184" s="59">
        <f t="shared" si="118"/>
        <v>143161.61891461228</v>
      </c>
      <c r="J184" s="60">
        <f t="shared" ref="J184:L184" si="119">J171+J174+J177+J180+J183</f>
        <v>1000</v>
      </c>
      <c r="K184" s="58">
        <f t="shared" si="119"/>
        <v>207731.8</v>
      </c>
      <c r="L184" s="59">
        <f t="shared" si="119"/>
        <v>155175.04000000001</v>
      </c>
      <c r="M184" s="61">
        <f>(K184-H184)/H184</f>
        <v>3.8089305007183154E-2</v>
      </c>
      <c r="N184" s="59">
        <f t="shared" si="115"/>
        <v>12013.42108538773</v>
      </c>
      <c r="O184" s="60">
        <f t="shared" ref="O184:Q184" si="120">O171+O174+O177+O180+O183</f>
        <v>840</v>
      </c>
      <c r="P184" s="58">
        <f t="shared" si="120"/>
        <v>185896.66</v>
      </c>
      <c r="Q184" s="59">
        <f t="shared" si="120"/>
        <v>127062.7</v>
      </c>
      <c r="R184" s="381">
        <f>IF(O184=0,0,J184/O184)</f>
        <v>1.1904761904761905</v>
      </c>
      <c r="S184" s="382">
        <f t="shared" si="116"/>
        <v>28112.340000000011</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9"/>
        <v>Service% protit / ventes</v>
      </c>
      <c r="B185" s="24" t="s">
        <v>155</v>
      </c>
      <c r="C185" s="383" t="s">
        <v>166</v>
      </c>
      <c r="D185" s="62"/>
      <c r="E185" s="62"/>
      <c r="F185" s="63">
        <f>F184/E184</f>
        <v>0.71541548035867919</v>
      </c>
      <c r="G185" s="64"/>
      <c r="H185" s="62"/>
      <c r="I185" s="332">
        <f>I184/H184</f>
        <v>0.71541548035867919</v>
      </c>
      <c r="J185" s="64"/>
      <c r="K185" s="65">
        <f>IF(J184=0,0,K184/J184)</f>
        <v>207.73179999999999</v>
      </c>
      <c r="L185" s="332">
        <f>IF(L184=0,0,L184/K184)</f>
        <v>0.74699704137739154</v>
      </c>
      <c r="M185" s="64"/>
      <c r="N185" s="63">
        <f>N184/I184</f>
        <v>8.3915096633218778E-2</v>
      </c>
      <c r="O185" s="64"/>
      <c r="P185" s="65">
        <f>IF(O184=0,0,P184/O184)</f>
        <v>221.30554761904762</v>
      </c>
      <c r="Q185" s="332">
        <f>IF(Q184=0,0,Q184/P184)</f>
        <v>0.68351254939168893</v>
      </c>
      <c r="R185" s="64"/>
      <c r="S185" s="333">
        <f>IF(R184=0,0,S184/R184)</f>
        <v>23614.365600000008</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9"/>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9"/>
        <v>ServiceSous-traitement</v>
      </c>
      <c r="B187" s="24" t="s">
        <v>155</v>
      </c>
      <c r="C187" s="291" t="s">
        <v>167</v>
      </c>
      <c r="D187" s="228"/>
      <c r="E187" s="228">
        <f>+INDEX('Budget original'!$A$2:$AO$496,MATCH($A187,'Budget original'!$A$2:$A$496,0),MATCH(E$2,'Budget original'!$A$2:$AO$2,0))</f>
        <v>24221.91661324873</v>
      </c>
      <c r="F187" s="228">
        <f>+INDEX('Budget original'!$A$2:$AO$496,MATCH($A187,'Budget original'!$A$2:$A$496,0),MATCH(F$2,'Budget original'!$A$2:$AO$2,0))</f>
        <v>5813.2599871796947</v>
      </c>
      <c r="G187" s="230"/>
      <c r="H187" s="228">
        <f>+INDEX('Budget révisé'!$A$2:$AO$496,MATCH($A187,'Budget révisé'!$A$2:$A$496,0),MATCH(H$2,'Budget révisé'!$A$2:$AO$2,0))</f>
        <v>24221.91661324873</v>
      </c>
      <c r="I187" s="228">
        <f>+INDEX('Budget révisé'!$A$2:$AO$496,MATCH($A187,'Budget révisé'!$A$2:$A$496,0),MATCH(I$2,'Budget révisé'!$A$2:$AO$2,0))</f>
        <v>5813.2599871796947</v>
      </c>
      <c r="J187" s="230"/>
      <c r="K187" s="231">
        <f>-SUMIFS(BV_Data_An_Cour!$O:$O,BV_Data_An_Cour!$X:$X,"Oui",BV_Data_An_Cour!$U:$U,$B187,BV_Data_An_Cour!$V:$V,$C187)</f>
        <v>22280.75</v>
      </c>
      <c r="L187" s="281">
        <f>-SUMIFS(BV_Data_An_Cour!$O:$O,BV_Data_An_Cour!$U:$U,$B187,BV_Data_An_Cour!$V:$V,$C187,BV_Data_An_Cour!$W:$W,$L$2)</f>
        <v>5241.75</v>
      </c>
      <c r="M187" s="511">
        <f>IF(H187=0,0,(K187-H187)/H187)</f>
        <v>-8.014091718022695E-2</v>
      </c>
      <c r="N187" s="232">
        <f>L187-I187</f>
        <v>-571.50998717969469</v>
      </c>
      <c r="O187" s="230"/>
      <c r="P187" s="231">
        <f>-SUMIFS(BV_Data_An_Prec!$O:$O,BV_Data_An_Prec!$X:$X,"Oui",BV_Data_An_Prec!$U:$U,$B187,BV_Data_An_Prec!$V:$V,$C187)</f>
        <v>34009.839999999997</v>
      </c>
      <c r="Q187" s="281">
        <f>-SUMIFS(BV_Data_An_Prec!$O:$O,BV_Data_An_Prec!$U:$U,$B187,BV_Data_An_Prec!$V:$V,$C187,BV_Data_An_Prec!$W:$W,$L$2)</f>
        <v>9532.2099999999991</v>
      </c>
      <c r="R187" s="386">
        <f>IF(O187=0,0,J187/O187)</f>
        <v>0</v>
      </c>
      <c r="S187" s="284">
        <f>L187-Q187</f>
        <v>-4290.4599999999991</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9"/>
        <v>Service% profit / ventes</v>
      </c>
      <c r="B188" s="24" t="s">
        <v>155</v>
      </c>
      <c r="C188" s="291" t="s">
        <v>160</v>
      </c>
      <c r="D188" s="233"/>
      <c r="E188" s="234"/>
      <c r="F188" s="235">
        <f>IFERROR(F187/E187,0)</f>
        <v>0.24</v>
      </c>
      <c r="G188" s="227"/>
      <c r="H188" s="234"/>
      <c r="I188" s="235">
        <f>IFERROR(I187/H187,0)</f>
        <v>0.24</v>
      </c>
      <c r="J188" s="236"/>
      <c r="K188" s="237"/>
      <c r="L188" s="235">
        <f>IF(L187=0,0,L187/K187)</f>
        <v>0.23525913624990183</v>
      </c>
      <c r="M188" s="236"/>
      <c r="N188" s="238"/>
      <c r="O188" s="236"/>
      <c r="P188" s="237"/>
      <c r="Q188" s="235">
        <f>IF(Q187=0,0,Q187/P187)</f>
        <v>0.28027800189592189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9"/>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9"/>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9"/>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9"/>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9"/>
        <v>ServiceTotal Mécanique</v>
      </c>
      <c r="B193" s="24" t="s">
        <v>155</v>
      </c>
      <c r="C193" s="269" t="s">
        <v>169</v>
      </c>
      <c r="D193" s="26"/>
      <c r="E193" s="26">
        <f t="shared" ref="E193:F193" si="121">E184+E187+E190</f>
        <v>224331.67499146704</v>
      </c>
      <c r="F193" s="28">
        <f t="shared" si="121"/>
        <v>148974.87890179196</v>
      </c>
      <c r="G193" s="29"/>
      <c r="H193" s="26">
        <f t="shared" ref="H193:I193" si="122">H184+H187+H190</f>
        <v>224331.67499146704</v>
      </c>
      <c r="I193" s="28">
        <f t="shared" si="122"/>
        <v>148974.87890179196</v>
      </c>
      <c r="J193" s="29"/>
      <c r="K193" s="26">
        <f>K184+K187+K190</f>
        <v>230012.55</v>
      </c>
      <c r="L193" s="28">
        <f t="shared" ref="L193" si="123">L184+L187+L190</f>
        <v>160416.79</v>
      </c>
      <c r="M193" s="70">
        <f>L194-I194</f>
        <v>3.3343127980025256E-2</v>
      </c>
      <c r="N193" s="28">
        <f>L193-I193</f>
        <v>11441.911098208046</v>
      </c>
      <c r="O193" s="29"/>
      <c r="P193" s="26">
        <f>P184+P187+P190</f>
        <v>219906.5</v>
      </c>
      <c r="Q193" s="28">
        <f t="shared" ref="Q193" si="124">Q184+Q187+Q190</f>
        <v>136594.91</v>
      </c>
      <c r="R193" s="70">
        <f>L194-Q194</f>
        <v>7.627630586158296E-2</v>
      </c>
      <c r="S193" s="363">
        <f>L193-Q193</f>
        <v>23821.880000000005</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9"/>
        <v>Service</v>
      </c>
      <c r="B194" s="24" t="s">
        <v>155</v>
      </c>
      <c r="C194" s="364"/>
      <c r="D194" s="365"/>
      <c r="E194" s="365"/>
      <c r="F194" s="34">
        <f>F193/E193</f>
        <v>0.66408312115290258</v>
      </c>
      <c r="G194" s="31"/>
      <c r="H194" s="365"/>
      <c r="I194" s="34">
        <f>I193/H193</f>
        <v>0.66408312115290258</v>
      </c>
      <c r="J194" s="31"/>
      <c r="K194" s="365"/>
      <c r="L194" s="34">
        <f>L193/K193</f>
        <v>0.69742624913292783</v>
      </c>
      <c r="M194" s="33"/>
      <c r="N194" s="34">
        <f>N193/I193</f>
        <v>7.6804298701600854E-2</v>
      </c>
      <c r="O194" s="31"/>
      <c r="P194" s="365"/>
      <c r="Q194" s="34">
        <f>Q193/P193</f>
        <v>0.62114994327134487</v>
      </c>
      <c r="R194" s="33"/>
      <c r="S194" s="272">
        <f>L193/S193</f>
        <v>6.7340104979120028</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9"/>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9"/>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9"/>
        <v>ServiceSalaires cadres</v>
      </c>
      <c r="B197" s="24" t="s">
        <v>155</v>
      </c>
      <c r="C197" s="305" t="s">
        <v>112</v>
      </c>
      <c r="D197" s="178"/>
      <c r="E197" s="178"/>
      <c r="F197" s="179">
        <f>+INDEX('Budget original'!$A$2:$AO$496,MATCH($A197,'Budget original'!$A$2:$A$496,0),MATCH(F$2,'Budget original'!$A$2:$AO$2,0))</f>
        <v>12996.084369655171</v>
      </c>
      <c r="G197" s="303"/>
      <c r="H197" s="178"/>
      <c r="I197" s="179">
        <f>+INDEX('Budget révisé'!$A$2:$AO$496,MATCH($A197,'Budget révisé'!$A$2:$A$496,0),MATCH(I$2,'Budget révisé'!$A$2:$AO$2,0))</f>
        <v>12996.084369655171</v>
      </c>
      <c r="J197" s="303"/>
      <c r="K197" s="178"/>
      <c r="L197" s="180">
        <f>SUMIFS(BV_Data_An_Cour!$O:$O,BV_Data_An_Cour!$U:$U,$B197,BV_Data_An_Cour!$V:$V,$C197,BV_Data_An_Cour!$W:$W,$L$2)</f>
        <v>11791.94</v>
      </c>
      <c r="M197" s="303"/>
      <c r="N197" s="304">
        <f t="shared" ref="N197:N208" si="125">L197-I197</f>
        <v>-1204.1443696551705</v>
      </c>
      <c r="O197" s="303"/>
      <c r="P197" s="178"/>
      <c r="Q197" s="180">
        <f>SUMIFS(BV_Data_An_Prec!$O:$O,BV_Data_An_Prec!$U:$U,$B197,BV_Data_An_Prec!$V:$V,$C197,BV_Data_An_Prec!$W:$W,$L$2)</f>
        <v>12092.75</v>
      </c>
      <c r="R197" s="303"/>
      <c r="S197" s="399">
        <f>L197-Q197</f>
        <v>-300.80999999999949</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9"/>
        <v>ServiceSalaires commis</v>
      </c>
      <c r="B198" s="24" t="s">
        <v>155</v>
      </c>
      <c r="C198" s="306" t="s">
        <v>113</v>
      </c>
      <c r="D198" s="301"/>
      <c r="E198" s="178"/>
      <c r="F198" s="177">
        <f>+INDEX('Budget original'!$A$2:$AO$496,MATCH($A198,'Budget original'!$A$2:$A$496,0),MATCH(F$2,'Budget original'!$A$2:$AO$2,0))</f>
        <v>9578.9918501609191</v>
      </c>
      <c r="G198" s="302"/>
      <c r="H198" s="178"/>
      <c r="I198" s="177">
        <f>+INDEX('Budget révisé'!$A$2:$AO$496,MATCH($A198,'Budget révisé'!$A$2:$A$496,0),MATCH(I$2,'Budget révisé'!$A$2:$AO$2,0))</f>
        <v>9578.9918501609191</v>
      </c>
      <c r="J198" s="303"/>
      <c r="K198" s="178"/>
      <c r="L198" s="180">
        <f>SUMIFS(BV_Data_An_Cour!$O:$O,BV_Data_An_Cour!$U:$U,$B198,BV_Data_An_Cour!$V:$V,$C198,BV_Data_An_Cour!$W:$W,$L$2)</f>
        <v>7597.25</v>
      </c>
      <c r="M198" s="303"/>
      <c r="N198" s="304">
        <f t="shared" si="125"/>
        <v>-1981.7418501609191</v>
      </c>
      <c r="O198" s="303"/>
      <c r="P198" s="178"/>
      <c r="Q198" s="180">
        <f>SUMIFS(BV_Data_An_Prec!$O:$O,BV_Data_An_Prec!$U:$U,$B198,BV_Data_An_Prec!$V:$V,$C198,BV_Data_An_Prec!$W:$W,$L$2)</f>
        <v>6668.69</v>
      </c>
      <c r="R198" s="303"/>
      <c r="S198" s="199">
        <f t="shared" ref="S198:S227" si="126">L198-Q198</f>
        <v>928.5600000000004</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9"/>
        <v>ServiceSalaires autres</v>
      </c>
      <c r="B199" s="24" t="s">
        <v>155</v>
      </c>
      <c r="C199" s="305" t="s">
        <v>114</v>
      </c>
      <c r="D199" s="392"/>
      <c r="E199" s="352"/>
      <c r="F199" s="179">
        <f>+INDEX('Budget original'!$A$2:$AO$496,MATCH($A199,'Budget original'!$A$2:$A$496,0),MATCH(F$2,'Budget original'!$A$2:$AO$2,0))</f>
        <v>12939.537502639081</v>
      </c>
      <c r="G199" s="393"/>
      <c r="H199" s="352"/>
      <c r="I199" s="179">
        <f>+INDEX('Budget révisé'!$A$2:$AO$496,MATCH($A199,'Budget révisé'!$A$2:$A$496,0),MATCH(I$2,'Budget révisé'!$A$2:$AO$2,0))</f>
        <v>12939.537502639081</v>
      </c>
      <c r="J199" s="368"/>
      <c r="K199" s="352"/>
      <c r="L199" s="181">
        <f>SUMIFS(BV_Data_An_Cour!$O:$O,BV_Data_An_Cour!$U:$U,$B199,BV_Data_An_Cour!$V:$V,$C199,BV_Data_An_Cour!$W:$W,$L$2)</f>
        <v>14700.04</v>
      </c>
      <c r="M199" s="368"/>
      <c r="N199" s="356">
        <f t="shared" si="125"/>
        <v>1760.5024973609197</v>
      </c>
      <c r="O199" s="368"/>
      <c r="P199" s="352"/>
      <c r="Q199" s="181">
        <f>SUMIFS(BV_Data_An_Prec!$O:$O,BV_Data_An_Prec!$U:$U,$B199,BV_Data_An_Prec!$V:$V,$C199,BV_Data_An_Prec!$W:$W,$L$2)</f>
        <v>8643.08</v>
      </c>
      <c r="R199" s="368"/>
      <c r="S199" s="201">
        <f t="shared" si="126"/>
        <v>6056.9600000000009</v>
      </c>
      <c r="T199" s="222"/>
      <c r="U199" s="222"/>
      <c r="V199" s="222" t="s">
        <v>2880</v>
      </c>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9"/>
        <v>ServiceSalaires spécialistes</v>
      </c>
      <c r="B200" s="24" t="s">
        <v>155</v>
      </c>
      <c r="C200" s="305" t="s">
        <v>115</v>
      </c>
      <c r="D200" s="301"/>
      <c r="E200" s="178"/>
      <c r="F200" s="179">
        <f>+INDEX('Budget original'!$A$2:$AO$496,MATCH($A200,'Budget original'!$A$2:$A$496,0),MATCH(F$2,'Budget original'!$A$2:$AO$2,0))</f>
        <v>31750.067806896557</v>
      </c>
      <c r="G200" s="302"/>
      <c r="H200" s="178"/>
      <c r="I200" s="179">
        <f>+INDEX('Budget révisé'!$A$2:$AO$496,MATCH($A200,'Budget révisé'!$A$2:$A$496,0),MATCH(I$2,'Budget révisé'!$A$2:$AO$2,0))</f>
        <v>31750.067806896557</v>
      </c>
      <c r="J200" s="303"/>
      <c r="K200" s="178"/>
      <c r="L200" s="180">
        <f>SUMIFS(BV_Data_An_Cour!$O:$O,BV_Data_An_Cour!$U:$U,$B200,BV_Data_An_Cour!$V:$V,$C200,BV_Data_An_Cour!$W:$W,$L$2)</f>
        <v>25430.05</v>
      </c>
      <c r="M200" s="303"/>
      <c r="N200" s="304">
        <f t="shared" si="125"/>
        <v>-6320.0178068965579</v>
      </c>
      <c r="O200" s="303"/>
      <c r="P200" s="178"/>
      <c r="Q200" s="180">
        <f>SUMIFS(BV_Data_An_Prec!$O:$O,BV_Data_An_Prec!$U:$U,$B200,BV_Data_An_Prec!$V:$V,$C200,BV_Data_An_Prec!$W:$W,$L$2)</f>
        <v>17311.25</v>
      </c>
      <c r="R200" s="303"/>
      <c r="S200" s="199">
        <f t="shared" si="126"/>
        <v>8118.7999999999993</v>
      </c>
      <c r="T200" s="222"/>
      <c r="U200" s="222"/>
      <c r="V200" s="222">
        <v>-1.5</v>
      </c>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9"/>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5"/>
        <v>0</v>
      </c>
      <c r="O201" s="303"/>
      <c r="P201" s="178"/>
      <c r="Q201" s="180">
        <f>SUMIFS(BV_Data_An_Prec!$O:$O,BV_Data_An_Prec!$U:$U,$B201,BV_Data_An_Prec!$V:$V,$C201,BV_Data_An_Prec!$W:$W,$L$2)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9"/>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5"/>
        <v>0</v>
      </c>
      <c r="O202" s="303"/>
      <c r="P202" s="178"/>
      <c r="Q202" s="180">
        <f>SUMIFS(BV_Data_An_Prec!$O:$O,BV_Data_An_Prec!$U:$U,$B202,BV_Data_An_Prec!$V:$V,$C202,BV_Data_An_Prec!$W:$W,$L$2)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9"/>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7">L203-I203</f>
        <v>0</v>
      </c>
      <c r="O203" s="303"/>
      <c r="P203" s="178"/>
      <c r="Q203" s="180">
        <f>SUMIFS(BV_Data_An_Prec!$O:$O,BV_Data_An_Prec!$U:$U,$B203,BV_Data_An_Prec!$V:$V,$C203,BV_Data_An_Prec!$W:$W,$L$2)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9"/>
        <v>ServiceSalaires en absences</v>
      </c>
      <c r="B204" s="24" t="s">
        <v>155</v>
      </c>
      <c r="C204" s="306" t="s">
        <v>116</v>
      </c>
      <c r="D204" s="301"/>
      <c r="E204" s="178"/>
      <c r="F204" s="179">
        <f>+INDEX('Budget original'!$A$2:$AO$496,MATCH($A204,'Budget original'!$A$2:$A$496,0),MATCH(F$2,'Budget original'!$A$2:$AO$2,0))</f>
        <v>17604.907383522208</v>
      </c>
      <c r="G204" s="302"/>
      <c r="H204" s="178"/>
      <c r="I204" s="179">
        <f>+INDEX('Budget révisé'!$A$2:$AO$496,MATCH($A204,'Budget révisé'!$A$2:$A$496,0),MATCH(I$2,'Budget révisé'!$A$2:$AO$2,0))</f>
        <v>17604.907383522208</v>
      </c>
      <c r="J204" s="303"/>
      <c r="K204" s="178"/>
      <c r="L204" s="180">
        <f>SUMIFS(BV_Data_An_Cour!$O:$O,BV_Data_An_Cour!$U:$U,$B204,BV_Data_An_Cour!$V:$V,$C204,BV_Data_An_Cour!$W:$W,$L$2)</f>
        <v>17605.2</v>
      </c>
      <c r="M204" s="303"/>
      <c r="N204" s="304">
        <f t="shared" si="127"/>
        <v>0.29261647779276245</v>
      </c>
      <c r="O204" s="303"/>
      <c r="P204" s="178"/>
      <c r="Q204" s="180">
        <f>SUMIFS(BV_Data_An_Prec!$O:$O,BV_Data_An_Prec!$U:$U,$B204,BV_Data_An_Prec!$V:$V,$C204,BV_Data_An_Prec!$W:$W,$L$2)</f>
        <v>14747.25</v>
      </c>
      <c r="R204" s="303"/>
      <c r="S204" s="199">
        <f t="shared" si="128"/>
        <v>2857.9500000000007</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9"/>
        <v>ServiceDéduction à la source</v>
      </c>
      <c r="B205" s="24" t="s">
        <v>155</v>
      </c>
      <c r="C205" s="280" t="s">
        <v>117</v>
      </c>
      <c r="D205" s="392"/>
      <c r="E205" s="352"/>
      <c r="F205" s="429">
        <f>+INDEX('Budget original'!$A$2:$AO$496,MATCH($A205,'Budget original'!$A$2:$A$496,0),MATCH(F$2,'Budget original'!$A$2:$AO$2,0))</f>
        <v>17604.907383522208</v>
      </c>
      <c r="G205" s="393"/>
      <c r="H205" s="352"/>
      <c r="I205" s="429">
        <f>+INDEX('Budget révisé'!$A$2:$AO$496,MATCH($A205,'Budget révisé'!$A$2:$A$496,0),MATCH(I$2,'Budget révisé'!$A$2:$AO$2,0))</f>
        <v>17604.907383522208</v>
      </c>
      <c r="J205" s="368"/>
      <c r="K205" s="352"/>
      <c r="L205" s="245">
        <f>SUMIFS(BV_Data_An_Cour!$O:$O,BV_Data_An_Cour!$U:$U,$B205,BV_Data_An_Cour!$V:$V,$C205,BV_Data_An_Cour!$W:$W,$L$2)</f>
        <v>14893.12</v>
      </c>
      <c r="M205" s="368"/>
      <c r="N205" s="356">
        <f t="shared" si="125"/>
        <v>-2711.7873835222072</v>
      </c>
      <c r="O205" s="368"/>
      <c r="P205" s="352"/>
      <c r="Q205" s="181">
        <f>SUMIFS(BV_Data_An_Prec!$O:$O,BV_Data_An_Prec!$U:$U,$B205,BV_Data_An_Prec!$V:$V,$C205,BV_Data_An_Prec!$W:$W,$L$2)</f>
        <v>12147.63</v>
      </c>
      <c r="R205" s="368"/>
      <c r="S205" s="201">
        <f t="shared" si="126"/>
        <v>2745.4900000000016</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9"/>
        <v>ServiceBénéfices marginaux</v>
      </c>
      <c r="B206" s="24" t="s">
        <v>155</v>
      </c>
      <c r="C206" s="280" t="s">
        <v>118</v>
      </c>
      <c r="D206" s="301"/>
      <c r="E206" s="178"/>
      <c r="F206" s="179">
        <f>+INDEX('Budget original'!$A$2:$AO$496,MATCH($A206,'Budget original'!$A$2:$A$496,0),MATCH(F$2,'Budget original'!$A$2:$AO$2,0))</f>
        <v>12616.85029152425</v>
      </c>
      <c r="G206" s="302"/>
      <c r="H206" s="178"/>
      <c r="I206" s="179">
        <f>+INDEX('Budget révisé'!$A$2:$AO$496,MATCH($A206,'Budget révisé'!$A$2:$A$496,0),MATCH(I$2,'Budget révisé'!$A$2:$AO$2,0))</f>
        <v>12616.85029152425</v>
      </c>
      <c r="J206" s="303"/>
      <c r="K206" s="178"/>
      <c r="L206" s="180">
        <f>SUMIFS(BV_Data_An_Cour!$O:$O,BV_Data_An_Cour!$U:$U,$B206,BV_Data_An_Cour!$V:$V,$C206,BV_Data_An_Cour!$W:$W,$L$2)</f>
        <v>20335.68</v>
      </c>
      <c r="M206" s="303"/>
      <c r="N206" s="304">
        <f t="shared" si="125"/>
        <v>7718.8297084757505</v>
      </c>
      <c r="O206" s="303"/>
      <c r="P206" s="178"/>
      <c r="Q206" s="180">
        <f>SUMIFS(BV_Data_An_Prec!$O:$O,BV_Data_An_Prec!$U:$U,$B206,BV_Data_An_Prec!$V:$V,$C206,BV_Data_An_Prec!$W:$W,$L$2)</f>
        <v>8436.59</v>
      </c>
      <c r="R206" s="303"/>
      <c r="S206" s="199">
        <f t="shared" si="126"/>
        <v>11899.09</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9"/>
        <v>ServiceCsst</v>
      </c>
      <c r="B207" s="24" t="s">
        <v>155</v>
      </c>
      <c r="C207" s="280" t="s">
        <v>119</v>
      </c>
      <c r="D207" s="301"/>
      <c r="E207" s="178"/>
      <c r="F207" s="179">
        <f>+INDEX('Budget original'!$A$2:$AO$496,MATCH($A207,'Budget original'!$A$2:$A$496,0),MATCH(F$2,'Budget original'!$A$2:$AO$2,0))</f>
        <v>2934.1512305870351</v>
      </c>
      <c r="G207" s="302"/>
      <c r="H207" s="178"/>
      <c r="I207" s="179">
        <f>+INDEX('Budget révisé'!$A$2:$AO$496,MATCH($A207,'Budget révisé'!$A$2:$A$496,0),MATCH(I$2,'Budget révisé'!$A$2:$AO$2,0))</f>
        <v>2934.1512305870351</v>
      </c>
      <c r="J207" s="303"/>
      <c r="K207" s="178"/>
      <c r="L207" s="180">
        <f>SUMIFS(BV_Data_An_Cour!$O:$O,BV_Data_An_Cour!$U:$U,$B207,BV_Data_An_Cour!$V:$V,$C207,BV_Data_An_Cour!$W:$W,$L$2)</f>
        <v>4846</v>
      </c>
      <c r="M207" s="303"/>
      <c r="N207" s="304">
        <f t="shared" si="125"/>
        <v>1911.8487694129649</v>
      </c>
      <c r="O207" s="303"/>
      <c r="P207" s="178"/>
      <c r="Q207" s="180">
        <f>SUMIFS(BV_Data_An_Prec!$O:$O,BV_Data_An_Prec!$U:$U,$B207,BV_Data_An_Prec!$V:$V,$C207,BV_Data_An_Prec!$W:$W,$L$2)</f>
        <v>3039.25</v>
      </c>
      <c r="R207" s="303"/>
      <c r="S207" s="199">
        <f t="shared" si="126"/>
        <v>1806.75</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9"/>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5"/>
        <v>0</v>
      </c>
      <c r="O208" s="310"/>
      <c r="P208" s="308"/>
      <c r="Q208" s="180">
        <f>SUMIFS(BV_Data_An_Prec!$O:$O,BV_Data_An_Prec!$U:$U,$B208,BV_Data_An_Prec!$V:$V,$C208,BV_Data_An_Prec!$W:$W,$L$2)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9"/>
        <v>ServiceTOTAL PERSONNEL</v>
      </c>
      <c r="B209" s="24" t="s">
        <v>155</v>
      </c>
      <c r="C209" s="298" t="s">
        <v>120</v>
      </c>
      <c r="D209" s="39" t="s">
        <v>170</v>
      </c>
      <c r="E209" s="40">
        <f>F209/F$193</f>
        <v>0.79225100693864536</v>
      </c>
      <c r="F209" s="41">
        <f>+SUM(F197:F208)</f>
        <v>118025.49781850743</v>
      </c>
      <c r="G209" s="42" t="s">
        <v>170</v>
      </c>
      <c r="H209" s="40">
        <f>I209/I$193</f>
        <v>0.79225100693864536</v>
      </c>
      <c r="I209" s="41">
        <f>+SUM(I197:I208)</f>
        <v>118025.49781850743</v>
      </c>
      <c r="J209" s="42" t="s">
        <v>170</v>
      </c>
      <c r="K209" s="40">
        <f>L209/L$193</f>
        <v>0.73059235258354183</v>
      </c>
      <c r="L209" s="41">
        <f>+SUM(L197:L208)</f>
        <v>117199.28</v>
      </c>
      <c r="M209" s="43"/>
      <c r="N209" s="46">
        <f t="shared" ref="N209:N227" si="129">L209-I209</f>
        <v>-826.21781850742991</v>
      </c>
      <c r="O209" s="42" t="s">
        <v>170</v>
      </c>
      <c r="P209" s="40">
        <f>Q209/Q$193</f>
        <v>0.60826929788232953</v>
      </c>
      <c r="Q209" s="41">
        <f>+SUM(Q197:Q208)</f>
        <v>83086.489999999991</v>
      </c>
      <c r="R209" s="43"/>
      <c r="S209" s="299">
        <f t="shared" si="126"/>
        <v>34112.790000000008</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9"/>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6647.43</v>
      </c>
      <c r="M210" s="303"/>
      <c r="N210" s="304">
        <f t="shared" si="129"/>
        <v>-425.76166666666631</v>
      </c>
      <c r="O210" s="303"/>
      <c r="P210" s="178"/>
      <c r="Q210" s="180">
        <f>SUMIFS(BV_Data_An_Prec!$O:$O,BV_Data_An_Prec!$U:$U,$B210,BV_Data_An_Prec!$V:$V,$C210,BV_Data_An_Prec!$W:$W,$L$2)</f>
        <v>13895.47</v>
      </c>
      <c r="R210" s="303"/>
      <c r="S210" s="199">
        <f t="shared" si="126"/>
        <v>-7248.0399999999991</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9"/>
        <v>ServiceService gratuit 2</v>
      </c>
      <c r="B211" s="24" t="s">
        <v>155</v>
      </c>
      <c r="C211" s="264" t="s">
        <v>122</v>
      </c>
      <c r="D211" s="301"/>
      <c r="E211" s="178"/>
      <c r="F211" s="179">
        <f>+INDEX('Budget original'!$A$2:$AO$496,MATCH($A211,'Budget original'!$A$2:$A$496,0),MATCH(F$2,'Budget original'!$A$2:$AO$2,0))</f>
        <v>2252.7530495778146</v>
      </c>
      <c r="G211" s="302"/>
      <c r="H211" s="178"/>
      <c r="I211" s="179">
        <f>+INDEX('Budget révisé'!$A$2:$AO$496,MATCH($A211,'Budget révisé'!$A$2:$A$496,0),MATCH(I$2,'Budget révisé'!$A$2:$AO$2,0))</f>
        <v>2252.7530495778146</v>
      </c>
      <c r="J211" s="303"/>
      <c r="K211" s="178"/>
      <c r="L211" s="980">
        <f>SUMIFS(BV_Data_An_Cour!$O:$O,BV_Data_An_Cour!$U:$U,$B211,BV_Data_An_Cour!$V:$V,$C211,BV_Data_An_Cour!$W:$W,$L$2)</f>
        <v>5586.45</v>
      </c>
      <c r="M211" s="303"/>
      <c r="N211" s="304">
        <f t="shared" si="129"/>
        <v>3333.6969504221852</v>
      </c>
      <c r="O211" s="303"/>
      <c r="P211" s="178"/>
      <c r="Q211" s="180">
        <f>SUMIFS(BV_Data_An_Prec!$O:$O,BV_Data_An_Prec!$U:$U,$B211,BV_Data_An_Prec!$V:$V,$C211,BV_Data_An_Prec!$W:$W,$L$2)</f>
        <v>2757.48</v>
      </c>
      <c r="R211" s="303"/>
      <c r="S211" s="199">
        <f t="shared" si="126"/>
        <v>2828.97</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9"/>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17414.099999999999</v>
      </c>
      <c r="M212" s="310"/>
      <c r="N212" s="311">
        <f t="shared" si="129"/>
        <v>650.0199999999968</v>
      </c>
      <c r="O212" s="310"/>
      <c r="P212" s="308"/>
      <c r="Q212" s="180">
        <f>SUMIFS(BV_Data_An_Prec!$O:$O,BV_Data_An_Prec!$U:$U,$B212,BV_Data_An_Prec!$V:$V,$C212,BV_Data_An_Prec!$W:$W,$L$2)</f>
        <v>12606.24</v>
      </c>
      <c r="R212" s="310"/>
      <c r="S212" s="202">
        <f t="shared" si="126"/>
        <v>4807.8599999999988</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9"/>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4134.6099999999997</v>
      </c>
      <c r="M213" s="303"/>
      <c r="N213" s="304">
        <f t="shared" si="129"/>
        <v>-290.9372000000003</v>
      </c>
      <c r="O213" s="303"/>
      <c r="P213" s="178"/>
      <c r="Q213" s="181">
        <f>SUMIFS(BV_Data_An_Prec!$O:$O,BV_Data_An_Prec!$U:$U,$B213,BV_Data_An_Prec!$V:$V,$C213,BV_Data_An_Prec!$W:$W,$L$2)</f>
        <v>4526.45</v>
      </c>
      <c r="R213" s="303"/>
      <c r="S213" s="199">
        <f t="shared" si="126"/>
        <v>-391.84000000000015</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9"/>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440.54</v>
      </c>
      <c r="M214" s="303"/>
      <c r="N214" s="304">
        <f t="shared" si="129"/>
        <v>-756.83259999999996</v>
      </c>
      <c r="O214" s="303"/>
      <c r="P214" s="178"/>
      <c r="Q214" s="180">
        <f>SUMIFS(BV_Data_An_Prec!$O:$O,BV_Data_An_Prec!$U:$U,$B214,BV_Data_An_Prec!$V:$V,$C214,BV_Data_An_Prec!$W:$W,$L$2)</f>
        <v>1458.48</v>
      </c>
      <c r="R214" s="303"/>
      <c r="S214" s="199">
        <f t="shared" si="126"/>
        <v>-1017.94</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9"/>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1704.31</v>
      </c>
      <c r="M215" s="310"/>
      <c r="N215" s="311">
        <f t="shared" si="129"/>
        <v>-1809.2109999999993</v>
      </c>
      <c r="O215" s="310"/>
      <c r="P215" s="308"/>
      <c r="Q215" s="180">
        <f>SUMIFS(BV_Data_An_Prec!$O:$O,BV_Data_An_Prec!$U:$U,$B215,BV_Data_An_Prec!$V:$V,$C215,BV_Data_An_Prec!$W:$W,$L$2)</f>
        <v>9523.6200000000008</v>
      </c>
      <c r="R215" s="310"/>
      <c r="S215" s="202">
        <f t="shared" si="126"/>
        <v>-7819.3100000000013</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30">+B216&amp;C216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31">L216-I216</f>
        <v>0</v>
      </c>
      <c r="O216" s="303"/>
      <c r="P216" s="178"/>
      <c r="Q216" s="181">
        <f>SUMIFS(BV_Data_An_Prec!$O:$O,BV_Data_An_Prec!$U:$U,$B216,BV_Data_An_Prec!$V:$V,$C216,BV_Data_An_Prec!$W:$W,$L$2)</f>
        <v>0</v>
      </c>
      <c r="R216" s="303"/>
      <c r="S216" s="199">
        <f t="shared" ref="S216" si="132">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9"/>
        <v>ServiceFournitures autres</v>
      </c>
      <c r="B217" s="24" t="s">
        <v>155</v>
      </c>
      <c r="C217" s="264" t="s">
        <v>127</v>
      </c>
      <c r="D217" s="301"/>
      <c r="E217" s="178"/>
      <c r="F217" s="179">
        <f>+INDEX('Budget original'!$A$2:$AO$496,MATCH($A217,'Budget original'!$A$2:$A$496,0),MATCH(F$2,'Budget original'!$A$2:$AO$2,0))</f>
        <v>572</v>
      </c>
      <c r="G217" s="302"/>
      <c r="H217" s="178"/>
      <c r="I217" s="179">
        <f>+INDEX('Budget révisé'!$A$2:$AO$496,MATCH($A217,'Budget révisé'!$A$2:$A$496,0),MATCH(I$2,'Budget révisé'!$A$2:$AO$2,0))</f>
        <v>572</v>
      </c>
      <c r="J217" s="303"/>
      <c r="K217" s="178"/>
      <c r="L217" s="180">
        <f>SUMIFS(BV_Data_An_Cour!$O:$O,BV_Data_An_Cour!$U:$U,$B217,BV_Data_An_Cour!$V:$V,$C217,BV_Data_An_Cour!$W:$W,$L$2)</f>
        <v>726.3</v>
      </c>
      <c r="M217" s="303"/>
      <c r="N217" s="304">
        <f t="shared" si="129"/>
        <v>154.29999999999995</v>
      </c>
      <c r="O217" s="303"/>
      <c r="P217" s="178"/>
      <c r="Q217" s="180">
        <f>SUMIFS(BV_Data_An_Prec!$O:$O,BV_Data_An_Prec!$U:$U,$B217,BV_Data_An_Prec!$V:$V,$C217,BV_Data_An_Prec!$W:$W,$L$2)</f>
        <v>420</v>
      </c>
      <c r="R217" s="303"/>
      <c r="S217" s="199">
        <f t="shared" si="126"/>
        <v>306.29999999999995</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9"/>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844.55</v>
      </c>
      <c r="M218" s="303"/>
      <c r="N218" s="304">
        <f t="shared" si="129"/>
        <v>-455.45000000000005</v>
      </c>
      <c r="O218" s="303"/>
      <c r="P218" s="178"/>
      <c r="Q218" s="180">
        <f>SUMIFS(BV_Data_An_Prec!$O:$O,BV_Data_An_Prec!$U:$U,$B218,BV_Data_An_Prec!$V:$V,$C218,BV_Data_An_Prec!$W:$W,$L$2)</f>
        <v>1300</v>
      </c>
      <c r="R218" s="303"/>
      <c r="S218" s="199">
        <f t="shared" si="126"/>
        <v>-455.45000000000005</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9"/>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289.43</v>
      </c>
      <c r="M219" s="303"/>
      <c r="N219" s="304">
        <f t="shared" si="129"/>
        <v>-233.76999999999992</v>
      </c>
      <c r="O219" s="303"/>
      <c r="P219" s="178"/>
      <c r="Q219" s="554">
        <f>SUMIFS(BV_Data_An_Prec!$O:$O,BV_Data_An_Prec!$U:$U,$B219,BV_Data_An_Prec!$V:$V,$C219,BV_Data_An_Prec!$W:$W,$L$2)</f>
        <v>444</v>
      </c>
      <c r="R219" s="303"/>
      <c r="S219" s="199">
        <f t="shared" si="126"/>
        <v>-154.57</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9"/>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250.47</v>
      </c>
      <c r="M220" s="303"/>
      <c r="N220" s="304">
        <f t="shared" si="129"/>
        <v>-210.71399999999997</v>
      </c>
      <c r="O220" s="303"/>
      <c r="P220" s="178"/>
      <c r="Q220" s="180">
        <f>SUMIFS(BV_Data_An_Prec!$O:$O,BV_Data_An_Prec!$U:$U,$B220,BV_Data_An_Prec!$V:$V,$C220,BV_Data_An_Prec!$W:$W,$L$2)</f>
        <v>585.75</v>
      </c>
      <c r="R220" s="303"/>
      <c r="S220" s="199">
        <f t="shared" si="126"/>
        <v>-335.28</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9"/>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103.76</v>
      </c>
      <c r="M221" s="303"/>
      <c r="N221" s="304">
        <f t="shared" si="129"/>
        <v>-103.83999999999999</v>
      </c>
      <c r="O221" s="303"/>
      <c r="P221" s="178"/>
      <c r="Q221" s="180">
        <f>SUMIFS(BV_Data_An_Prec!$O:$O,BV_Data_An_Prec!$U:$U,$B221,BV_Data_An_Prec!$V:$V,$C221,BV_Data_An_Prec!$W:$W,$L$2)</f>
        <v>52.75</v>
      </c>
      <c r="R221" s="303"/>
      <c r="S221" s="199">
        <f t="shared" si="126"/>
        <v>51.010000000000005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9"/>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1428.94</v>
      </c>
      <c r="M222" s="303"/>
      <c r="N222" s="304">
        <f t="shared" si="129"/>
        <v>467.10000000000014</v>
      </c>
      <c r="O222" s="303"/>
      <c r="P222" s="178"/>
      <c r="Q222" s="180">
        <f>SUMIFS(BV_Data_An_Prec!$O:$O,BV_Data_An_Prec!$U:$U,$B222,BV_Data_An_Prec!$V:$V,$C222,BV_Data_An_Prec!$W:$W,$L$2)</f>
        <v>1127.5899999999999</v>
      </c>
      <c r="R222" s="303"/>
      <c r="S222" s="199">
        <f t="shared" si="126"/>
        <v>301.35000000000014</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9"/>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1565.09</v>
      </c>
      <c r="M223" s="303"/>
      <c r="N223" s="304">
        <f t="shared" si="129"/>
        <v>173.82999999999993</v>
      </c>
      <c r="O223" s="303"/>
      <c r="P223" s="178"/>
      <c r="Q223" s="180">
        <f>SUMIFS(BV_Data_An_Prec!$O:$O,BV_Data_An_Prec!$U:$U,$B223,BV_Data_An_Prec!$V:$V,$C223,BV_Data_An_Prec!$W:$W,$L$2)</f>
        <v>2786.67</v>
      </c>
      <c r="R223" s="303"/>
      <c r="S223" s="199">
        <f t="shared" si="126"/>
        <v>-1221.5800000000002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9"/>
        <v>ServiceFrais bancaires</v>
      </c>
      <c r="B224" s="24" t="s">
        <v>155</v>
      </c>
      <c r="C224" s="264" t="s">
        <v>134</v>
      </c>
      <c r="D224" s="301"/>
      <c r="E224" s="178"/>
      <c r="F224" s="179">
        <f>+INDEX('Budget original'!$A$2:$AO$496,MATCH($A224,'Budget original'!$A$2:$A$496,0),MATCH(F$2,'Budget original'!$A$2:$AO$2,0))</f>
        <v>1562.4856180940822</v>
      </c>
      <c r="G224" s="302"/>
      <c r="H224" s="178"/>
      <c r="I224" s="179">
        <f>+INDEX('Budget révisé'!$A$2:$AO$496,MATCH($A224,'Budget révisé'!$A$2:$A$496,0),MATCH(I$2,'Budget révisé'!$A$2:$AO$2,0))</f>
        <v>1562.4856180940822</v>
      </c>
      <c r="J224" s="303"/>
      <c r="K224" s="178"/>
      <c r="L224" s="281">
        <f>AF447*W5</f>
        <v>1502.0505000000001</v>
      </c>
      <c r="M224" s="303"/>
      <c r="N224" s="304">
        <f t="shared" si="129"/>
        <v>-60.4351180940821</v>
      </c>
      <c r="O224" s="303"/>
      <c r="P224" s="178"/>
      <c r="Q224" s="281">
        <f>AL447*W5</f>
        <v>1341.1665</v>
      </c>
      <c r="R224" s="303"/>
      <c r="S224" s="199">
        <f t="shared" si="126"/>
        <v>160.88400000000001</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9"/>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9"/>
        <v>0</v>
      </c>
      <c r="O225" s="303"/>
      <c r="P225" s="178"/>
      <c r="Q225" s="180">
        <f>SUMIFS(BV_Data_An_Prec!$O:$O,BV_Data_An_Prec!$U:$U,$B225,BV_Data_An_Prec!$V:$V,$C225,BV_Data_An_Prec!$W:$W,$L$2)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B226" s="24"/>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3">L226-I226</f>
        <v>0</v>
      </c>
      <c r="O226" s="303"/>
      <c r="P226" s="178"/>
      <c r="Q226" s="180">
        <f>SUMIFS(BV_Data_An_Prec!$O:$O,BV_Data_An_Prec!$U:$U,$B226,BV_Data_An_Prec!$V:$V,$C226,BV_Data_An_Prec!$W:$W,$L$2)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9"/>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9"/>
        <v>0</v>
      </c>
      <c r="O227" s="303"/>
      <c r="P227" s="178"/>
      <c r="Q227" s="180">
        <f>SUMIFS(BV_Data_An_Prec!$O:$O,BV_Data_An_Prec!$U:$U,$B227,BV_Data_An_Prec!$V:$V,$C227,BV_Data_An_Prec!$W:$W,$L$2)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0.28330974621675548</v>
      </c>
      <c r="F228" s="41">
        <f>+SUM(F210:F227)</f>
        <v>42206.035134338563</v>
      </c>
      <c r="G228" s="42" t="s">
        <v>170</v>
      </c>
      <c r="H228" s="40">
        <f>I228/I$193</f>
        <v>0.28330974621675548</v>
      </c>
      <c r="I228" s="41">
        <f>+SUM(I210:I227)</f>
        <v>42206.035134338563</v>
      </c>
      <c r="J228" s="42" t="s">
        <v>170</v>
      </c>
      <c r="K228" s="40">
        <f>L228/L$193</f>
        <v>0.2657953104534756</v>
      </c>
      <c r="L228" s="41">
        <f>+SUM(L210:L227)</f>
        <v>42638.030500000001</v>
      </c>
      <c r="M228" s="44"/>
      <c r="N228" s="41">
        <f t="shared" ref="N228" si="135">L228-I228</f>
        <v>431.99536566143797</v>
      </c>
      <c r="O228" s="42" t="s">
        <v>170</v>
      </c>
      <c r="P228" s="40">
        <f>Q228/Q$193</f>
        <v>0.38673232040637529</v>
      </c>
      <c r="Q228" s="41">
        <f>+SUM(Q210:Q227)</f>
        <v>52825.666499999999</v>
      </c>
      <c r="R228" s="44"/>
      <c r="S228" s="316">
        <f t="shared" ref="S228" si="136">L228-Q228</f>
        <v>-10187.635999999999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1.0755607531554008</v>
      </c>
      <c r="F230" s="41">
        <f>F209+F228</f>
        <v>160231.532952846</v>
      </c>
      <c r="G230" s="42" t="s">
        <v>111</v>
      </c>
      <c r="H230" s="40">
        <f>I230/I$193</f>
        <v>1.0755607531554008</v>
      </c>
      <c r="I230" s="41">
        <f>I209+I228</f>
        <v>160231.532952846</v>
      </c>
      <c r="J230" s="42" t="s">
        <v>111</v>
      </c>
      <c r="K230" s="40">
        <f>L230/L$193</f>
        <v>0.99638766303701742</v>
      </c>
      <c r="L230" s="41">
        <f>L209+L228</f>
        <v>159837.31049999999</v>
      </c>
      <c r="M230" s="44"/>
      <c r="N230" s="46">
        <f t="shared" ref="N230:N232" si="137">L230-I230</f>
        <v>-394.22245284600649</v>
      </c>
      <c r="O230" s="42" t="s">
        <v>111</v>
      </c>
      <c r="P230" s="40">
        <f>Q230/Q$193</f>
        <v>0.9950016182887047</v>
      </c>
      <c r="Q230" s="41">
        <f>Q209+Q228</f>
        <v>135912.15649999998</v>
      </c>
      <c r="R230" s="44"/>
      <c r="S230" s="299">
        <f>L230-Q230</f>
        <v>23925.15400000001</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7"/>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-11256.654051054036</v>
      </c>
      <c r="G232" s="344"/>
      <c r="H232" s="342"/>
      <c r="I232" s="343">
        <f>I193-I230</f>
        <v>-11256.654051054036</v>
      </c>
      <c r="J232" s="345"/>
      <c r="K232" s="346"/>
      <c r="L232" s="343">
        <f>L193-L230</f>
        <v>579.47950000001583</v>
      </c>
      <c r="M232" s="345"/>
      <c r="N232" s="343">
        <f t="shared" si="137"/>
        <v>11836.133551054052</v>
      </c>
      <c r="O232" s="345"/>
      <c r="P232" s="346"/>
      <c r="Q232" s="343">
        <f>Q193-Q230</f>
        <v>682.75350000002072</v>
      </c>
      <c r="R232" s="345"/>
      <c r="S232" s="347">
        <f>L232-Q232</f>
        <v>-103.27400000000489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Mars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35" t="s">
        <v>77</v>
      </c>
      <c r="E237" s="1136"/>
      <c r="F237" s="1137"/>
      <c r="G237" s="1138" t="s">
        <v>145</v>
      </c>
      <c r="H237" s="1136"/>
      <c r="I237" s="1137"/>
      <c r="J237" s="1138" t="s">
        <v>79</v>
      </c>
      <c r="K237" s="1136"/>
      <c r="L237" s="1137"/>
      <c r="M237" s="1138" t="s">
        <v>80</v>
      </c>
      <c r="N237" s="1137"/>
      <c r="O237" s="1135" t="s">
        <v>81</v>
      </c>
      <c r="P237" s="1136"/>
      <c r="Q237" s="1137"/>
      <c r="R237" s="1138" t="s">
        <v>82</v>
      </c>
      <c r="S237" s="1139"/>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8">+B238&amp;C238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8"/>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8"/>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87475.969165700837</v>
      </c>
      <c r="F240" s="197">
        <f>+INDEX('Budget original'!$A$2:$AO$496,MATCH($A240,'Budget original'!$A$2:$A$496,0),MATCH(F$2,'Budget original'!$A$2:$AO$2,0))</f>
        <v>19930.33567748265</v>
      </c>
      <c r="G240" s="348">
        <f>+INDEX('Budget révisé'!$A$2:$AO$496,MATCH($A240,'Budget révisé'!$A$2:$A$496,0),MATCH(G$2,'Budget révisé'!$A$2:$AO$2,0))</f>
        <v>0</v>
      </c>
      <c r="H240" s="197">
        <f>+INDEX('Budget révisé'!$A$2:$AO$496,MATCH($A240,'Budget révisé'!$A$2:$A$496,0),MATCH(H$2,'Budget révisé'!$A$2:$AO$2,0))</f>
        <v>87475.969165700837</v>
      </c>
      <c r="I240" s="197">
        <f>+INDEX('Budget révisé'!$A$2:$AO$496,MATCH($A240,'Budget révisé'!$A$2:$A$496,0),MATCH(I$2,'Budget révisé'!$A$2:$AO$2,0))</f>
        <v>19930.33567748265</v>
      </c>
      <c r="J240" s="325">
        <f>-SUMIFS(BV_Data_An_Cour!$O:$O,BV_Data_An_Cour!$U:$U,$B240,BV_Data_An_Cour!$V:$V,$C240,BV_Data_An_Cour!$W:$W,J$2)</f>
        <v>73</v>
      </c>
      <c r="K240" s="179">
        <f>-SUMIFS(BV_Data_An_Cour!$O:$O,BV_Data_An_Cour!$X:$X,"Oui",BV_Data_An_Cour!$U:$U,$B240,BV_Data_An_Cour!$V:$V,$C240)</f>
        <v>102021.47</v>
      </c>
      <c r="L240" s="180">
        <f>-SUMIFS(BV_Data_An_Cour!$O:$O,BV_Data_An_Cour!$U:$U,$B240,BV_Data_An_Cour!$V:$V,$C240,BV_Data_An_Cour!$W:$W,$L$2)</f>
        <v>22256.849999999995</v>
      </c>
      <c r="M240" s="324">
        <f>IFERROR((K240-H240)/H240,0)</f>
        <v>0.16627996206302598</v>
      </c>
      <c r="N240" s="304">
        <f>L240-I240</f>
        <v>2326.5143225173451</v>
      </c>
      <c r="O240" s="325">
        <f>-SUMIFS(BV_Data_An_Prec!$O:$O,BV_Data_An_Prec!$U:$U,$B240,BV_Data_An_Prec!$V:$V,$C240,BV_Data_An_Prec!$W:$W,O$2)</f>
        <v>92</v>
      </c>
      <c r="P240" s="179">
        <f>-SUMIFS(BV_Data_An_Prec!$O:$O,BV_Data_An_Prec!$X:$X,"Oui",BV_Data_An_Prec!$U:$U,$B240,BV_Data_An_Prec!$V:$V,$C240)</f>
        <v>131673.60000000001</v>
      </c>
      <c r="Q240" s="180">
        <f>-SUMIFS(BV_Data_An_Prec!$O:$O,BV_Data_An_Prec!$U:$U,$B240,BV_Data_An_Prec!$V:$V,$C240,BV_Data_An_Prec!$W:$W,$L$2)</f>
        <v>28952.58</v>
      </c>
      <c r="R240" s="324">
        <f>IF(O240=0,0,J240/O240)</f>
        <v>0.79347826086956519</v>
      </c>
      <c r="S240" s="199">
        <f>L240-Q240</f>
        <v>-6695.7300000000068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8"/>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0.21815849154104519</v>
      </c>
      <c r="M241" s="324"/>
      <c r="N241" s="304">
        <f>IFERROR(N240/M240,0)</f>
        <v>13991.549514760618</v>
      </c>
      <c r="O241" s="325"/>
      <c r="P241" s="178"/>
      <c r="Q241" s="350">
        <f>IFERROR(Q240/P240,0)</f>
        <v>0.2198814340915719</v>
      </c>
      <c r="R241" s="325"/>
      <c r="S241" s="199">
        <f>IFERROR(S240/R240,0)</f>
        <v>-8438.4542465753511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8"/>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8"/>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SUMIFS(BV_Data_An_Cour!$C$1:$C$637,BV_Data_An_Cour!$V$1:$V$637,$C243,BV_Data_An_Cour!$U$1:$U$637,$K$235)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8"/>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8"/>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8"/>
        <v>CarrosserieM/O Esthétique Carr.</v>
      </c>
      <c r="B246" s="24" t="s">
        <v>171</v>
      </c>
      <c r="C246" s="351" t="s">
        <v>174</v>
      </c>
      <c r="D246" s="357">
        <v>0</v>
      </c>
      <c r="E246" s="197">
        <v>0</v>
      </c>
      <c r="F246" s="197">
        <v>0</v>
      </c>
      <c r="G246" s="354">
        <v>0</v>
      </c>
      <c r="H246" s="197">
        <v>0</v>
      </c>
      <c r="I246" s="197">
        <v>0</v>
      </c>
      <c r="J246" s="354">
        <f>SUMIFS(BV_Data_An_Cour!$C$1:$C$637,BV_Data_An_Cour!$V$1:$V$637,$C246,BV_Data_An_Cour!$U$1:$U$637,$K$235)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8"/>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8"/>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8"/>
        <v>CarrosserieTotal Mécanique</v>
      </c>
      <c r="B249" s="24" t="s">
        <v>171</v>
      </c>
      <c r="C249" s="269" t="s">
        <v>169</v>
      </c>
      <c r="D249" s="26"/>
      <c r="E249" s="26">
        <f t="shared" ref="E249:F249" si="139">E243+E246+E240</f>
        <v>87475.969165700837</v>
      </c>
      <c r="F249" s="28">
        <f t="shared" si="139"/>
        <v>19930.33567748265</v>
      </c>
      <c r="G249" s="29"/>
      <c r="H249" s="26">
        <f t="shared" ref="H249:I249" si="140">H243+H246+H240</f>
        <v>87475.969165700837</v>
      </c>
      <c r="I249" s="28">
        <f t="shared" si="140"/>
        <v>19930.33567748265</v>
      </c>
      <c r="J249" s="29"/>
      <c r="K249" s="26">
        <f t="shared" ref="K249:L249" si="141">K243+K246+K240</f>
        <v>102021.47</v>
      </c>
      <c r="L249" s="28">
        <f t="shared" si="141"/>
        <v>22256.849999999995</v>
      </c>
      <c r="M249" s="70">
        <f>L250-I250</f>
        <v>-9.6793462967926513E-3</v>
      </c>
      <c r="N249" s="28">
        <f>L249-I249</f>
        <v>2326.5143225173451</v>
      </c>
      <c r="O249" s="29"/>
      <c r="P249" s="26">
        <f t="shared" ref="P249:Q249" si="142">P243+P246+P240</f>
        <v>131673.60000000001</v>
      </c>
      <c r="Q249" s="28">
        <f t="shared" si="142"/>
        <v>28952.58</v>
      </c>
      <c r="R249" s="70">
        <f>L250-Q250</f>
        <v>-1.7229425505267126E-3</v>
      </c>
      <c r="S249" s="363">
        <f>L249-Q249</f>
        <v>-6695.7300000000068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8"/>
        <v>Carrosserie</v>
      </c>
      <c r="B250" s="24" t="s">
        <v>171</v>
      </c>
      <c r="C250" s="364"/>
      <c r="D250" s="365"/>
      <c r="E250" s="365"/>
      <c r="F250" s="34">
        <f>F249/E249</f>
        <v>0.22783783783783784</v>
      </c>
      <c r="G250" s="31"/>
      <c r="H250" s="365"/>
      <c r="I250" s="34">
        <f>I249/H249</f>
        <v>0.22783783783783784</v>
      </c>
      <c r="J250" s="31"/>
      <c r="K250" s="365"/>
      <c r="L250" s="34">
        <f>IF(K249=0,0,L249/K249)</f>
        <v>0.21815849154104519</v>
      </c>
      <c r="M250" s="33"/>
      <c r="N250" s="34">
        <f>N249/I249</f>
        <v>0.11673232002538962</v>
      </c>
      <c r="O250" s="31"/>
      <c r="P250" s="365"/>
      <c r="Q250" s="34">
        <f>IF(P249=0,0,Q249/P249)</f>
        <v>0.2198814340915719</v>
      </c>
      <c r="R250" s="33"/>
      <c r="S250" s="272">
        <f>IF(R249=0,0,S249/R249)</f>
        <v>3886217.7952207904</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8"/>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8"/>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8"/>
        <v>CarrosserieSalaires cadres</v>
      </c>
      <c r="B253" s="24" t="s">
        <v>171</v>
      </c>
      <c r="C253" s="280" t="s">
        <v>112</v>
      </c>
      <c r="D253" s="233"/>
      <c r="E253" s="233"/>
      <c r="F253" s="231">
        <f>+INDEX('Budget original'!$A$2:$AO$496,MATCH($A253,'Budget original'!$A$2:$A$496,0),MATCH(F$2,'Budget original'!$A$2:$AO$2,0))</f>
        <v>310.25325670498086</v>
      </c>
      <c r="G253" s="227"/>
      <c r="H253" s="233"/>
      <c r="I253" s="231">
        <f>+INDEX('Budget révisé'!$A$2:$AO$496,MATCH($A253,'Budget révisé'!$A$2:$A$496,0),MATCH(I$2,'Budget révisé'!$A$2:$AO$2,0))</f>
        <v>310.25325670498086</v>
      </c>
      <c r="J253" s="227"/>
      <c r="K253" s="233"/>
      <c r="L253" s="281">
        <f>SUMIFS(BV_Data_An_Cour!$O:$O,BV_Data_An_Cour!$U:$U,$B253,BV_Data_An_Cour!$V:$V,$C253,BV_Data_An_Cour!$W:$W,$L$2)</f>
        <v>809.12</v>
      </c>
      <c r="M253" s="227"/>
      <c r="N253" s="232">
        <f t="shared" ref="N253:N283" si="143">L253-I253</f>
        <v>498.86674329501915</v>
      </c>
      <c r="O253" s="227"/>
      <c r="P253" s="233"/>
      <c r="Q253" s="281">
        <f>SUMIFS(BV_Data_An_Prec!$O:$O,BV_Data_An_Prec!$U:$U,$B253,BV_Data_An_Prec!$V:$V,$C253,BV_Data_An_Prec!$W:$W,$L$2)</f>
        <v>141.69</v>
      </c>
      <c r="R253" s="227"/>
      <c r="S253" s="512">
        <f>L253-Q253</f>
        <v>667.43000000000006</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8"/>
        <v>CarrosserieSalaires commis</v>
      </c>
      <c r="B254" s="24" t="s">
        <v>171</v>
      </c>
      <c r="C254" s="282" t="s">
        <v>113</v>
      </c>
      <c r="D254" s="262"/>
      <c r="E254" s="233"/>
      <c r="F254" s="244">
        <f>+INDEX('Budget original'!$A$2:$AO$496,MATCH($A254,'Budget original'!$A$2:$A$496,0),MATCH(F$2,'Budget original'!$A$2:$AO$2,0))</f>
        <v>582.51336470498097</v>
      </c>
      <c r="G254" s="283"/>
      <c r="H254" s="233"/>
      <c r="I254" s="244">
        <f>+INDEX('Budget révisé'!$A$2:$AO$496,MATCH($A254,'Budget révisé'!$A$2:$A$496,0),MATCH(I$2,'Budget révisé'!$A$2:$AO$2,0))</f>
        <v>582.51336470498097</v>
      </c>
      <c r="J254" s="227"/>
      <c r="K254" s="233"/>
      <c r="L254" s="281">
        <f>SUMIFS(BV_Data_An_Cour!$O:$O,BV_Data_An_Cour!$U:$U,$B254,BV_Data_An_Cour!$V:$V,$C254,BV_Data_An_Cour!$W:$W,$L$2)</f>
        <v>519.5</v>
      </c>
      <c r="M254" s="227"/>
      <c r="N254" s="232">
        <f t="shared" si="143"/>
        <v>-63.013364704980972</v>
      </c>
      <c r="O254" s="227"/>
      <c r="P254" s="233"/>
      <c r="Q254" s="281">
        <f>SUMIFS(BV_Data_An_Prec!$O:$O,BV_Data_An_Prec!$U:$U,$B254,BV_Data_An_Prec!$V:$V,$C254,BV_Data_An_Prec!$W:$W,$L$2)</f>
        <v>920.51</v>
      </c>
      <c r="R254" s="227"/>
      <c r="S254" s="284">
        <f>L254-Q254</f>
        <v>-401.01</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8"/>
        <v>CarrosserieSalaires autres</v>
      </c>
      <c r="B255" s="24" t="s">
        <v>171</v>
      </c>
      <c r="C255" s="280" t="s">
        <v>114</v>
      </c>
      <c r="D255" s="285"/>
      <c r="E255" s="286"/>
      <c r="F255" s="231">
        <f>+INDEX('Budget original'!$A$2:$AO$496,MATCH($A255,'Budget original'!$A$2:$A$496,0),MATCH(F$2,'Budget original'!$A$2:$AO$2,0))</f>
        <v>3611.5604702038304</v>
      </c>
      <c r="G255" s="287"/>
      <c r="H255" s="286"/>
      <c r="I255" s="231">
        <f>+INDEX('Budget révisé'!$A$2:$AO$496,MATCH($A255,'Budget révisé'!$A$2:$A$496,0),MATCH(I$2,'Budget révisé'!$A$2:$AO$2,0))</f>
        <v>3611.5604702038304</v>
      </c>
      <c r="J255" s="288"/>
      <c r="K255" s="286"/>
      <c r="L255" s="245">
        <f>SUMIFS(BV_Data_An_Cour!$O:$O,BV_Data_An_Cour!$U:$U,$B255,BV_Data_An_Cour!$V:$V,$C255,BV_Data_An_Cour!$W:$W,$L$2)</f>
        <v>3896.39</v>
      </c>
      <c r="M255" s="288"/>
      <c r="N255" s="289">
        <f t="shared" si="143"/>
        <v>284.82952979616948</v>
      </c>
      <c r="O255" s="288"/>
      <c r="P255" s="286"/>
      <c r="Q255" s="245">
        <f>SUMIFS(BV_Data_An_Prec!$O:$O,BV_Data_An_Prec!$U:$U,$B255,BV_Data_An_Prec!$V:$V,$C255,BV_Data_An_Prec!$W:$W,$L$2)</f>
        <v>5321.42</v>
      </c>
      <c r="R255" s="288"/>
      <c r="S255" s="290">
        <f t="shared" ref="S255:S264" si="144">L255-Q255</f>
        <v>-1425.0300000000002</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8"/>
        <v>CarrosserieSalaires spécialistes</v>
      </c>
      <c r="B256" s="24" t="s">
        <v>171</v>
      </c>
      <c r="C256" s="280" t="s">
        <v>115</v>
      </c>
      <c r="D256" s="262"/>
      <c r="E256" s="233"/>
      <c r="F256" s="231">
        <f>+INDEX('Budget original'!$A$2:$AO$496,MATCH($A256,'Budget original'!$A$2:$A$496,0),MATCH(F$2,'Budget original'!$A$2:$AO$2,0))</f>
        <v>3696.560712643678</v>
      </c>
      <c r="G256" s="283"/>
      <c r="H256" s="233"/>
      <c r="I256" s="231">
        <f>+INDEX('Budget révisé'!$A$2:$AO$496,MATCH($A256,'Budget révisé'!$A$2:$A$496,0),MATCH(I$2,'Budget révisé'!$A$2:$AO$2,0))</f>
        <v>3696.560712643678</v>
      </c>
      <c r="J256" s="227"/>
      <c r="K256" s="233"/>
      <c r="L256" s="281">
        <f>SUMIFS(BV_Data_An_Cour!$O:$O,BV_Data_An_Cour!$U:$U,$B256,BV_Data_An_Cour!$V:$V,$C256,BV_Data_An_Cour!$W:$W,$L$2)</f>
        <v>3178.88</v>
      </c>
      <c r="M256" s="227"/>
      <c r="N256" s="232">
        <f t="shared" si="143"/>
        <v>-517.68071264367791</v>
      </c>
      <c r="O256" s="227"/>
      <c r="P256" s="233"/>
      <c r="Q256" s="281">
        <f>SUMIFS(BV_Data_An_Prec!$O:$O,BV_Data_An_Prec!$U:$U,$B256,BV_Data_An_Prec!$V:$V,$C256,BV_Data_An_Prec!$W:$W,$L$2)</f>
        <v>5668.2</v>
      </c>
      <c r="R256" s="227"/>
      <c r="S256" s="284">
        <f t="shared" si="144"/>
        <v>-2489.3199999999997</v>
      </c>
      <c r="T256" s="233"/>
      <c r="U256" s="1090" t="s">
        <v>2930</v>
      </c>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8"/>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3"/>
        <v>0</v>
      </c>
      <c r="O257" s="227"/>
      <c r="P257" s="233"/>
      <c r="Q257" s="281">
        <f>SUMIFS(BV_Data_An_Prec!$O:$O,BV_Data_An_Prec!$U:$U,$B257,BV_Data_An_Prec!$V:$V,$C257,BV_Data_An_Prec!$W:$W,$L$2)</f>
        <v>0</v>
      </c>
      <c r="R257" s="227"/>
      <c r="S257" s="284">
        <f t="shared" si="144"/>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8"/>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3"/>
        <v>0</v>
      </c>
      <c r="O258" s="227"/>
      <c r="P258" s="233"/>
      <c r="Q258" s="281">
        <f>SUMIFS(BV_Data_An_Prec!$O:$O,BV_Data_An_Prec!$U:$U,$B258,BV_Data_An_Prec!$V:$V,$C258,BV_Data_An_Prec!$W:$W,$L$2)</f>
        <v>0</v>
      </c>
      <c r="R258" s="227"/>
      <c r="S258" s="284">
        <f t="shared" si="144"/>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8"/>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3"/>
        <v>0</v>
      </c>
      <c r="O259" s="227"/>
      <c r="P259" s="233"/>
      <c r="Q259" s="281">
        <f>SUMIFS(BV_Data_An_Prec!$O:$O,BV_Data_An_Prec!$U:$U,$B259,BV_Data_An_Prec!$V:$V,$C259,BV_Data_An_Prec!$W:$W,$L$2)</f>
        <v>0</v>
      </c>
      <c r="R259" s="227"/>
      <c r="S259" s="284">
        <f t="shared" si="144"/>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8"/>
        <v>CarrosserieSalaires en absences</v>
      </c>
      <c r="B260" s="24" t="s">
        <v>171</v>
      </c>
      <c r="C260" s="282" t="s">
        <v>116</v>
      </c>
      <c r="D260" s="262"/>
      <c r="E260" s="233"/>
      <c r="F260" s="244">
        <f>+INDEX('Budget original'!$A$2:$AO$496,MATCH($A260,'Budget original'!$A$2:$A$496,0),MATCH(F$2,'Budget original'!$A$2:$AO$2,0))</f>
        <v>984.10653651089626</v>
      </c>
      <c r="G260" s="283"/>
      <c r="H260" s="233"/>
      <c r="I260" s="244">
        <f>+INDEX('Budget révisé'!$A$2:$AO$496,MATCH($A260,'Budget révisé'!$A$2:$A$496,0),MATCH(I$2,'Budget révisé'!$A$2:$AO$2,0))</f>
        <v>984.10653651089626</v>
      </c>
      <c r="J260" s="227"/>
      <c r="K260" s="233"/>
      <c r="L260" s="281">
        <f>SUMIFS(BV_Data_An_Cour!$O:$O,BV_Data_An_Cour!$U:$U,$B260,BV_Data_An_Cour!$V:$V,$C260,BV_Data_An_Cour!$W:$W,$L$2)</f>
        <v>344.38</v>
      </c>
      <c r="M260" s="227"/>
      <c r="N260" s="232">
        <f t="shared" si="143"/>
        <v>-639.72653651089627</v>
      </c>
      <c r="O260" s="227"/>
      <c r="P260" s="233"/>
      <c r="Q260" s="281">
        <f>SUMIFS(BV_Data_An_Prec!$O:$O,BV_Data_An_Prec!$U:$U,$B260,BV_Data_An_Prec!$V:$V,$C260,BV_Data_An_Prec!$W:$W,$L$2)</f>
        <v>1220.52</v>
      </c>
      <c r="R260" s="227"/>
      <c r="S260" s="284">
        <f t="shared" si="144"/>
        <v>-876.14</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8"/>
        <v>CarrosserieDéduction à la source</v>
      </c>
      <c r="B261" s="24" t="s">
        <v>171</v>
      </c>
      <c r="C261" s="280" t="s">
        <v>117</v>
      </c>
      <c r="D261" s="285"/>
      <c r="E261" s="286"/>
      <c r="F261" s="231">
        <f>+INDEX('Budget original'!$A$2:$AO$496,MATCH($A261,'Budget original'!$A$2:$A$496,0),MATCH(F$2,'Budget original'!$A$2:$AO$2,0))</f>
        <v>984.10653651089626</v>
      </c>
      <c r="G261" s="287"/>
      <c r="H261" s="286"/>
      <c r="I261" s="231">
        <f>+INDEX('Budget révisé'!$A$2:$AO$496,MATCH($A261,'Budget révisé'!$A$2:$A$496,0),MATCH(I$2,'Budget révisé'!$A$2:$AO$2,0))</f>
        <v>984.10653651089626</v>
      </c>
      <c r="J261" s="288"/>
      <c r="K261" s="286"/>
      <c r="L261" s="245">
        <f>SUMIFS(BV_Data_An_Cour!$O:$O,BV_Data_An_Cour!$U:$U,$B261,BV_Data_An_Cour!$V:$V,$C261,BV_Data_An_Cour!$W:$W,$L$2)</f>
        <v>-46.45</v>
      </c>
      <c r="M261" s="288"/>
      <c r="N261" s="289">
        <f t="shared" si="143"/>
        <v>-1030.5565365108962</v>
      </c>
      <c r="O261" s="288"/>
      <c r="P261" s="286"/>
      <c r="Q261" s="245">
        <f>SUMIFS(BV_Data_An_Prec!$O:$O,BV_Data_An_Prec!$U:$U,$B261,BV_Data_An_Prec!$V:$V,$C261,BV_Data_An_Prec!$W:$W,$L$2)</f>
        <v>1214.3699999999999</v>
      </c>
      <c r="R261" s="288"/>
      <c r="S261" s="290">
        <f t="shared" si="144"/>
        <v>-1260.82</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8"/>
        <v>CarrosserieBénéfices marginaux</v>
      </c>
      <c r="B262" s="24" t="s">
        <v>171</v>
      </c>
      <c r="C262" s="280" t="s">
        <v>118</v>
      </c>
      <c r="D262" s="262"/>
      <c r="E262" s="233"/>
      <c r="F262" s="231">
        <f>+INDEX('Budget original'!$A$2:$AO$496,MATCH($A262,'Budget original'!$A$2:$A$496,0),MATCH(F$2,'Budget original'!$A$2:$AO$2,0))</f>
        <v>705.27635116614226</v>
      </c>
      <c r="G262" s="283"/>
      <c r="H262" s="233"/>
      <c r="I262" s="231">
        <f>+INDEX('Budget révisé'!$A$2:$AO$496,MATCH($A262,'Budget révisé'!$A$2:$A$496,0),MATCH(I$2,'Budget révisé'!$A$2:$AO$2,0))</f>
        <v>705.27635116614226</v>
      </c>
      <c r="J262" s="227"/>
      <c r="K262" s="233"/>
      <c r="L262" s="281">
        <f>SUMIFS(BV_Data_An_Cour!$O:$O,BV_Data_An_Cour!$U:$U,$B262,BV_Data_An_Cour!$V:$V,$C262,BV_Data_An_Cour!$W:$W,$L$2)</f>
        <v>-432.57</v>
      </c>
      <c r="M262" s="227"/>
      <c r="N262" s="232">
        <f t="shared" si="143"/>
        <v>-1137.8463511661423</v>
      </c>
      <c r="O262" s="227"/>
      <c r="P262" s="233"/>
      <c r="Q262" s="281">
        <f>SUMIFS(BV_Data_An_Prec!$O:$O,BV_Data_An_Prec!$U:$U,$B262,BV_Data_An_Prec!$V:$V,$C262,BV_Data_An_Prec!$W:$W,$L$2)</f>
        <v>532.33000000000004</v>
      </c>
      <c r="R262" s="227"/>
      <c r="S262" s="284">
        <f t="shared" si="144"/>
        <v>-964.90000000000009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8"/>
        <v>CarrosserieCsst</v>
      </c>
      <c r="B263" s="24" t="s">
        <v>171</v>
      </c>
      <c r="C263" s="280" t="s">
        <v>119</v>
      </c>
      <c r="D263" s="262"/>
      <c r="E263" s="233"/>
      <c r="F263" s="231">
        <f>+INDEX('Budget original'!$A$2:$AO$496,MATCH($A263,'Budget original'!$A$2:$A$496,0),MATCH(F$2,'Budget original'!$A$2:$AO$2,0))</f>
        <v>164.01775608514939</v>
      </c>
      <c r="G263" s="283"/>
      <c r="H263" s="233"/>
      <c r="I263" s="231">
        <f>+INDEX('Budget révisé'!$A$2:$AO$496,MATCH($A263,'Budget révisé'!$A$2:$A$496,0),MATCH(I$2,'Budget révisé'!$A$2:$AO$2,0))</f>
        <v>164.01775608514939</v>
      </c>
      <c r="J263" s="227"/>
      <c r="K263" s="233"/>
      <c r="L263" s="281">
        <f>SUMIFS(BV_Data_An_Cour!$O:$O,BV_Data_An_Cour!$U:$U,$B263,BV_Data_An_Cour!$V:$V,$C263,BV_Data_An_Cour!$W:$W,$L$2)</f>
        <v>161.37</v>
      </c>
      <c r="M263" s="227"/>
      <c r="N263" s="232">
        <f t="shared" si="143"/>
        <v>-2.647756085149382</v>
      </c>
      <c r="O263" s="227"/>
      <c r="P263" s="233"/>
      <c r="Q263" s="281">
        <f>SUMIFS(BV_Data_An_Prec!$O:$O,BV_Data_An_Prec!$U:$U,$B263,BV_Data_An_Prec!$V:$V,$C263,BV_Data_An_Prec!$W:$W,$L$2)</f>
        <v>296.83999999999997</v>
      </c>
      <c r="R263" s="227"/>
      <c r="S263" s="284">
        <f t="shared" si="144"/>
        <v>-135.46999999999997</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8"/>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3"/>
        <v>0</v>
      </c>
      <c r="O264" s="295"/>
      <c r="P264" s="293"/>
      <c r="Q264" s="281">
        <f>SUMIFS(BV_Data_An_Prec!$O:$O,BV_Data_An_Prec!$U:$U,$B264,BV_Data_An_Prec!$V:$V,$C264,BV_Data_An_Prec!$W:$W,$L$2)</f>
        <v>0</v>
      </c>
      <c r="R264" s="295"/>
      <c r="S264" s="297">
        <f t="shared" si="144"/>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8"/>
        <v>CarrosserieTOTAL PERSONNEL</v>
      </c>
      <c r="B265" s="24" t="s">
        <v>171</v>
      </c>
      <c r="C265" s="298" t="s">
        <v>120</v>
      </c>
      <c r="D265" s="39" t="s">
        <v>111</v>
      </c>
      <c r="E265" s="40" t="e">
        <f>F265/F$243</f>
        <v>#DIV/0!</v>
      </c>
      <c r="F265" s="41">
        <f>+SUM(F253:F264)</f>
        <v>11038.394984530554</v>
      </c>
      <c r="G265" s="42" t="s">
        <v>111</v>
      </c>
      <c r="H265" s="40" t="e">
        <f>I265/I$243</f>
        <v>#DIV/0!</v>
      </c>
      <c r="I265" s="41">
        <f>+SUM(I253:I264)</f>
        <v>11038.394984530554</v>
      </c>
      <c r="J265" s="42" t="s">
        <v>111</v>
      </c>
      <c r="K265" s="40">
        <f>IF(L243=0,0,L265/L$243)</f>
        <v>0</v>
      </c>
      <c r="L265" s="41">
        <f>+SUM(L253:L264)</f>
        <v>8430.619999999999</v>
      </c>
      <c r="M265" s="43"/>
      <c r="N265" s="46">
        <f t="shared" si="143"/>
        <v>-2607.7749845305552</v>
      </c>
      <c r="O265" s="42" t="s">
        <v>111</v>
      </c>
      <c r="P265" s="40">
        <f>IF(Q243=0,0,Q265/Q$243)</f>
        <v>0</v>
      </c>
      <c r="Q265" s="41">
        <f>+SUM(Q253:Q264)</f>
        <v>15315.88</v>
      </c>
      <c r="R265" s="43"/>
      <c r="S265" s="299">
        <f t="shared" ref="S265:S283" si="145">L265-Q265</f>
        <v>-6885.26</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8"/>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7.0000000000000007E-2</v>
      </c>
      <c r="M266" s="303"/>
      <c r="N266" s="304">
        <f t="shared" si="143"/>
        <v>7.0000000000000007E-2</v>
      </c>
      <c r="O266" s="303"/>
      <c r="P266" s="178"/>
      <c r="Q266" s="281">
        <f>SUMIFS(BV_Data_An_Prec!$O:$O,BV_Data_An_Prec!$U:$U,$B266,BV_Data_An_Prec!$V:$V,$C266,BV_Data_An_Prec!$W:$W,$L$2)</f>
        <v>0</v>
      </c>
      <c r="R266" s="303"/>
      <c r="S266" s="199">
        <f t="shared" si="145"/>
        <v>7.0000000000000007E-2</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8"/>
        <v>CarrosserieService gratuit 2</v>
      </c>
      <c r="B267" s="24" t="s">
        <v>171</v>
      </c>
      <c r="C267" s="305" t="s">
        <v>122</v>
      </c>
      <c r="D267" s="301"/>
      <c r="E267" s="178"/>
      <c r="F267" s="179">
        <f>+INDEX('Budget original'!$A$2:$AO$496,MATCH($A267,'Budget original'!$A$2:$A$496,0),MATCH(F$2,'Budget original'!$A$2:$AO$2,0))</f>
        <v>1112.6766673836501</v>
      </c>
      <c r="G267" s="302"/>
      <c r="H267" s="178"/>
      <c r="I267" s="179">
        <f>+INDEX('Budget révisé'!$A$2:$AO$496,MATCH($A267,'Budget révisé'!$A$2:$A$496,0),MATCH(I$2,'Budget révisé'!$A$2:$AO$2,0))</f>
        <v>1112.6766673836501</v>
      </c>
      <c r="J267" s="303"/>
      <c r="K267" s="178"/>
      <c r="L267" s="180">
        <f>SUMIFS(BV_Data_An_Cour!$O:$O,BV_Data_An_Cour!$U:$U,$B267,BV_Data_An_Cour!$V:$V,$C267,BV_Data_An_Cour!$W:$W,$L$2)</f>
        <v>180.5</v>
      </c>
      <c r="M267" s="303"/>
      <c r="N267" s="304">
        <f t="shared" si="143"/>
        <v>-932.17666738365006</v>
      </c>
      <c r="O267" s="303"/>
      <c r="P267" s="178"/>
      <c r="Q267" s="180">
        <f>SUMIFS(BV_Data_An_Prec!$O:$O,BV_Data_An_Prec!$U:$U,$B267,BV_Data_An_Prec!$V:$V,$C267,BV_Data_An_Prec!$W:$W,$L$2)</f>
        <v>1858.66</v>
      </c>
      <c r="R267" s="303"/>
      <c r="S267" s="199">
        <f t="shared" si="145"/>
        <v>-1678.16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8"/>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1041.1500000000001</v>
      </c>
      <c r="M268" s="310"/>
      <c r="N268" s="311">
        <f t="shared" si="143"/>
        <v>742.21</v>
      </c>
      <c r="O268" s="310"/>
      <c r="P268" s="308"/>
      <c r="Q268" s="180">
        <f>SUMIFS(BV_Data_An_Prec!$O:$O,BV_Data_An_Prec!$U:$U,$B268,BV_Data_An_Prec!$V:$V,$C268,BV_Data_An_Prec!$W:$W,$L$2)</f>
        <v>1572.8</v>
      </c>
      <c r="R268" s="310"/>
      <c r="S268" s="202">
        <f t="shared" si="145"/>
        <v>-531.64999999999986</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8"/>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1389.17</v>
      </c>
      <c r="M269" s="303"/>
      <c r="N269" s="304">
        <f t="shared" si="143"/>
        <v>-47.447933333333367</v>
      </c>
      <c r="O269" s="303"/>
      <c r="P269" s="178"/>
      <c r="Q269" s="181">
        <f>SUMIFS(BV_Data_An_Prec!$O:$O,BV_Data_An_Prec!$U:$U,$B269,BV_Data_An_Prec!$V:$V,$C269,BV_Data_An_Prec!$W:$W,$L$2)</f>
        <v>1449.62</v>
      </c>
      <c r="R269" s="303"/>
      <c r="S269" s="199">
        <f t="shared" si="145"/>
        <v>-60.449999999999818</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8"/>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128.49</v>
      </c>
      <c r="M270" s="303"/>
      <c r="N270" s="304">
        <f t="shared" si="143"/>
        <v>-220.743675</v>
      </c>
      <c r="O270" s="303"/>
      <c r="P270" s="178"/>
      <c r="Q270" s="180">
        <f>SUMIFS(BV_Data_An_Prec!$O:$O,BV_Data_An_Prec!$U:$U,$B270,BV_Data_An_Prec!$V:$V,$C270,BV_Data_An_Prec!$W:$W,$L$2)</f>
        <v>425.39</v>
      </c>
      <c r="R270" s="303"/>
      <c r="S270" s="199">
        <f t="shared" si="145"/>
        <v>-296.89999999999998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8"/>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417.9</v>
      </c>
      <c r="M271" s="310"/>
      <c r="N271" s="311">
        <f t="shared" si="143"/>
        <v>-606.87695833333339</v>
      </c>
      <c r="O271" s="310"/>
      <c r="P271" s="308"/>
      <c r="Q271" s="180">
        <f>SUMIFS(BV_Data_An_Prec!$O:$O,BV_Data_An_Prec!$U:$U,$B271,BV_Data_An_Prec!$V:$V,$C271,BV_Data_An_Prec!$W:$W,$L$2)</f>
        <v>1227.5999999999999</v>
      </c>
      <c r="R271" s="310"/>
      <c r="S271" s="202">
        <f t="shared" si="145"/>
        <v>-809.69999999999993</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6">+B272&amp;C272</f>
        <v>CarrosserieFournitures d'atelier</v>
      </c>
      <c r="B272" s="24" t="s">
        <v>171</v>
      </c>
      <c r="C272" s="689" t="s">
        <v>1996</v>
      </c>
      <c r="D272" s="301"/>
      <c r="E272" s="178"/>
      <c r="F272" s="179"/>
      <c r="G272" s="302"/>
      <c r="H272" s="178"/>
      <c r="I272" s="179"/>
      <c r="J272" s="303"/>
      <c r="K272" s="178"/>
      <c r="L272" s="429">
        <f>SUMIFS(BV_Data_An_Cour!$O:$O,BV_Data_An_Cour!$U:$U,$B272,BV_Data_An_Cour!$V:$V,$C272,BV_Data_An_Cour!$W:$W,$L$2)</f>
        <v>0</v>
      </c>
      <c r="M272" s="303"/>
      <c r="N272" s="304">
        <f t="shared" ref="N272" si="147">L272-I272</f>
        <v>0</v>
      </c>
      <c r="O272" s="303"/>
      <c r="P272" s="178"/>
      <c r="Q272" s="180">
        <f>SUMIFS(BV_Data_An_Prec!$O:$O,BV_Data_An_Prec!$U:$U,$B272,BV_Data_An_Prec!$V:$V,$C272,BV_Data_An_Prec!$W:$W,$L$2)</f>
        <v>0</v>
      </c>
      <c r="R272" s="303"/>
      <c r="S272" s="199">
        <f t="shared" ref="S272" si="148">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8"/>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0</v>
      </c>
      <c r="M273" s="303"/>
      <c r="N273" s="304">
        <f t="shared" si="143"/>
        <v>0</v>
      </c>
      <c r="O273" s="303"/>
      <c r="P273" s="178"/>
      <c r="Q273" s="180">
        <f>SUMIFS(BV_Data_An_Prec!$O:$O,BV_Data_An_Prec!$U:$U,$B273,BV_Data_An_Prec!$V:$V,$C273,BV_Data_An_Prec!$W:$W,$L$2)</f>
        <v>0</v>
      </c>
      <c r="R273" s="303"/>
      <c r="S273" s="199">
        <f t="shared" si="145"/>
        <v>0</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8"/>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3"/>
        <v>0</v>
      </c>
      <c r="O274" s="303"/>
      <c r="P274" s="178"/>
      <c r="Q274" s="180">
        <f>SUMIFS(BV_Data_An_Prec!$O:$O,BV_Data_An_Prec!$U:$U,$B274,BV_Data_An_Prec!$V:$V,$C274,BV_Data_An_Prec!$W:$W,$L$2)</f>
        <v>0</v>
      </c>
      <c r="R274" s="303"/>
      <c r="S274" s="199">
        <f t="shared" si="145"/>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8"/>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5">
        <f>SUMIFS(BV_Data_An_Cour!$O:$O,BV_Data_An_Cour!$U:$U,$B275,BV_Data_An_Cour!$V:$V,$C275,BV_Data_An_Cour!$W:$W,$L$2)</f>
        <v>84.43</v>
      </c>
      <c r="M275" s="303"/>
      <c r="N275" s="304">
        <f t="shared" si="143"/>
        <v>-68.170000000000016</v>
      </c>
      <c r="O275" s="303"/>
      <c r="P275" s="178"/>
      <c r="Q275" s="554">
        <f>SUMIFS(BV_Data_An_Prec!$O:$O,BV_Data_An_Prec!$U:$U,$B275,BV_Data_An_Prec!$V:$V,$C275,BV_Data_An_Prec!$W:$W,$L$2)</f>
        <v>129.5</v>
      </c>
      <c r="R275" s="303"/>
      <c r="S275" s="199">
        <f t="shared" si="145"/>
        <v>-45.069999999999993</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8"/>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86.55</v>
      </c>
      <c r="M276" s="303"/>
      <c r="N276" s="304">
        <f t="shared" si="143"/>
        <v>-91.087000000000003</v>
      </c>
      <c r="O276" s="303"/>
      <c r="P276" s="178"/>
      <c r="Q276" s="180">
        <f>SUMIFS(BV_Data_An_Prec!$O:$O,BV_Data_An_Prec!$U:$U,$B276,BV_Data_An_Prec!$V:$V,$C276,BV_Data_An_Prec!$W:$W,$L$2)</f>
        <v>144.68</v>
      </c>
      <c r="R276" s="303"/>
      <c r="S276" s="199">
        <f t="shared" si="145"/>
        <v>-58.13000000000001</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8"/>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29.83</v>
      </c>
      <c r="M277" s="303"/>
      <c r="N277" s="304">
        <f t="shared" si="143"/>
        <v>-30.720000000000006</v>
      </c>
      <c r="O277" s="303"/>
      <c r="P277" s="178"/>
      <c r="Q277" s="180">
        <f>SUMIFS(BV_Data_An_Prec!$O:$O,BV_Data_An_Prec!$U:$U,$B277,BV_Data_An_Prec!$V:$V,$C277,BV_Data_An_Prec!$W:$W,$L$2)</f>
        <v>15.39</v>
      </c>
      <c r="R277" s="303"/>
      <c r="S277" s="199">
        <f t="shared" si="145"/>
        <v>14.439999999999998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8"/>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416.77</v>
      </c>
      <c r="M278" s="303"/>
      <c r="N278" s="304">
        <f t="shared" si="143"/>
        <v>165.39999999999995</v>
      </c>
      <c r="O278" s="303"/>
      <c r="P278" s="178"/>
      <c r="Q278" s="180">
        <f>SUMIFS(BV_Data_An_Prec!$O:$O,BV_Data_An_Prec!$U:$U,$B278,BV_Data_An_Prec!$V:$V,$C278,BV_Data_An_Prec!$W:$W,$L$2)</f>
        <v>328.88</v>
      </c>
      <c r="R278" s="303"/>
      <c r="S278" s="199">
        <f t="shared" si="145"/>
        <v>87.889999999999986</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8"/>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3"/>
        <v>-35.00083333333334</v>
      </c>
      <c r="O279" s="303"/>
      <c r="P279" s="178"/>
      <c r="Q279" s="180">
        <f>SUMIFS(BV_Data_An_Prec!$O:$O,BV_Data_An_Prec!$U:$U,$B279,BV_Data_An_Prec!$V:$V,$C279,BV_Data_An_Prec!$W:$W,$L$2)</f>
        <v>35</v>
      </c>
      <c r="R279" s="303"/>
      <c r="S279" s="199">
        <f t="shared" si="145"/>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8"/>
        <v>CarrosserieFrais bancaires</v>
      </c>
      <c r="B280" s="24" t="s">
        <v>171</v>
      </c>
      <c r="C280" s="305" t="s">
        <v>134</v>
      </c>
      <c r="D280" s="301"/>
      <c r="E280" s="178"/>
      <c r="F280" s="231">
        <f>+INDEX('Budget original'!$A$2:$AO$496,MATCH($A280,'Budget original'!$A$2:$A$496,0),MATCH(F$2,'Budget original'!$A$2:$AO$2,0))</f>
        <v>455.72497194410732</v>
      </c>
      <c r="G280" s="302"/>
      <c r="H280" s="178"/>
      <c r="I280" s="179">
        <f>+INDEX('Budget révisé'!$A$2:$AO$496,MATCH($A280,'Budget révisé'!$A$2:$A$496,0),MATCH(I$2,'Budget révisé'!$A$2:$AO$2,0))</f>
        <v>455.72497194410732</v>
      </c>
      <c r="J280" s="303"/>
      <c r="K280" s="178"/>
      <c r="L280" s="281">
        <f>AF447*W6</f>
        <v>166.89449999999999</v>
      </c>
      <c r="M280" s="303"/>
      <c r="N280" s="304">
        <f t="shared" si="143"/>
        <v>-288.83047194410733</v>
      </c>
      <c r="O280" s="303"/>
      <c r="P280" s="178"/>
      <c r="Q280" s="281">
        <f>AL447*W6</f>
        <v>149.01849999999999</v>
      </c>
      <c r="R280" s="303"/>
      <c r="S280" s="199">
        <f t="shared" si="145"/>
        <v>17.876000000000005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8"/>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3"/>
        <v>0</v>
      </c>
      <c r="O281" s="303"/>
      <c r="P281" s="178"/>
      <c r="Q281" s="180">
        <f>SUMIFS(BV_Data_An_Prec!$O:$O,BV_Data_An_Prec!$U:$U,$B281,BV_Data_An_Prec!$V:$V,$C281,BV_Data_An_Prec!$W:$W,$L$2)</f>
        <v>0</v>
      </c>
      <c r="R281" s="303"/>
      <c r="S281" s="199">
        <f t="shared" si="145"/>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9">+B282&amp;C282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50">L282-I282</f>
        <v>0</v>
      </c>
      <c r="O282" s="303"/>
      <c r="P282" s="178"/>
      <c r="Q282" s="180">
        <f>SUMIFS(BV_Data_An_Prec!$O:$O,BV_Data_An_Prec!$U:$U,$B282,BV_Data_An_Prec!$V:$V,$C282,BV_Data_An_Prec!$W:$W,$L$2)</f>
        <v>0</v>
      </c>
      <c r="R282" s="303"/>
      <c r="S282" s="199">
        <f t="shared" ref="S282" si="151">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8"/>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3"/>
        <v>0</v>
      </c>
      <c r="O283" s="303"/>
      <c r="P283" s="178"/>
      <c r="Q283" s="180">
        <f>SUMIFS(BV_Data_An_Prec!$O:$O,BV_Data_An_Prec!$U:$U,$B283,BV_Data_An_Prec!$V:$V,$C283,BV_Data_An_Prec!$W:$W,$L$2)</f>
        <v>0</v>
      </c>
      <c r="R283" s="303"/>
      <c r="S283" s="199">
        <f t="shared" si="145"/>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5361.3280393277573</v>
      </c>
      <c r="G284" s="42" t="s">
        <v>111</v>
      </c>
      <c r="H284" s="40" t="e">
        <f>I284/I$243</f>
        <v>#DIV/0!</v>
      </c>
      <c r="I284" s="41">
        <f>+SUM(I266:I283)</f>
        <v>5361.3280393277573</v>
      </c>
      <c r="J284" s="42" t="s">
        <v>111</v>
      </c>
      <c r="K284" s="40" t="e">
        <f>IF(L261=0,0,L284/L$243)</f>
        <v>#DIV/0!</v>
      </c>
      <c r="L284" s="41">
        <f>+SUM(L266:L283)</f>
        <v>3947.9544999999998</v>
      </c>
      <c r="M284" s="44"/>
      <c r="N284" s="41">
        <f>+SUM(N266:N283)</f>
        <v>-1413.3735393277575</v>
      </c>
      <c r="O284" s="42" t="s">
        <v>111</v>
      </c>
      <c r="P284" s="40" t="e">
        <f>IF(Q261=0,0,Q284/Q$243)</f>
        <v>#DIV/0!</v>
      </c>
      <c r="Q284" s="41">
        <f>+SUM(Q266:Q283)</f>
        <v>7336.5385000000006</v>
      </c>
      <c r="R284" s="44"/>
      <c r="S284" s="316">
        <f t="shared" ref="S284" si="152">L284-Q284</f>
        <v>-3388.5840000000007</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16399.723023858311</v>
      </c>
      <c r="G286" s="42" t="s">
        <v>111</v>
      </c>
      <c r="H286" s="40" t="e">
        <f>I286/I$243</f>
        <v>#DIV/0!</v>
      </c>
      <c r="I286" s="41">
        <f>I265+I284</f>
        <v>16399.723023858311</v>
      </c>
      <c r="J286" s="42" t="s">
        <v>111</v>
      </c>
      <c r="K286" s="40" t="e">
        <f>IF(L263=0,0,L286/L$243)</f>
        <v>#DIV/0!</v>
      </c>
      <c r="L286" s="41">
        <f>L265+L284</f>
        <v>12378.574499999999</v>
      </c>
      <c r="M286" s="44"/>
      <c r="N286" s="46">
        <f t="shared" ref="N286:N288" si="153">L286-I286</f>
        <v>-4021.1485238583118</v>
      </c>
      <c r="O286" s="42" t="s">
        <v>111</v>
      </c>
      <c r="P286" s="40" t="e">
        <f>IF(Q263=0,0,Q286/Q$243)</f>
        <v>#DIV/0!</v>
      </c>
      <c r="Q286" s="41">
        <f>Q265+Q284</f>
        <v>22652.4185</v>
      </c>
      <c r="R286" s="44"/>
      <c r="S286" s="299">
        <f>L286-Q286</f>
        <v>-10273.844000000001</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3530.6126536243391</v>
      </c>
      <c r="G288" s="344"/>
      <c r="H288" s="342"/>
      <c r="I288" s="343">
        <f>I249-I286</f>
        <v>3530.6126536243391</v>
      </c>
      <c r="J288" s="345"/>
      <c r="K288" s="346"/>
      <c r="L288" s="343">
        <f>L249-L286</f>
        <v>9878.2754999999961</v>
      </c>
      <c r="M288" s="345"/>
      <c r="N288" s="343">
        <f t="shared" si="153"/>
        <v>6347.662846375657</v>
      </c>
      <c r="O288" s="345"/>
      <c r="P288" s="346"/>
      <c r="Q288" s="343">
        <f>Q249-Q286</f>
        <v>6300.161500000002</v>
      </c>
      <c r="R288" s="345"/>
      <c r="S288" s="347">
        <f>L288-Q288</f>
        <v>3578.1139999999941</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Mars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35" t="s">
        <v>77</v>
      </c>
      <c r="E292" s="1136"/>
      <c r="F292" s="1137"/>
      <c r="G292" s="1138" t="s">
        <v>145</v>
      </c>
      <c r="H292" s="1136"/>
      <c r="I292" s="1137"/>
      <c r="J292" s="1138" t="s">
        <v>79</v>
      </c>
      <c r="K292" s="1136"/>
      <c r="L292" s="1137"/>
      <c r="M292" s="1138" t="s">
        <v>80</v>
      </c>
      <c r="N292" s="1137"/>
      <c r="O292" s="1135" t="s">
        <v>81</v>
      </c>
      <c r="P292" s="1136"/>
      <c r="Q292" s="1137"/>
      <c r="R292" s="1138" t="s">
        <v>82</v>
      </c>
      <c r="S292" s="1139"/>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4"/>
        <v>PiècesPièces Ro Clients</v>
      </c>
      <c r="B294" s="24" t="s">
        <v>175</v>
      </c>
      <c r="C294" s="264" t="s">
        <v>177</v>
      </c>
      <c r="D294" s="197">
        <f>+INDEX('Budget original'!$A$2:$AO$496,MATCH($A294,'Budget original'!$A$2:$A$496,0),MATCH(D$2,'Budget original'!$A$2:$AO$2,0))</f>
        <v>59152.790459572665</v>
      </c>
      <c r="E294" s="210">
        <f>IF(D294=0,0,F294/D294)</f>
        <v>0.35812717564768926</v>
      </c>
      <c r="F294" s="199">
        <f>+INDEX('Budget original'!$A$2:$AO$496,MATCH($A294,'Budget original'!$A$2:$A$496,0),MATCH(F$2,'Budget original'!$A$2:$AO$2,0))</f>
        <v>21184.221778966337</v>
      </c>
      <c r="G294" s="197">
        <f>+INDEX('Budget révisé'!$A$2:$AO$496,MATCH($A294,'Budget révisé'!$A$2:$A$496,0),MATCH(G$2,'Budget révisé'!$A$2:$AO$2,0))</f>
        <v>59152.790459572665</v>
      </c>
      <c r="H294" s="210">
        <f>IF(G294=0,0,I294/G294)</f>
        <v>0.35812717564768926</v>
      </c>
      <c r="I294" s="199">
        <f>+INDEX('Budget révisé'!$A$2:$AO$496,MATCH($A294,'Budget révisé'!$A$2:$A$496,0),MATCH(I$2,'Budget révisé'!$A$2:$AO$2,0))</f>
        <v>21184.221778966337</v>
      </c>
      <c r="J294" s="179">
        <f>-SUMIFS(BV_Data_An_Cour!$O:$O,BV_Data_An_Cour!$X:$X,"Oui",BV_Data_An_Cour!$U:$U,$B294,BV_Data_An_Cour!$V:$V,$C294)</f>
        <v>51335.82</v>
      </c>
      <c r="K294" s="210">
        <f t="shared" ref="K294:K299" si="155">IF(J294&lt;=0,0,L294/J294)</f>
        <v>0.36851656406774058</v>
      </c>
      <c r="L294" s="180">
        <f>-SUMIFS(BV_Data_An_Cour!$O:$O,BV_Data_An_Cour!$U:$U,$B294,BV_Data_An_Cour!$V:$V,$C294,BV_Data_An_Cour!$W:$W,$L$2)</f>
        <v>18918.099999999999</v>
      </c>
      <c r="M294" s="324">
        <f t="shared" ref="M294:M299" si="156">(+J294-G294)/G294</f>
        <v>-0.13214880310532584</v>
      </c>
      <c r="N294" s="304">
        <f t="shared" ref="N294:N299" si="157">L294-I294</f>
        <v>-2266.1217789663388</v>
      </c>
      <c r="O294" s="179">
        <f>-SUMIFS(BV_Data_An_Prec!$O:$O,BV_Data_An_Prec!$X:$X,"Oui",BV_Data_An_Prec!$U:$U,$B294,BV_Data_An_Prec!$V:$V,$C294)</f>
        <v>58273.840000000004</v>
      </c>
      <c r="P294" s="210">
        <f t="shared" ref="P294:P303" si="158">IF(O294&lt;=0,0,Q294/O294)</f>
        <v>0.32218127379283745</v>
      </c>
      <c r="Q294" s="180">
        <f>-SUMIFS(BV_Data_An_Prec!$O:$O,BV_Data_An_Prec!$U:$U,$B294,BV_Data_An_Prec!$V:$V,$C294,BV_Data_An_Prec!$W:$W,$L$2)</f>
        <v>18774.740000000005</v>
      </c>
      <c r="R294" s="324">
        <f>IF(O294=0,0,(J294-O294)/O294)</f>
        <v>-0.11905891219799491</v>
      </c>
      <c r="S294" s="199">
        <f t="shared" ref="S294:S299" si="159">L294-Q294</f>
        <v>143.35999999999331</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4"/>
        <v>PiècesPièces Ro Carrosserie</v>
      </c>
      <c r="B295" s="24" t="s">
        <v>175</v>
      </c>
      <c r="C295" s="264" t="s">
        <v>178</v>
      </c>
      <c r="D295" s="197">
        <f>+INDEX('Budget original'!$A$2:$AO$496,MATCH($A295,'Budget original'!$A$2:$A$496,0),MATCH(D$2,'Budget original'!$A$2:$AO$2,0))</f>
        <v>43344.181100867499</v>
      </c>
      <c r="E295" s="210">
        <f t="shared" ref="E295:E302" si="160">IF(D295=0,0,F295/D295)</f>
        <v>0.27367264200070923</v>
      </c>
      <c r="F295" s="199">
        <f>+INDEX('Budget original'!$A$2:$AO$496,MATCH($A295,'Budget original'!$A$2:$A$496,0),MATCH(F$2,'Budget original'!$A$2:$AO$2,0))</f>
        <v>11862.116557231619</v>
      </c>
      <c r="G295" s="197">
        <f>+INDEX('Budget révisé'!$A$2:$AO$496,MATCH($A295,'Budget révisé'!$A$2:$A$496,0),MATCH(G$2,'Budget révisé'!$A$2:$AO$2,0))</f>
        <v>43344.181100867499</v>
      </c>
      <c r="H295" s="210">
        <f t="shared" ref="H295:H302" si="161">IF(G295=0,0,I295/G295)</f>
        <v>0.27367264200070923</v>
      </c>
      <c r="I295" s="199">
        <f>+INDEX('Budget révisé'!$A$2:$AO$496,MATCH($A295,'Budget révisé'!$A$2:$A$496,0),MATCH(I$2,'Budget révisé'!$A$2:$AO$2,0))</f>
        <v>11862.116557231619</v>
      </c>
      <c r="J295" s="179">
        <f>-SUMIFS(BV_Data_An_Cour!$O:$O,BV_Data_An_Cour!$X:$X,"Oui",BV_Data_An_Cour!$U:$U,$B295,BV_Data_An_Cour!$V:$V,$C295)</f>
        <v>36320.539999999994</v>
      </c>
      <c r="K295" s="210">
        <f t="shared" si="155"/>
        <v>0.26360648822952509</v>
      </c>
      <c r="L295" s="180">
        <f>-SUMIFS(BV_Data_An_Cour!$O:$O,BV_Data_An_Cour!$U:$U,$B295,BV_Data_An_Cour!$V:$V,$C295,BV_Data_An_Cour!$W:$W,$L$2)</f>
        <v>9574.3299999999945</v>
      </c>
      <c r="M295" s="324">
        <f t="shared" si="156"/>
        <v>-0.1620434605633127</v>
      </c>
      <c r="N295" s="304">
        <f t="shared" si="157"/>
        <v>-2287.7865572316241</v>
      </c>
      <c r="O295" s="179">
        <f>-SUMIFS(BV_Data_An_Prec!$O:$O,BV_Data_An_Prec!$X:$X,"Oui",BV_Data_An_Prec!$U:$U,$B295,BV_Data_An_Prec!$V:$V,$C295)</f>
        <v>68982.64</v>
      </c>
      <c r="P295" s="210">
        <f t="shared" si="158"/>
        <v>0.25934698932948924</v>
      </c>
      <c r="Q295" s="180">
        <f>-SUMIFS(BV_Data_An_Prec!$O:$O,BV_Data_An_Prec!$U:$U,$B295,BV_Data_An_Prec!$V:$V,$C295,BV_Data_An_Prec!$W:$W,$L$2)</f>
        <v>17890.439999999999</v>
      </c>
      <c r="R295" s="324">
        <f t="shared" ref="R295:R302" si="162">IF(O295=0,0,(J295-O295)/O295)</f>
        <v>-0.4734828936671604</v>
      </c>
      <c r="S295" s="199">
        <f t="shared" si="159"/>
        <v>-8316.1100000000042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4"/>
        <v>PiècesP/A Garantie</v>
      </c>
      <c r="B296" s="24" t="s">
        <v>175</v>
      </c>
      <c r="C296" s="264" t="s">
        <v>179</v>
      </c>
      <c r="D296" s="197">
        <f>+INDEX('Budget original'!$A$2:$AO$496,MATCH($A296,'Budget original'!$A$2:$A$496,0),MATCH(D$2,'Budget original'!$A$2:$AO$2,0))</f>
        <v>73637.814532344011</v>
      </c>
      <c r="E296" s="210">
        <f t="shared" si="160"/>
        <v>0.23983607715678656</v>
      </c>
      <c r="F296" s="199">
        <f>+INDEX('Budget original'!$A$2:$AO$496,MATCH($A296,'Budget original'!$A$2:$A$496,0),MATCH(F$2,'Budget original'!$A$2:$AO$2,0))</f>
        <v>17661.004567836397</v>
      </c>
      <c r="G296" s="197">
        <f>+INDEX('Budget révisé'!$A$2:$AO$496,MATCH($A296,'Budget révisé'!$A$2:$A$496,0),MATCH(G$2,'Budget révisé'!$A$2:$AO$2,0))</f>
        <v>73637.814532344011</v>
      </c>
      <c r="H296" s="210">
        <f t="shared" si="161"/>
        <v>0.23983607715678656</v>
      </c>
      <c r="I296" s="199">
        <f>+INDEX('Budget révisé'!$A$2:$AO$496,MATCH($A296,'Budget révisé'!$A$2:$A$496,0),MATCH(I$2,'Budget révisé'!$A$2:$AO$2,0))</f>
        <v>17661.004567836397</v>
      </c>
      <c r="J296" s="179">
        <f>-SUMIFS(BV_Data_An_Cour!$O:$O,BV_Data_An_Cour!$X:$X,"Oui",BV_Data_An_Cour!$U:$U,$B296,BV_Data_An_Cour!$V:$V,$C296)</f>
        <v>48253</v>
      </c>
      <c r="K296" s="210">
        <f t="shared" si="155"/>
        <v>0.23778127784800951</v>
      </c>
      <c r="L296" s="180">
        <f>-SUMIFS(BV_Data_An_Cour!$O:$O,BV_Data_An_Cour!$U:$U,$B296,BV_Data_An_Cour!$V:$V,$C296,BV_Data_An_Cour!$W:$W,$L$2)</f>
        <v>11473.660000000003</v>
      </c>
      <c r="M296" s="324">
        <f t="shared" si="156"/>
        <v>-0.34472525690172695</v>
      </c>
      <c r="N296" s="304">
        <f t="shared" si="157"/>
        <v>-6187.3445678363933</v>
      </c>
      <c r="O296" s="179">
        <f>-SUMIFS(BV_Data_An_Prec!$O:$O,BV_Data_An_Prec!$X:$X,"Oui",BV_Data_An_Prec!$U:$U,$B296,BV_Data_An_Prec!$V:$V,$C296)</f>
        <v>78789.27</v>
      </c>
      <c r="P296" s="210">
        <f t="shared" si="158"/>
        <v>0.24731476760731513</v>
      </c>
      <c r="Q296" s="180">
        <f>-SUMIFS(BV_Data_An_Prec!$O:$O,BV_Data_An_Prec!$U:$U,$B296,BV_Data_An_Prec!$V:$V,$C296,BV_Data_An_Prec!$W:$W,$L$2)</f>
        <v>19485.750000000007</v>
      </c>
      <c r="R296" s="324">
        <f t="shared" si="162"/>
        <v>-0.38756889104315856</v>
      </c>
      <c r="S296" s="199">
        <f t="shared" si="159"/>
        <v>-8012.0900000000038</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4"/>
        <v>PiècesVentes Internes</v>
      </c>
      <c r="B297" s="24" t="s">
        <v>175</v>
      </c>
      <c r="C297" s="264" t="s">
        <v>180</v>
      </c>
      <c r="D297" s="197">
        <f>+INDEX('Budget original'!$A$2:$AO$496,MATCH($A297,'Budget original'!$A$2:$A$496,0),MATCH(D$2,'Budget original'!$A$2:$AO$2,0))</f>
        <v>39856.178455491056</v>
      </c>
      <c r="E297" s="210">
        <f t="shared" si="160"/>
        <v>0.32994466198333777</v>
      </c>
      <c r="F297" s="199">
        <f>+INDEX('Budget original'!$A$2:$AO$496,MATCH($A297,'Budget original'!$A$2:$A$496,0),MATCH(F$2,'Budget original'!$A$2:$AO$2,0))</f>
        <v>13150.333328444585</v>
      </c>
      <c r="G297" s="197">
        <f>+INDEX('Budget révisé'!$A$2:$AO$496,MATCH($A297,'Budget révisé'!$A$2:$A$496,0),MATCH(G$2,'Budget révisé'!$A$2:$AO$2,0))</f>
        <v>39856.178455491056</v>
      </c>
      <c r="H297" s="210">
        <f t="shared" si="161"/>
        <v>0.32994466198333777</v>
      </c>
      <c r="I297" s="199">
        <f>+INDEX('Budget révisé'!$A$2:$AO$496,MATCH($A297,'Budget révisé'!$A$2:$A$496,0),MATCH(I$2,'Budget révisé'!$A$2:$AO$2,0))</f>
        <v>13150.333328444585</v>
      </c>
      <c r="J297" s="179">
        <f>-SUMIFS(BV_Data_An_Cour!$O:$O,BV_Data_An_Cour!$X:$X,"Oui",BV_Data_An_Cour!$U:$U,$B297,BV_Data_An_Cour!$V:$V,$C297)</f>
        <v>53378.239999999998</v>
      </c>
      <c r="K297" s="210">
        <f t="shared" si="155"/>
        <v>0.3375969308841954</v>
      </c>
      <c r="L297" s="180">
        <f>-SUMIFS(BV_Data_An_Cour!$O:$O,BV_Data_An_Cour!$U:$U,$B297,BV_Data_An_Cour!$V:$V,$C297,BV_Data_An_Cour!$W:$W,$L$2)</f>
        <v>18020.329999999994</v>
      </c>
      <c r="M297" s="324">
        <f t="shared" si="156"/>
        <v>0.33927140203894746</v>
      </c>
      <c r="N297" s="304">
        <f t="shared" si="157"/>
        <v>4869.9966715554092</v>
      </c>
      <c r="O297" s="179">
        <f>-SUMIFS(BV_Data_An_Prec!$O:$O,BV_Data_An_Prec!$X:$X,"Oui",BV_Data_An_Prec!$U:$U,$B297,BV_Data_An_Prec!$V:$V,$C297)</f>
        <v>37983.339999999997</v>
      </c>
      <c r="P297" s="210">
        <f t="shared" si="158"/>
        <v>0.33295176253589065</v>
      </c>
      <c r="Q297" s="180">
        <f>-SUMIFS(BV_Data_An_Prec!$O:$O,BV_Data_An_Prec!$U:$U,$B297,BV_Data_An_Prec!$V:$V,$C297,BV_Data_An_Prec!$W:$W,$L$2)</f>
        <v>12646.619999999995</v>
      </c>
      <c r="R297" s="324">
        <f t="shared" si="162"/>
        <v>0.40530664233319141</v>
      </c>
      <c r="S297" s="199">
        <f t="shared" si="159"/>
        <v>5373.7099999999991</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4"/>
        <v>PiècesVentes Détails</v>
      </c>
      <c r="B298" s="24" t="s">
        <v>175</v>
      </c>
      <c r="C298" s="264" t="s">
        <v>181</v>
      </c>
      <c r="D298" s="197">
        <f>+INDEX('Budget original'!$A$2:$AO$496,MATCH($A298,'Budget original'!$A$2:$A$496,0),MATCH(D$2,'Budget original'!$A$2:$AO$2,0))</f>
        <v>9578.1763980452179</v>
      </c>
      <c r="E298" s="210">
        <f t="shared" si="160"/>
        <v>0.29678579936093841</v>
      </c>
      <c r="F298" s="199">
        <f>+INDEX('Budget original'!$A$2:$AO$496,MATCH($A298,'Budget original'!$A$2:$A$496,0),MATCH(F$2,'Budget original'!$A$2:$AO$2,0))</f>
        <v>2842.6667387139237</v>
      </c>
      <c r="G298" s="197">
        <f>+INDEX('Budget révisé'!$A$2:$AO$496,MATCH($A298,'Budget révisé'!$A$2:$A$496,0),MATCH(G$2,'Budget révisé'!$A$2:$AO$2,0))</f>
        <v>9578.1763980452179</v>
      </c>
      <c r="H298" s="210">
        <f t="shared" si="161"/>
        <v>0.29678579936093841</v>
      </c>
      <c r="I298" s="199">
        <f>+INDEX('Budget révisé'!$A$2:$AO$496,MATCH($A298,'Budget révisé'!$A$2:$A$496,0),MATCH(I$2,'Budget révisé'!$A$2:$AO$2,0))</f>
        <v>2842.6667387139237</v>
      </c>
      <c r="J298" s="179">
        <f>-SUMIFS(BV_Data_An_Cour!$O:$O,BV_Data_An_Cour!$X:$X,"Oui",BV_Data_An_Cour!$U:$U,$B298,BV_Data_An_Cour!$V:$V,$C298)</f>
        <v>13350.72</v>
      </c>
      <c r="K298" s="210">
        <f t="shared" si="155"/>
        <v>0.29539155940653378</v>
      </c>
      <c r="L298" s="180">
        <f>-SUMIFS(BV_Data_An_Cour!$O:$O,BV_Data_An_Cour!$U:$U,$B298,BV_Data_An_Cour!$V:$V,$C298,BV_Data_An_Cour!$W:$W,$L$2)</f>
        <v>3943.6899999999987</v>
      </c>
      <c r="M298" s="324">
        <f t="shared" si="156"/>
        <v>0.39386867031648204</v>
      </c>
      <c r="N298" s="304">
        <f t="shared" si="157"/>
        <v>1101.023261286075</v>
      </c>
      <c r="O298" s="179">
        <f>-SUMIFS(BV_Data_An_Prec!$O:$O,BV_Data_An_Prec!$X:$X,"Oui",BV_Data_An_Prec!$U:$U,$B298,BV_Data_An_Prec!$V:$V,$C298)</f>
        <v>10307.56</v>
      </c>
      <c r="P298" s="210">
        <f t="shared" si="158"/>
        <v>0.29783285277990129</v>
      </c>
      <c r="Q298" s="180">
        <f>-SUMIFS(BV_Data_An_Prec!$O:$O,BV_Data_An_Prec!$U:$U,$B298,BV_Data_An_Prec!$V:$V,$C298,BV_Data_An_Prec!$W:$W,$L$2)</f>
        <v>3069.9299999999994</v>
      </c>
      <c r="R298" s="324">
        <f t="shared" si="162"/>
        <v>0.2952357298914583</v>
      </c>
      <c r="S298" s="199">
        <f t="shared" si="159"/>
        <v>873.75999999999931</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3">+B299&amp;C299</f>
        <v>PiècesVentes de Gros</v>
      </c>
      <c r="B299" s="24" t="s">
        <v>175</v>
      </c>
      <c r="C299" s="264" t="s">
        <v>182</v>
      </c>
      <c r="D299" s="197">
        <f>+INDEX('Budget original'!$A$2:$AO$496,MATCH($A299,'Budget original'!$A$2:$A$496,0),MATCH(D$2,'Budget original'!$A$2:$AO$2,0))</f>
        <v>57358.521558253393</v>
      </c>
      <c r="E299" s="210">
        <f t="shared" si="160"/>
        <v>0.19081606757663094</v>
      </c>
      <c r="F299" s="199">
        <f>+INDEX('Budget original'!$A$2:$AO$496,MATCH($A299,'Budget original'!$A$2:$A$496,0),MATCH(F$2,'Budget original'!$A$2:$AO$2,0))</f>
        <v>10944.927525755322</v>
      </c>
      <c r="G299" s="197">
        <f>+INDEX('Budget révisé'!$A$2:$AO$496,MATCH($A299,'Budget révisé'!$A$2:$A$496,0),MATCH(G$2,'Budget révisé'!$A$2:$AO$2,0))</f>
        <v>57358.521558253393</v>
      </c>
      <c r="H299" s="210">
        <f t="shared" si="161"/>
        <v>0.19081606757663094</v>
      </c>
      <c r="I299" s="199">
        <f>+INDEX('Budget révisé'!$A$2:$AO$496,MATCH($A299,'Budget révisé'!$A$2:$A$496,0),MATCH(I$2,'Budget révisé'!$A$2:$AO$2,0))</f>
        <v>10944.927525755322</v>
      </c>
      <c r="J299" s="179">
        <f>-SUMIFS(BV_Data_An_Cour!$O:$O,BV_Data_An_Cour!$X:$X,"Oui",BV_Data_An_Cour!$U:$U,$B299,BV_Data_An_Cour!$V:$V,$C299)</f>
        <v>51046.5</v>
      </c>
      <c r="K299" s="210">
        <f t="shared" si="155"/>
        <v>0.16781796989019809</v>
      </c>
      <c r="L299" s="180">
        <f>-SUMIFS(BV_Data_An_Cour!$O:$O,BV_Data_An_Cour!$U:$U,$B299,BV_Data_An_Cour!$V:$V,$C299,BV_Data_An_Cour!$W:$W,$L$2)</f>
        <v>8566.5199999999968</v>
      </c>
      <c r="M299" s="324">
        <f t="shared" si="156"/>
        <v>-0.11004505323316074</v>
      </c>
      <c r="N299" s="304">
        <f t="shared" si="157"/>
        <v>-2378.407525755325</v>
      </c>
      <c r="O299" s="179">
        <f>-SUMIFS(BV_Data_An_Prec!$O:$O,BV_Data_An_Prec!$X:$X,"Oui",BV_Data_An_Prec!$U:$U,$B299,BV_Data_An_Prec!$V:$V,$C299)</f>
        <v>46810.51</v>
      </c>
      <c r="P299" s="210">
        <f t="shared" si="158"/>
        <v>0.18867109117161937</v>
      </c>
      <c r="Q299" s="180">
        <f>-SUMIFS(BV_Data_An_Prec!$O:$O,BV_Data_An_Prec!$U:$U,$B299,BV_Data_An_Prec!$V:$V,$C299,BV_Data_An_Prec!$W:$W,$L$2)</f>
        <v>8831.7900000000009</v>
      </c>
      <c r="R299" s="324">
        <f t="shared" si="162"/>
        <v>9.049228474545562E-2</v>
      </c>
      <c r="S299" s="199">
        <f t="shared" si="159"/>
        <v>-265.27000000000407</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3"/>
        <v>Pièces[...]</v>
      </c>
      <c r="B300" s="24" t="s">
        <v>175</v>
      </c>
      <c r="C300" s="264" t="s">
        <v>42</v>
      </c>
      <c r="D300" s="197">
        <f>+INDEX('Budget original'!$A$2:$AO$496,MATCH($A300,'Budget original'!$A$2:$A$496,0),MATCH(D$2,'Budget original'!$A$2:$AO$2,0))</f>
        <v>0</v>
      </c>
      <c r="E300" s="210">
        <f t="shared" ref="E300" si="164">IF(D300=0,0,F300/D300)</f>
        <v>0</v>
      </c>
      <c r="F300" s="199">
        <f>+INDEX('Budget original'!$A$2:$AO$496,MATCH($A300,'Budget original'!$A$2:$A$496,0),MATCH(F$2,'Budget original'!$A$2:$AO$2,0))</f>
        <v>0</v>
      </c>
      <c r="G300" s="197">
        <f>+INDEX('Budget révisé'!$A$2:$AO$496,MATCH($A300,'Budget révisé'!$A$2:$A$496,0),MATCH(G$2,'Budget révisé'!$A$2:$AO$2,0))</f>
        <v>0</v>
      </c>
      <c r="H300" s="210">
        <f t="shared" ref="H300" si="165">IF(G300=0,0,I300/G300)</f>
        <v>0</v>
      </c>
      <c r="I300" s="199">
        <f>+INDEX('Budget révisé'!$A$2:$AO$496,MATCH($A300,'Budget révisé'!$A$2:$A$496,0),MATCH(I$2,'Budget révisé'!$A$2:$AO$2,0))</f>
        <v>0</v>
      </c>
      <c r="J300" s="179">
        <f>-SUMIFS(BV_Data_An_Cour!$O:$O,BV_Data_An_Cour!$X:$X,"Oui",BV_Data_An_Cour!$U:$U,$B300,BV_Data_An_Cour!$V:$V,$C300)</f>
        <v>0</v>
      </c>
      <c r="K300" s="210">
        <f t="shared" ref="K300" si="166">IF(J300&lt;=0,0,L300/J300)</f>
        <v>0</v>
      </c>
      <c r="L300" s="180">
        <f>-SUMIFS(BV_Data_An_Cour!$O:$O,BV_Data_An_Cour!$U:$U,$B300,BV_Data_An_Cour!$V:$V,$C300,BV_Data_An_Cour!$W:$W,$L$2)</f>
        <v>0</v>
      </c>
      <c r="M300" s="324" t="e">
        <f t="shared" ref="M300" si="167">(+J300-G300)/G300</f>
        <v>#DIV/0!</v>
      </c>
      <c r="N300" s="304">
        <f t="shared" ref="N300" si="168">L300-I300</f>
        <v>0</v>
      </c>
      <c r="O300" s="179">
        <f>-SUMIFS(BV_Data_An_Prec!$O:$O,BV_Data_An_Prec!$X:$X,"Oui",BV_Data_An_Prec!$U:$U,$B300,BV_Data_An_Prec!$V:$V,$C300)</f>
        <v>0</v>
      </c>
      <c r="P300" s="210">
        <f t="shared" ref="P300" si="169">IF(O300&lt;=0,0,Q300/O300)</f>
        <v>0</v>
      </c>
      <c r="Q300" s="180">
        <f>-SUMIFS(BV_Data_An_Prec!$O:$O,BV_Data_An_Prec!$U:$U,$B300,BV_Data_An_Prec!$V:$V,$C300,BV_Data_An_Prec!$W:$W,$L$2)</f>
        <v>0</v>
      </c>
      <c r="R300" s="324">
        <f t="shared" ref="R300" si="170">IF(O300=0,0,(J300-O300)/O300)</f>
        <v>0</v>
      </c>
      <c r="S300" s="199">
        <f t="shared" ref="S300" si="17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4"/>
        <v>PiècesEscomptes</v>
      </c>
      <c r="B301" s="24" t="s">
        <v>175</v>
      </c>
      <c r="C301" s="264" t="s">
        <v>183</v>
      </c>
      <c r="D301" s="197">
        <f>+INDEX('Budget original'!$A$2:$AO$496,MATCH($A301,'Budget original'!$A$2:$A$496,0),MATCH(D$2,'Budget original'!$A$2:$AO$2,0))</f>
        <v>0</v>
      </c>
      <c r="E301" s="210">
        <f t="shared" si="160"/>
        <v>0</v>
      </c>
      <c r="F301" s="199">
        <f>+INDEX('Budget original'!$A$2:$AO$496,MATCH($A301,'Budget original'!$A$2:$A$496,0),MATCH(F$2,'Budget original'!$A$2:$AO$2,0))</f>
        <v>8969.4594467607076</v>
      </c>
      <c r="G301" s="197">
        <f>+INDEX('Budget révisé'!$A$2:$AO$496,MATCH($A301,'Budget révisé'!$A$2:$A$496,0),MATCH(G$2,'Budget révisé'!$A$2:$AO$2,0))</f>
        <v>0</v>
      </c>
      <c r="H301" s="210">
        <f t="shared" si="161"/>
        <v>0</v>
      </c>
      <c r="I301" s="199">
        <f>+INDEX('Budget révisé'!$A$2:$AO$496,MATCH($A301,'Budget révisé'!$A$2:$A$496,0),MATCH(I$2,'Budget révisé'!$A$2:$AO$2,0))</f>
        <v>8969.4594467607076</v>
      </c>
      <c r="J301" s="179">
        <f>-SUMIFS(BV_Data_An_Cour!$O:$O,BV_Data_An_Cour!$X:$X,"Oui",BV_Data_An_Cour!$U:$U,$B301,BV_Data_An_Cour!$V:$V,$C301)</f>
        <v>0</v>
      </c>
      <c r="K301" s="210">
        <f t="shared" ref="K301:K303" si="172">IF(J301&lt;=0,0,L301/J301)</f>
        <v>0</v>
      </c>
      <c r="L301" s="180">
        <f>-SUMIFS(BV_Data_An_Cour!$O:$O,BV_Data_An_Cour!$U:$U,$B301,BV_Data_An_Cour!$V:$V,$C301,BV_Data_An_Cour!$W:$W,$L$2)</f>
        <v>6759.89</v>
      </c>
      <c r="M301" s="324"/>
      <c r="N301" s="304">
        <f t="shared" ref="N301:N303" si="173">L301-I301</f>
        <v>-2209.5694467607073</v>
      </c>
      <c r="O301" s="179">
        <f>-SUMIFS(BV_Data_An_Prec!$O:$O,BV_Data_An_Prec!$X:$X,"Oui",BV_Data_An_Prec!$U:$U,$B301,BV_Data_An_Prec!$V:$V,$C301)</f>
        <v>0</v>
      </c>
      <c r="P301" s="210">
        <f t="shared" si="158"/>
        <v>0</v>
      </c>
      <c r="Q301" s="180">
        <f>-SUMIFS(BV_Data_An_Prec!$O:$O,BV_Data_An_Prec!$U:$U,$B301,BV_Data_An_Prec!$V:$V,$C301,BV_Data_An_Prec!$W:$W,$L$2)</f>
        <v>36752.42</v>
      </c>
      <c r="R301" s="324">
        <f t="shared" si="162"/>
        <v>0</v>
      </c>
      <c r="S301" s="199">
        <f t="shared" ref="S301:S303" si="174">L301-Q301</f>
        <v>-29992.53</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4"/>
        <v>PiècesRectif. Inventaire</v>
      </c>
      <c r="B302" s="24" t="s">
        <v>175</v>
      </c>
      <c r="C302" s="326" t="s">
        <v>184</v>
      </c>
      <c r="D302" s="197">
        <f>+INDEX('Budget original'!$A$2:$AO$496,MATCH($A302,'Budget original'!$A$2:$A$496,0),MATCH(D$2,'Budget original'!$A$2:$AO$2,0))</f>
        <v>0</v>
      </c>
      <c r="E302" s="210">
        <f t="shared" si="160"/>
        <v>0</v>
      </c>
      <c r="F302" s="199">
        <f>+INDEX('Budget original'!$A$2:$AO$496,MATCH($A302,'Budget original'!$A$2:$A$496,0),MATCH(F$2,'Budget original'!$A$2:$AO$2,0))</f>
        <v>100</v>
      </c>
      <c r="G302" s="197">
        <f>+INDEX('Budget révisé'!$A$2:$AO$496,MATCH($A302,'Budget révisé'!$A$2:$A$496,0),MATCH(G$2,'Budget révisé'!$A$2:$AO$2,0))</f>
        <v>0</v>
      </c>
      <c r="H302" s="210">
        <f t="shared" si="161"/>
        <v>0</v>
      </c>
      <c r="I302" s="199">
        <f>+INDEX('Budget révisé'!$A$2:$AO$496,MATCH($A302,'Budget révisé'!$A$2:$A$496,0),MATCH(I$2,'Budget révisé'!$A$2:$AO$2,0))</f>
        <v>100</v>
      </c>
      <c r="J302" s="179">
        <f>-SUMIFS(BV_Data_An_Cour!$O:$O,BV_Data_An_Cour!$X:$X,"Oui",BV_Data_An_Cour!$U:$U,$B302,BV_Data_An_Cour!$V:$V,$C302)</f>
        <v>0</v>
      </c>
      <c r="K302" s="210">
        <f t="shared" si="172"/>
        <v>0</v>
      </c>
      <c r="L302" s="180">
        <f>-SUMIFS(BV_Data_An_Cour!$O:$O,BV_Data_An_Cour!$U:$U,$B302,BV_Data_An_Cour!$V:$V,$C302,BV_Data_An_Cour!$W:$W,$L$2)</f>
        <v>0</v>
      </c>
      <c r="M302" s="324"/>
      <c r="N302" s="304">
        <f t="shared" si="173"/>
        <v>-100</v>
      </c>
      <c r="O302" s="179">
        <f>-SUMIFS(BV_Data_An_Prec!$O:$O,BV_Data_An_Prec!$X:$X,"Oui",BV_Data_An_Prec!$U:$U,$B302,BV_Data_An_Prec!$V:$V,$C302)</f>
        <v>0</v>
      </c>
      <c r="P302" s="210">
        <f t="shared" si="158"/>
        <v>0</v>
      </c>
      <c r="Q302" s="180">
        <f>-SUMIFS(BV_Data_An_Prec!$O:$O,BV_Data_An_Prec!$U:$U,$B302,BV_Data_An_Prec!$V:$V,$C302,BV_Data_An_Prec!$W:$W,$L$2)</f>
        <v>0</v>
      </c>
      <c r="R302" s="324">
        <f t="shared" si="162"/>
        <v>0</v>
      </c>
      <c r="S302" s="199">
        <f t="shared" si="17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4"/>
        <v>PiècesSous-total Pièces</v>
      </c>
      <c r="B303" s="24" t="s">
        <v>175</v>
      </c>
      <c r="C303" s="327" t="s">
        <v>185</v>
      </c>
      <c r="D303" s="198">
        <f>SUM(D294:D302)</f>
        <v>282927.66250457388</v>
      </c>
      <c r="E303" s="328">
        <f>IF(D303&lt;=0,0,F303/D303)</f>
        <v>0.30649081527087174</v>
      </c>
      <c r="F303" s="200">
        <f>SUM(F294:F302)</f>
        <v>86714.729943708895</v>
      </c>
      <c r="G303" s="198">
        <f>SUM(G294:G302)</f>
        <v>282927.66250457388</v>
      </c>
      <c r="H303" s="328">
        <f>IF(G303&lt;=0,0,I303/G303)</f>
        <v>0.30649081527087174</v>
      </c>
      <c r="I303" s="200">
        <f>SUM(I294:I302)</f>
        <v>86714.729943708895</v>
      </c>
      <c r="J303" s="198">
        <f>SUM(J294:J302)</f>
        <v>253684.81999999998</v>
      </c>
      <c r="K303" s="328">
        <f t="shared" si="172"/>
        <v>0.3045374177296063</v>
      </c>
      <c r="L303" s="329">
        <f>SUM(L294:L302)</f>
        <v>77256.519999999975</v>
      </c>
      <c r="M303" s="330">
        <f>(+J303-G303)/G303</f>
        <v>-0.10335801824998696</v>
      </c>
      <c r="N303" s="329">
        <f t="shared" si="173"/>
        <v>-9458.20994370892</v>
      </c>
      <c r="O303" s="198">
        <f>SUM(O294:O302)</f>
        <v>301147.15999999997</v>
      </c>
      <c r="P303" s="328">
        <f t="shared" si="158"/>
        <v>0.39001427076383527</v>
      </c>
      <c r="Q303" s="329">
        <f>SUM(Q294:Q302)</f>
        <v>117451.69000000002</v>
      </c>
      <c r="R303" s="330">
        <f>IF(O303=0,0,(J303-O303)/O303)</f>
        <v>-0.15760513896262546</v>
      </c>
      <c r="S303" s="200">
        <f t="shared" si="174"/>
        <v>-40195.170000000042</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4"/>
        <v>Pièces</v>
      </c>
      <c r="B304" s="24" t="s">
        <v>175</v>
      </c>
      <c r="C304" s="264"/>
      <c r="D304" s="178"/>
      <c r="E304" s="178"/>
      <c r="F304" s="312"/>
      <c r="G304" s="303"/>
      <c r="H304" s="178"/>
      <c r="I304" s="312"/>
      <c r="J304" s="303"/>
      <c r="K304" s="178"/>
      <c r="L304" s="312"/>
      <c r="M304" s="303"/>
      <c r="N304" s="332">
        <f>N303/I303</f>
        <v>-0.10907270252526581</v>
      </c>
      <c r="O304" s="303"/>
      <c r="P304" s="178"/>
      <c r="Q304" s="312"/>
      <c r="R304" s="303"/>
      <c r="S304" s="333">
        <f>IF(Q303=0,0,S303/Q303)</f>
        <v>-0.34222725956518835</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4"/>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4"/>
        <v>PiècesVentes Pneus</v>
      </c>
      <c r="B306" s="24" t="s">
        <v>175</v>
      </c>
      <c r="C306" s="264" t="s">
        <v>186</v>
      </c>
      <c r="D306" s="197">
        <f>+INDEX('Budget original'!$A$2:$AO$496,MATCH($A306,'Budget original'!$A$2:$A$496,0),MATCH(D$2,'Budget original'!$A$2:$AO$2,0))</f>
        <v>26460.109588023632</v>
      </c>
      <c r="E306" s="210">
        <f t="shared" ref="E306:E307" si="175">IF(D306=0,0,F306/D306)</f>
        <v>0.19500000000000001</v>
      </c>
      <c r="F306" s="201">
        <f>+INDEX('Budget original'!$A$2:$AO$496,MATCH($A306,'Budget original'!$A$2:$A$496,0),MATCH(F$2,'Budget original'!$A$2:$AO$2,0))</f>
        <v>5159.7213696646086</v>
      </c>
      <c r="G306" s="197">
        <f>+INDEX('Budget révisé'!$A$2:$AO$496,MATCH($A306,'Budget révisé'!$A$2:$A$496,0),MATCH(G$2,'Budget révisé'!$A$2:$AO$2,0))</f>
        <v>26460.109588023632</v>
      </c>
      <c r="H306" s="210">
        <f t="shared" ref="H306:H307" si="176">IF(G306=0,0,I306/G306)</f>
        <v>0.19500000000000001</v>
      </c>
      <c r="I306" s="201">
        <f>+INDEX('Budget révisé'!$A$2:$AO$496,MATCH($A306,'Budget révisé'!$A$2:$A$496,0),MATCH(I$2,'Budget révisé'!$A$2:$AO$2,0))</f>
        <v>5159.7213696646086</v>
      </c>
      <c r="J306" s="179">
        <f>-SUMIFS(BV_Data_An_Cour!$O:$O,BV_Data_An_Cour!$X:$X,"Oui",BV_Data_An_Cour!$U:$U,$B306,BV_Data_An_Cour!$V:$V,$C306)</f>
        <v>28202.46</v>
      </c>
      <c r="K306" s="210">
        <f t="shared" ref="K306:K308" si="177">IF(J306&lt;=0,0,L306/J306)</f>
        <v>0.18144835592356132</v>
      </c>
      <c r="L306" s="180">
        <f>-SUMIFS(BV_Data_An_Cour!$O:$O,BV_Data_An_Cour!$U:$U,$B306,BV_Data_An_Cour!$V:$V,$C306,BV_Data_An_Cour!$W:$W,$L$2)</f>
        <v>5117.2900000000009</v>
      </c>
      <c r="M306" s="324">
        <f t="shared" ref="M306:M308" si="178">(+J306-G306)/G306</f>
        <v>6.5848193341005279E-2</v>
      </c>
      <c r="N306" s="304">
        <f t="shared" ref="N306:N308" si="179">L306-I306</f>
        <v>-42.431369664607701</v>
      </c>
      <c r="O306" s="179">
        <f>-SUMIFS(BV_Data_An_Prec!$O:$O,BV_Data_An_Prec!$X:$X,"Oui",BV_Data_An_Prec!$U:$U,$B306,BV_Data_An_Prec!$V:$V,$C306)</f>
        <v>29530.14</v>
      </c>
      <c r="P306" s="210">
        <f t="shared" ref="P306:P308" si="180">IF(O306&lt;=0,0,Q306/O306)</f>
        <v>0.19357883166148207</v>
      </c>
      <c r="Q306" s="180">
        <f>-SUMIFS(BV_Data_An_Prec!$O:$O,BV_Data_An_Prec!$U:$U,$B306,BV_Data_An_Prec!$V:$V,$C306,BV_Data_An_Prec!$W:$W,$L$2)</f>
        <v>5716.409999999998</v>
      </c>
      <c r="R306" s="324">
        <f t="shared" ref="R306:R307" si="181">IF(O306=0,0,(J306-O306)/O306)</f>
        <v>-4.4960166121799636E-2</v>
      </c>
      <c r="S306" s="199">
        <f t="shared" ref="S306:S308" si="182">L306-Q306</f>
        <v>-599.11999999999716</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4"/>
        <v>PiècesHuiles et Graisse</v>
      </c>
      <c r="B307" s="24" t="s">
        <v>175</v>
      </c>
      <c r="C307" s="326" t="s">
        <v>187</v>
      </c>
      <c r="D307" s="197">
        <f>+INDEX('Budget original'!$A$2:$AO$496,MATCH($A307,'Budget original'!$A$2:$A$496,0),MATCH(D$2,'Budget original'!$A$2:$AO$2,0))</f>
        <v>15129.102968859246</v>
      </c>
      <c r="E307" s="210">
        <f t="shared" si="175"/>
        <v>0.30006987567403665</v>
      </c>
      <c r="F307" s="202">
        <f>+INDEX('Budget original'!$A$2:$AO$496,MATCH($A307,'Budget original'!$A$2:$A$496,0),MATCH(F$2,'Budget original'!$A$2:$AO$2,0))</f>
        <v>4539.7880469252923</v>
      </c>
      <c r="G307" s="197">
        <f>+INDEX('Budget révisé'!$A$2:$AO$496,MATCH($A307,'Budget révisé'!$A$2:$A$496,0),MATCH(G$2,'Budget révisé'!$A$2:$AO$2,0))</f>
        <v>15129.102968859246</v>
      </c>
      <c r="H307" s="210">
        <f t="shared" si="176"/>
        <v>0.30006987567403665</v>
      </c>
      <c r="I307" s="202">
        <f>+INDEX('Budget révisé'!$A$2:$AO$496,MATCH($A307,'Budget révisé'!$A$2:$A$496,0),MATCH(I$2,'Budget révisé'!$A$2:$AO$2,0))</f>
        <v>4539.7880469252923</v>
      </c>
      <c r="J307" s="179">
        <f>-SUMIFS(BV_Data_An_Cour!$O:$O,BV_Data_An_Cour!$X:$X,"Oui",BV_Data_An_Cour!$U:$U,$B307,BV_Data_An_Cour!$V:$V,$C307)</f>
        <v>16473.04</v>
      </c>
      <c r="K307" s="210">
        <f t="shared" si="177"/>
        <v>0.28672424761914017</v>
      </c>
      <c r="L307" s="180">
        <f>-SUMIFS(BV_Data_An_Cour!$O:$O,BV_Data_An_Cour!$U:$U,$B307,BV_Data_An_Cour!$V:$V,$C307,BV_Data_An_Cour!$W:$W,$L$2)</f>
        <v>4723.2200000000012</v>
      </c>
      <c r="M307" s="324">
        <f t="shared" si="178"/>
        <v>8.8831243591046119E-2</v>
      </c>
      <c r="N307" s="304">
        <f t="shared" si="179"/>
        <v>183.43195307470887</v>
      </c>
      <c r="O307" s="179">
        <f>-SUMIFS(BV_Data_An_Prec!$O:$O,BV_Data_An_Prec!$X:$X,"Oui",BV_Data_An_Prec!$U:$U,$B307,BV_Data_An_Prec!$V:$V,$C307)</f>
        <v>14977.23</v>
      </c>
      <c r="P307" s="210">
        <f t="shared" si="180"/>
        <v>0.28657502088169845</v>
      </c>
      <c r="Q307" s="180">
        <f>-SUMIFS(BV_Data_An_Prec!$O:$O,BV_Data_An_Prec!$U:$U,$B307,BV_Data_An_Prec!$V:$V,$C307,BV_Data_An_Prec!$W:$W,$L$2)</f>
        <v>4292.1000000000004</v>
      </c>
      <c r="R307" s="324">
        <f t="shared" si="181"/>
        <v>9.9872272776741849E-2</v>
      </c>
      <c r="S307" s="199">
        <f t="shared" si="182"/>
        <v>431.1200000000008</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4"/>
        <v>PiècesSous-total Pièces et Acc.</v>
      </c>
      <c r="B308" s="24" t="s">
        <v>175</v>
      </c>
      <c r="C308" s="327" t="s">
        <v>188</v>
      </c>
      <c r="D308" s="198">
        <f>D303+D306+D307</f>
        <v>324516.87506145675</v>
      </c>
      <c r="E308" s="328">
        <f>IF(D308&lt;=0,0,F308/D308)</f>
        <v>0.29710084981571433</v>
      </c>
      <c r="F308" s="329">
        <f t="shared" ref="F308" si="183">F303+F306+F307</f>
        <v>96414.239360298787</v>
      </c>
      <c r="G308" s="331">
        <f>G303+G306+G307</f>
        <v>324516.87506145675</v>
      </c>
      <c r="H308" s="328">
        <f>IF(G308&lt;=0,0,I308/G308)</f>
        <v>0.29710084981571433</v>
      </c>
      <c r="I308" s="329">
        <f t="shared" ref="I308" si="184">I303+I306+I307</f>
        <v>96414.239360298787</v>
      </c>
      <c r="J308" s="331">
        <f t="shared" ref="J308" si="185">J303+J306+J307</f>
        <v>298360.31999999995</v>
      </c>
      <c r="K308" s="328">
        <f t="shared" si="177"/>
        <v>0.29191894552197822</v>
      </c>
      <c r="L308" s="329">
        <f>L303+L306+L307</f>
        <v>87097.02999999997</v>
      </c>
      <c r="M308" s="330">
        <f t="shared" si="178"/>
        <v>-8.0601525133333352E-2</v>
      </c>
      <c r="N308" s="329">
        <f t="shared" si="179"/>
        <v>-9317.209360298817</v>
      </c>
      <c r="O308" s="331">
        <f t="shared" ref="O308" si="186">O303+O306+O307</f>
        <v>345654.52999999997</v>
      </c>
      <c r="P308" s="328">
        <f t="shared" si="180"/>
        <v>0.36875026634252422</v>
      </c>
      <c r="Q308" s="329">
        <f>Q303+Q306+Q307</f>
        <v>127460.20000000003</v>
      </c>
      <c r="R308" s="330">
        <f>IF(O308=0,0,(J308-O308)/O308)</f>
        <v>-0.13682508370424085</v>
      </c>
      <c r="S308" s="200">
        <f t="shared" si="182"/>
        <v>-40363.170000000056</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4"/>
        <v>Pièces</v>
      </c>
      <c r="B309" s="24" t="s">
        <v>175</v>
      </c>
      <c r="C309" s="264"/>
      <c r="D309" s="178"/>
      <c r="E309" s="178"/>
      <c r="F309" s="312"/>
      <c r="G309" s="303"/>
      <c r="H309" s="178"/>
      <c r="I309" s="312"/>
      <c r="J309" s="303"/>
      <c r="K309" s="178"/>
      <c r="L309" s="312"/>
      <c r="M309" s="303"/>
      <c r="N309" s="332">
        <f>N308/I308</f>
        <v>-9.6637274972221937E-2</v>
      </c>
      <c r="O309" s="303"/>
      <c r="P309" s="178"/>
      <c r="Q309" s="312"/>
      <c r="R309" s="303"/>
      <c r="S309" s="333">
        <f>IF(Q308=0,0,S308/Q308)</f>
        <v>-0.31667273392007894</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4"/>
        <v>PiècesAutostock</v>
      </c>
      <c r="B311" s="24" t="s">
        <v>175</v>
      </c>
      <c r="C311" s="326" t="s">
        <v>189</v>
      </c>
      <c r="D311" s="190">
        <f>+INDEX('Budget original'!$A$2:$AO$496,MATCH($A311,'Budget original'!$A$2:$A$496,0),MATCH(D$2,'Budget original'!$A$2:$AO$2,0))</f>
        <v>0</v>
      </c>
      <c r="E311" s="195">
        <f t="shared" ref="E311" si="187">IF(D311=0,0,F311/D311)</f>
        <v>0</v>
      </c>
      <c r="F311" s="196">
        <f>+INDEX('Budget original'!$A$2:$AO$496,MATCH($A311,'Budget original'!$A$2:$A$496,0),MATCH(F$2,'Budget original'!$A$2:$AO$2,0))</f>
        <v>0</v>
      </c>
      <c r="G311" s="211">
        <f>+INDEX('Budget révisé'!$A$2:$AO$496,MATCH($A311,'Budget révisé'!$A$2:$A$496,0),MATCH(G$2,'Budget révisé'!$A$2:$AO$2,0))</f>
        <v>0</v>
      </c>
      <c r="H311" s="195">
        <f t="shared" ref="H311" si="188">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4"/>
        <v>PiècesTotal Dépt. Pièces</v>
      </c>
      <c r="B313" s="24" t="s">
        <v>175</v>
      </c>
      <c r="C313" s="269" t="s">
        <v>190</v>
      </c>
      <c r="D313" s="26">
        <f>D308+D311</f>
        <v>324516.87506145675</v>
      </c>
      <c r="E313" s="71">
        <f>IF(D313&lt;=0,0,F313/D313)</f>
        <v>0.29710084981571433</v>
      </c>
      <c r="F313" s="28">
        <f t="shared" ref="F313" si="189">F308+F311</f>
        <v>96414.239360298787</v>
      </c>
      <c r="G313" s="29">
        <f>G308+G311</f>
        <v>324516.87506145675</v>
      </c>
      <c r="H313" s="71">
        <f>IF(G313&lt;=0,0,I313/G313)</f>
        <v>0.29710084981571433</v>
      </c>
      <c r="I313" s="28">
        <f t="shared" ref="I313" si="190">I308+I311</f>
        <v>96414.239360298787</v>
      </c>
      <c r="J313" s="29">
        <f t="shared" ref="J313" si="191">J308+J311</f>
        <v>298360.31999999995</v>
      </c>
      <c r="K313" s="71">
        <f>IF(J313&lt;=0,0,L313/J313)</f>
        <v>0.29191894552197822</v>
      </c>
      <c r="L313" s="28">
        <f>L308+L311</f>
        <v>87097.02999999997</v>
      </c>
      <c r="M313" s="72">
        <f>(+J313-G313)/G313</f>
        <v>-8.0601525133333352E-2</v>
      </c>
      <c r="N313" s="73">
        <f>L313-I313</f>
        <v>-9317.209360298817</v>
      </c>
      <c r="O313" s="29">
        <f t="shared" ref="O313" si="192">O308+O311</f>
        <v>345654.52999999997</v>
      </c>
      <c r="P313" s="71">
        <f>IF(O313&lt;=0,0,Q313/O313)</f>
        <v>0.36875026634252422</v>
      </c>
      <c r="Q313" s="28">
        <f>Q308+Q311</f>
        <v>127460.20000000003</v>
      </c>
      <c r="R313" s="72">
        <f>IF(O313=0,0,(J313-O313)/O313)</f>
        <v>-0.13682508370424085</v>
      </c>
      <c r="S313" s="270">
        <f>L313-Q313</f>
        <v>-40363.170000000056</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4"/>
        <v>Pièces</v>
      </c>
      <c r="B314" s="24" t="s">
        <v>175</v>
      </c>
      <c r="C314" s="271"/>
      <c r="D314" s="74"/>
      <c r="E314" s="75"/>
      <c r="F314" s="76"/>
      <c r="G314" s="77"/>
      <c r="H314" s="75"/>
      <c r="I314" s="76"/>
      <c r="J314" s="77"/>
      <c r="K314" s="75"/>
      <c r="L314" s="76"/>
      <c r="M314" s="78"/>
      <c r="N314" s="34">
        <f>N313/I313</f>
        <v>-9.6637274972221937E-2</v>
      </c>
      <c r="O314" s="77"/>
      <c r="P314" s="75"/>
      <c r="Q314" s="76"/>
      <c r="R314" s="78"/>
      <c r="S314" s="272">
        <f>IF(Q313=0,0,S313/Q313)</f>
        <v>-0.31667273392007894</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4"/>
        <v>PiècesSalaires cadres</v>
      </c>
      <c r="B317" s="24" t="s">
        <v>175</v>
      </c>
      <c r="C317" s="280" t="s">
        <v>112</v>
      </c>
      <c r="D317" s="233"/>
      <c r="E317" s="233"/>
      <c r="F317" s="231">
        <f>+INDEX('Budget original'!$A$2:$AO$496,MATCH($A317,'Budget original'!$A$2:$A$496,0),MATCH(F$2,'Budget original'!$A$2:$AO$2,0))</f>
        <v>9700.1032456265475</v>
      </c>
      <c r="G317" s="227"/>
      <c r="H317" s="233"/>
      <c r="I317" s="231">
        <f>+INDEX('Budget révisé'!$A$2:$AO$496,MATCH($A317,'Budget révisé'!$A$2:$A$496,0),MATCH(I$2,'Budget révisé'!$A$2:$AO$2,0))</f>
        <v>9700.1032456265475</v>
      </c>
      <c r="J317" s="227"/>
      <c r="K317" s="233"/>
      <c r="L317" s="281">
        <f>SUMIFS(BV_Data_An_Cour!$O:$O,BV_Data_An_Cour!$U:$U,$B317,BV_Data_An_Cour!$V:$V,$C317,BV_Data_An_Cour!$W:$W,$L$2)</f>
        <v>8133.72</v>
      </c>
      <c r="M317" s="227"/>
      <c r="N317" s="232">
        <f t="shared" ref="N317:N328" si="193">L317-I317</f>
        <v>-1566.3832456265473</v>
      </c>
      <c r="O317" s="227"/>
      <c r="P317" s="233"/>
      <c r="Q317" s="281">
        <f>SUMIFS(BV_Data_An_Prec!$O:$O,BV_Data_An_Prec!$U:$U,$B317,BV_Data_An_Prec!$V:$V,$C317,BV_Data_An_Prec!$W:$W,$L$2)</f>
        <v>11077.66</v>
      </c>
      <c r="R317" s="227"/>
      <c r="S317" s="512">
        <f>L317-Q317</f>
        <v>-2943.9399999999996</v>
      </c>
      <c r="T317" s="222"/>
      <c r="U317" s="222"/>
      <c r="V317" s="222" t="s">
        <v>2881</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4"/>
        <v>PiècesSalaires commis</v>
      </c>
      <c r="B318" s="24" t="s">
        <v>175</v>
      </c>
      <c r="C318" s="282" t="s">
        <v>113</v>
      </c>
      <c r="D318" s="262"/>
      <c r="E318" s="233"/>
      <c r="F318" s="244">
        <f>+INDEX('Budget original'!$A$2:$AO$496,MATCH($A318,'Budget original'!$A$2:$A$496,0),MATCH(F$2,'Budget original'!$A$2:$AO$2,0))</f>
        <v>4660.1069176398478</v>
      </c>
      <c r="G318" s="283"/>
      <c r="H318" s="233"/>
      <c r="I318" s="244">
        <f>+INDEX('Budget révisé'!$A$2:$AO$496,MATCH($A318,'Budget révisé'!$A$2:$A$496,0),MATCH(I$2,'Budget révisé'!$A$2:$AO$2,0))</f>
        <v>4660.1069176398478</v>
      </c>
      <c r="J318" s="227"/>
      <c r="K318" s="233"/>
      <c r="L318" s="281">
        <f>SUMIFS(BV_Data_An_Cour!$O:$O,BV_Data_An_Cour!$U:$U,$B318,BV_Data_An_Cour!$V:$V,$C318,BV_Data_An_Cour!$W:$W,$L$2)</f>
        <v>4156.03</v>
      </c>
      <c r="M318" s="227"/>
      <c r="N318" s="232">
        <f t="shared" si="193"/>
        <v>-504.07691763984803</v>
      </c>
      <c r="O318" s="227"/>
      <c r="P318" s="233"/>
      <c r="Q318" s="281">
        <f>SUMIFS(BV_Data_An_Prec!$O:$O,BV_Data_An_Prec!$U:$U,$B318,BV_Data_An_Prec!$V:$V,$C318,BV_Data_An_Prec!$W:$W,$L$2)</f>
        <v>3271.87</v>
      </c>
      <c r="R318" s="227"/>
      <c r="S318" s="284">
        <f t="shared" ref="S318:S342" si="194">L318-Q318</f>
        <v>884.15999999999985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4"/>
        <v>PiècesSalaires autres</v>
      </c>
      <c r="B319" s="24" t="s">
        <v>175</v>
      </c>
      <c r="C319" s="280" t="s">
        <v>114</v>
      </c>
      <c r="D319" s="285"/>
      <c r="E319" s="286"/>
      <c r="F319" s="231">
        <f>+INDEX('Budget original'!$A$2:$AO$496,MATCH($A319,'Budget original'!$A$2:$A$496,0),MATCH(F$2,'Budget original'!$A$2:$AO$2,0))</f>
        <v>17319.701931377778</v>
      </c>
      <c r="G319" s="287"/>
      <c r="H319" s="286"/>
      <c r="I319" s="231">
        <f>+INDEX('Budget révisé'!$A$2:$AO$496,MATCH($A319,'Budget révisé'!$A$2:$A$496,0),MATCH(I$2,'Budget révisé'!$A$2:$AO$2,0))</f>
        <v>17319.701931377778</v>
      </c>
      <c r="J319" s="288"/>
      <c r="K319" s="286"/>
      <c r="L319" s="245">
        <f>SUMIFS(BV_Data_An_Cour!$O:$O,BV_Data_An_Cour!$U:$U,$B319,BV_Data_An_Cour!$V:$V,$C319,BV_Data_An_Cour!$W:$W,$L$2)</f>
        <v>18839.57</v>
      </c>
      <c r="M319" s="288"/>
      <c r="N319" s="289">
        <f t="shared" si="193"/>
        <v>1519.8680686222215</v>
      </c>
      <c r="O319" s="288"/>
      <c r="P319" s="286"/>
      <c r="Q319" s="245">
        <f>SUMIFS(BV_Data_An_Prec!$O:$O,BV_Data_An_Prec!$U:$U,$B319,BV_Data_An_Prec!$V:$V,$C319,BV_Data_An_Prec!$W:$W,$L$2)</f>
        <v>14497.42</v>
      </c>
      <c r="R319" s="288"/>
      <c r="S319" s="290">
        <f t="shared" si="194"/>
        <v>4342.1499999999996</v>
      </c>
      <c r="T319" s="222"/>
      <c r="U319" s="981"/>
      <c r="V319" s="981" t="s">
        <v>2882</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4"/>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3"/>
        <v>0</v>
      </c>
      <c r="O320" s="227"/>
      <c r="P320" s="233"/>
      <c r="Q320" s="281">
        <f>SUMIFS(BV_Data_An_Prec!$O:$O,BV_Data_An_Prec!$U:$U,$B320,BV_Data_An_Prec!$V:$V,$C320,BV_Data_An_Prec!$W:$W,$L$2)</f>
        <v>0</v>
      </c>
      <c r="R320" s="227"/>
      <c r="S320" s="284">
        <f t="shared" si="19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5">+B321&amp;C321</f>
        <v>Pièces[...]</v>
      </c>
      <c r="B321" s="24" t="s">
        <v>175</v>
      </c>
      <c r="C321" s="636"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6">L321-I321</f>
        <v>0</v>
      </c>
      <c r="O321" s="227"/>
      <c r="P321" s="233"/>
      <c r="Q321" s="281">
        <f>SUMIFS(BV_Data_An_Prec!$O:$O,BV_Data_An_Prec!$U:$U,$B321,BV_Data_An_Prec!$V:$V,$C321,BV_Data_An_Prec!$W:$W,$L$2)</f>
        <v>0</v>
      </c>
      <c r="R321" s="227"/>
      <c r="S321" s="284">
        <f t="shared" ref="S321:S323" si="197">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5"/>
        <v>Pièces[...]</v>
      </c>
      <c r="B322" s="24" t="s">
        <v>175</v>
      </c>
      <c r="C322" s="636"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6"/>
        <v>0</v>
      </c>
      <c r="O322" s="227"/>
      <c r="P322" s="233"/>
      <c r="Q322" s="281">
        <f>SUMIFS(BV_Data_An_Prec!$O:$O,BV_Data_An_Prec!$U:$U,$B322,BV_Data_An_Prec!$V:$V,$C322,BV_Data_An_Prec!$W:$W,$L$2)</f>
        <v>0</v>
      </c>
      <c r="R322" s="227"/>
      <c r="S322" s="284">
        <f t="shared" si="197"/>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5"/>
        <v>Pièces[...]</v>
      </c>
      <c r="B323" s="24" t="s">
        <v>175</v>
      </c>
      <c r="C323" s="636"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6"/>
        <v>0</v>
      </c>
      <c r="O323" s="227"/>
      <c r="P323" s="233"/>
      <c r="Q323" s="281">
        <f>SUMIFS(BV_Data_An_Prec!$O:$O,BV_Data_An_Prec!$U:$U,$B323,BV_Data_An_Prec!$V:$V,$C323,BV_Data_An_Prec!$W:$W,$L$2)</f>
        <v>0</v>
      </c>
      <c r="R323" s="227"/>
      <c r="S323" s="284">
        <f t="shared" si="197"/>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4"/>
        <v>PiècesSalaires en absences</v>
      </c>
      <c r="B324" s="24" t="s">
        <v>175</v>
      </c>
      <c r="C324" s="282" t="s">
        <v>116</v>
      </c>
      <c r="D324" s="262"/>
      <c r="E324" s="233"/>
      <c r="F324" s="244">
        <f>+INDEX('Budget original'!$A$2:$AO$496,MATCH($A324,'Budget original'!$A$2:$A$496,0),MATCH(F$2,'Budget original'!$A$2:$AO$2,0))</f>
        <v>3801.5894513573007</v>
      </c>
      <c r="G324" s="283"/>
      <c r="H324" s="233"/>
      <c r="I324" s="244">
        <f>+INDEX('Budget révisé'!$A$2:$AO$496,MATCH($A324,'Budget révisé'!$A$2:$A$496,0),MATCH(I$2,'Budget révisé'!$A$2:$AO$2,0))</f>
        <v>3801.5894513573007</v>
      </c>
      <c r="J324" s="227"/>
      <c r="K324" s="233"/>
      <c r="L324" s="281">
        <f>SUMIFS(BV_Data_An_Cour!$O:$O,BV_Data_An_Cour!$U:$U,$B324,BV_Data_An_Cour!$V:$V,$C324,BV_Data_An_Cour!$W:$W,$L$2)</f>
        <v>3222.16</v>
      </c>
      <c r="M324" s="227"/>
      <c r="N324" s="232">
        <f t="shared" si="193"/>
        <v>-579.42945135730088</v>
      </c>
      <c r="O324" s="227"/>
      <c r="P324" s="233"/>
      <c r="Q324" s="281">
        <f>SUMIFS(BV_Data_An_Prec!$O:$O,BV_Data_An_Prec!$U:$U,$B324,BV_Data_An_Prec!$V:$V,$C324,BV_Data_An_Prec!$W:$W,$L$2)</f>
        <v>3820.96</v>
      </c>
      <c r="R324" s="227"/>
      <c r="S324" s="284">
        <f t="shared" si="194"/>
        <v>-598.80000000000018</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4"/>
        <v>PiècesDéduction à la source</v>
      </c>
      <c r="B325" s="24" t="s">
        <v>175</v>
      </c>
      <c r="C325" s="280" t="s">
        <v>117</v>
      </c>
      <c r="D325" s="285"/>
      <c r="E325" s="286"/>
      <c r="F325" s="231">
        <f>+INDEX('Budget original'!$A$2:$AO$496,MATCH($A325,'Budget original'!$A$2:$A$496,0),MATCH(F$2,'Budget original'!$A$2:$AO$2,0))</f>
        <v>3801.5894513573007</v>
      </c>
      <c r="G325" s="287"/>
      <c r="H325" s="286"/>
      <c r="I325" s="231">
        <f>+INDEX('Budget révisé'!$A$2:$AO$496,MATCH($A325,'Budget révisé'!$A$2:$A$496,0),MATCH(I$2,'Budget révisé'!$A$2:$AO$2,0))</f>
        <v>3801.5894513573007</v>
      </c>
      <c r="J325" s="288"/>
      <c r="K325" s="286"/>
      <c r="L325" s="245">
        <f>SUMIFS(BV_Data_An_Cour!$O:$O,BV_Data_An_Cour!$U:$U,$B325,BV_Data_An_Cour!$V:$V,$C325,BV_Data_An_Cour!$W:$W,$L$2)</f>
        <v>44.14</v>
      </c>
      <c r="M325" s="288"/>
      <c r="N325" s="289">
        <f t="shared" si="193"/>
        <v>-3757.4494513573009</v>
      </c>
      <c r="O325" s="288"/>
      <c r="P325" s="286"/>
      <c r="Q325" s="245">
        <f>SUMIFS(BV_Data_An_Prec!$O:$O,BV_Data_An_Prec!$U:$U,$B325,BV_Data_An_Prec!$V:$V,$C325,BV_Data_An_Prec!$W:$W,$L$2)</f>
        <v>0</v>
      </c>
      <c r="R325" s="288"/>
      <c r="S325" s="290">
        <f t="shared" si="194"/>
        <v>44.14</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4"/>
        <v>PiècesBénéfices marginaux</v>
      </c>
      <c r="B326" s="24" t="s">
        <v>175</v>
      </c>
      <c r="C326" s="280" t="s">
        <v>118</v>
      </c>
      <c r="D326" s="262"/>
      <c r="E326" s="233"/>
      <c r="F326" s="231">
        <f>+INDEX('Budget original'!$A$2:$AO$496,MATCH($A326,'Budget original'!$A$2:$A$496,0),MATCH(F$2,'Budget original'!$A$2:$AO$2,0))</f>
        <v>2724.4724401393987</v>
      </c>
      <c r="G326" s="283"/>
      <c r="H326" s="233"/>
      <c r="I326" s="231">
        <f>+INDEX('Budget révisé'!$A$2:$AO$496,MATCH($A326,'Budget révisé'!$A$2:$A$496,0),MATCH(I$2,'Budget révisé'!$A$2:$AO$2,0))</f>
        <v>2724.4724401393987</v>
      </c>
      <c r="J326" s="227"/>
      <c r="K326" s="233"/>
      <c r="L326" s="281">
        <f>SUMIFS(BV_Data_An_Cour!$O:$O,BV_Data_An_Cour!$U:$U,$B326,BV_Data_An_Cour!$V:$V,$C326,BV_Data_An_Cour!$W:$W,$L$2)</f>
        <v>-1373.52</v>
      </c>
      <c r="M326" s="227"/>
      <c r="N326" s="232">
        <f t="shared" si="193"/>
        <v>-4097.9924401393982</v>
      </c>
      <c r="O326" s="227"/>
      <c r="P326" s="233"/>
      <c r="Q326" s="281">
        <f>SUMIFS(BV_Data_An_Prec!$O:$O,BV_Data_An_Prec!$U:$U,$B326,BV_Data_An_Prec!$V:$V,$C326,BV_Data_An_Prec!$W:$W,$L$2)</f>
        <v>4236.63</v>
      </c>
      <c r="R326" s="227"/>
      <c r="S326" s="284">
        <f t="shared" si="194"/>
        <v>-5610.15</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4"/>
        <v>PiècesCsst</v>
      </c>
      <c r="B327" s="24" t="s">
        <v>175</v>
      </c>
      <c r="C327" s="280" t="s">
        <v>119</v>
      </c>
      <c r="D327" s="262"/>
      <c r="E327" s="233"/>
      <c r="F327" s="231">
        <f>+INDEX('Budget original'!$A$2:$AO$496,MATCH($A327,'Budget original'!$A$2:$A$496,0),MATCH(F$2,'Budget original'!$A$2:$AO$2,0))</f>
        <v>633.59824189288349</v>
      </c>
      <c r="G327" s="283"/>
      <c r="H327" s="233"/>
      <c r="I327" s="231">
        <f>+INDEX('Budget révisé'!$A$2:$AO$496,MATCH($A327,'Budget révisé'!$A$2:$A$496,0),MATCH(I$2,'Budget révisé'!$A$2:$AO$2,0))</f>
        <v>633.59824189288349</v>
      </c>
      <c r="J327" s="227"/>
      <c r="K327" s="233"/>
      <c r="L327" s="281">
        <f>SUMIFS(BV_Data_An_Cour!$O:$O,BV_Data_An_Cour!$U:$U,$B327,BV_Data_An_Cour!$V:$V,$C327,BV_Data_An_Cour!$W:$W,$L$2)</f>
        <v>2694.0899999999983</v>
      </c>
      <c r="M327" s="227"/>
      <c r="N327" s="232">
        <f t="shared" si="193"/>
        <v>2060.4917581071149</v>
      </c>
      <c r="O327" s="227"/>
      <c r="P327" s="233"/>
      <c r="Q327" s="281">
        <f>SUMIFS(BV_Data_An_Prec!$O:$O,BV_Data_An_Prec!$U:$U,$B327,BV_Data_An_Prec!$V:$V,$C327,BV_Data_An_Prec!$W:$W,$L$2)</f>
        <v>4718.49</v>
      </c>
      <c r="R327" s="227"/>
      <c r="S327" s="284">
        <f t="shared" si="194"/>
        <v>-2024.4000000000015</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4"/>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3"/>
        <v>0</v>
      </c>
      <c r="O328" s="295"/>
      <c r="P328" s="293"/>
      <c r="Q328" s="281">
        <f>SUMIFS(BV_Data_An_Prec!$O:$O,BV_Data_An_Prec!$U:$U,$B328,BV_Data_An_Prec!$V:$V,$C328,BV_Data_An_Prec!$W:$W,$L$2)</f>
        <v>0</v>
      </c>
      <c r="R328" s="295"/>
      <c r="S328" s="297">
        <f t="shared" si="19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4"/>
        <v>PiècesTOTAL PERSONNEL</v>
      </c>
      <c r="B329" s="24" t="s">
        <v>175</v>
      </c>
      <c r="C329" s="298" t="s">
        <v>120</v>
      </c>
      <c r="D329" s="39" t="s">
        <v>111</v>
      </c>
      <c r="E329" s="40">
        <f>F329/F$313</f>
        <v>0.44227037377789785</v>
      </c>
      <c r="F329" s="41">
        <f>+SUM(F317:F328)</f>
        <v>42641.161679391058</v>
      </c>
      <c r="G329" s="42" t="s">
        <v>111</v>
      </c>
      <c r="H329" s="40">
        <f>I329/I$313</f>
        <v>0.44227037377789785</v>
      </c>
      <c r="I329" s="41">
        <f>+SUM(I317:I328)</f>
        <v>42641.161679391058</v>
      </c>
      <c r="J329" s="42" t="s">
        <v>111</v>
      </c>
      <c r="K329" s="40">
        <f>L329/L$313</f>
        <v>0.41007356967281211</v>
      </c>
      <c r="L329" s="41">
        <f>+SUM(L317:L328)</f>
        <v>35716.189999999995</v>
      </c>
      <c r="M329" s="43"/>
      <c r="N329" s="46">
        <f t="shared" ref="N329:N342" si="198">L329-I329</f>
        <v>-6924.9716793910629</v>
      </c>
      <c r="O329" s="42" t="s">
        <v>111</v>
      </c>
      <c r="P329" s="40">
        <f>Q329/Q$313</f>
        <v>0.32655707428671837</v>
      </c>
      <c r="Q329" s="41">
        <f>+SUM(Q317:Q328)</f>
        <v>41623.029999999992</v>
      </c>
      <c r="R329" s="43"/>
      <c r="S329" s="299">
        <f t="shared" si="194"/>
        <v>-5906.8399999999965</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4"/>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8900.66</v>
      </c>
      <c r="M330" s="303"/>
      <c r="N330" s="304">
        <f t="shared" si="198"/>
        <v>5092.0183333333334</v>
      </c>
      <c r="O330" s="303"/>
      <c r="P330" s="178"/>
      <c r="Q330" s="281">
        <f>SUMIFS(BV_Data_An_Prec!$O:$O,BV_Data_An_Prec!$U:$U,$B330,BV_Data_An_Prec!$V:$V,$C330,BV_Data_An_Prec!$W:$W,$L$2)</f>
        <v>7480.84</v>
      </c>
      <c r="R330" s="303"/>
      <c r="S330" s="199">
        <f t="shared" si="194"/>
        <v>1419.8199999999997</v>
      </c>
      <c r="T330" s="222"/>
      <c r="U330" s="222"/>
      <c r="V330" s="222" t="s">
        <v>2953</v>
      </c>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4"/>
        <v>PiècesService gratuit 2</v>
      </c>
      <c r="B331" s="24" t="s">
        <v>175</v>
      </c>
      <c r="C331" s="305" t="s">
        <v>122</v>
      </c>
      <c r="D331" s="301"/>
      <c r="E331" s="178"/>
      <c r="F331" s="179">
        <f>+INDEX('Budget original'!$A$2:$AO$496,MATCH($A331,'Budget original'!$A$2:$A$496,0),MATCH(F$2,'Budget original'!$A$2:$AO$2,0))</f>
        <v>1728.4969010161922</v>
      </c>
      <c r="G331" s="302"/>
      <c r="H331" s="178"/>
      <c r="I331" s="179">
        <f>+INDEX('Budget révisé'!$A$2:$AO$496,MATCH($A331,'Budget révisé'!$A$2:$A$496,0),MATCH(I$2,'Budget révisé'!$A$2:$AO$2,0))</f>
        <v>1728.4969010161922</v>
      </c>
      <c r="J331" s="303"/>
      <c r="K331" s="178"/>
      <c r="L331" s="180">
        <f>SUMIFS(BV_Data_An_Cour!$O:$O,BV_Data_An_Cour!$U:$U,$B331,BV_Data_An_Cour!$V:$V,$C331,BV_Data_An_Cour!$W:$W,$L$2)</f>
        <v>0</v>
      </c>
      <c r="M331" s="303"/>
      <c r="N331" s="304">
        <f t="shared" si="198"/>
        <v>-1728.4969010161922</v>
      </c>
      <c r="O331" s="303"/>
      <c r="P331" s="178"/>
      <c r="Q331" s="180">
        <f>SUMIFS(BV_Data_An_Prec!$O:$O,BV_Data_An_Prec!$U:$U,$B331,BV_Data_An_Prec!$V:$V,$C331,BV_Data_An_Prec!$W:$W,$L$2)</f>
        <v>57.07</v>
      </c>
      <c r="R331" s="303"/>
      <c r="S331" s="199">
        <f t="shared" si="194"/>
        <v>-57.07</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4"/>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260.42</v>
      </c>
      <c r="M332" s="310"/>
      <c r="N332" s="311">
        <f t="shared" si="198"/>
        <v>-25.079999999999984</v>
      </c>
      <c r="O332" s="310"/>
      <c r="P332" s="308"/>
      <c r="Q332" s="180">
        <f>SUMIFS(BV_Data_An_Prec!$O:$O,BV_Data_An_Prec!$U:$U,$B332,BV_Data_An_Prec!$V:$V,$C332,BV_Data_An_Prec!$W:$W,$L$2)</f>
        <v>380.8</v>
      </c>
      <c r="R332" s="310"/>
      <c r="S332" s="202">
        <f t="shared" si="194"/>
        <v>-120.38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4"/>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4026.54</v>
      </c>
      <c r="M333" s="303"/>
      <c r="N333" s="304">
        <f t="shared" si="198"/>
        <v>-254.23833333333369</v>
      </c>
      <c r="O333" s="303"/>
      <c r="P333" s="178"/>
      <c r="Q333" s="181">
        <f>SUMIFS(BV_Data_An_Prec!$O:$O,BV_Data_An_Prec!$U:$U,$B333,BV_Data_An_Prec!$V:$V,$C333,BV_Data_An_Prec!$W:$W,$L$2)</f>
        <v>4236.79</v>
      </c>
      <c r="R333" s="303"/>
      <c r="S333" s="199">
        <f t="shared" si="194"/>
        <v>-210.25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4"/>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458.9</v>
      </c>
      <c r="M334" s="303"/>
      <c r="N334" s="304">
        <f t="shared" si="198"/>
        <v>-788.36312499999997</v>
      </c>
      <c r="O334" s="303"/>
      <c r="P334" s="178"/>
      <c r="Q334" s="180">
        <f>SUMIFS(BV_Data_An_Prec!$O:$O,BV_Data_An_Prec!$U:$U,$B334,BV_Data_An_Prec!$V:$V,$C334,BV_Data_An_Prec!$W:$W,$L$2)</f>
        <v>1519.25</v>
      </c>
      <c r="R334" s="303"/>
      <c r="S334" s="199">
        <f t="shared" si="194"/>
        <v>-1060.3499999999999</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4"/>
        <v>PiècesServices extérieurs</v>
      </c>
      <c r="B335" s="24" t="s">
        <v>175</v>
      </c>
      <c r="C335" s="688" t="s">
        <v>126</v>
      </c>
      <c r="D335" s="307"/>
      <c r="E335" s="308"/>
      <c r="F335" s="177">
        <f>+INDEX('Budget original'!$A$2:$AO$496,MATCH($A335,'Budget original'!$A$2:$A$496,0),MATCH(F$2,'Budget original'!$A$2:$AO$2,0))</f>
        <v>7738.2632083333328</v>
      </c>
      <c r="G335" s="309"/>
      <c r="H335" s="308"/>
      <c r="I335" s="177">
        <f>+INDEX('Budget révisé'!$A$2:$AO$496,MATCH($A335,'Budget révisé'!$A$2:$A$496,0),MATCH(I$2,'Budget révisé'!$A$2:$AO$2,0))</f>
        <v>7738.2632083333328</v>
      </c>
      <c r="J335" s="310"/>
      <c r="K335" s="308"/>
      <c r="L335" s="405">
        <f>SUMIFS(BV_Data_An_Cour!$O:$O,BV_Data_An_Cour!$U:$U,$B335,BV_Data_An_Cour!$V:$V,$C335,BV_Data_An_Cour!$W:$W,$L$2)</f>
        <v>5312.85</v>
      </c>
      <c r="M335" s="310"/>
      <c r="N335" s="311">
        <f t="shared" si="198"/>
        <v>-2425.4132083333325</v>
      </c>
      <c r="O335" s="310"/>
      <c r="P335" s="308"/>
      <c r="Q335" s="405">
        <f>SUMIFS(BV_Data_An_Prec!$O:$O,BV_Data_An_Prec!$U:$U,$B335,BV_Data_An_Prec!$V:$V,$C335,BV_Data_An_Prec!$W:$W,$L$2)</f>
        <v>11643.14</v>
      </c>
      <c r="R335" s="310"/>
      <c r="S335" s="202">
        <f t="shared" si="194"/>
        <v>-6330.2899999999991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9">+B336&amp;C336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200">L336-I336</f>
        <v>0</v>
      </c>
      <c r="O336" s="303"/>
      <c r="P336" s="178"/>
      <c r="Q336" s="180">
        <f>SUMIFS(BV_Data_An_Prec!$O:$O,BV_Data_An_Prec!$U:$U,$B336,BV_Data_An_Prec!$V:$V,$C336,BV_Data_An_Prec!$W:$W,$L$2)</f>
        <v>0</v>
      </c>
      <c r="R336" s="303"/>
      <c r="S336" s="199">
        <f t="shared" ref="S336" si="201">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4"/>
        <v>PiècesFournitures autres</v>
      </c>
      <c r="B337" s="24" t="s">
        <v>175</v>
      </c>
      <c r="C337" s="305" t="s">
        <v>127</v>
      </c>
      <c r="D337" s="301"/>
      <c r="E337" s="178"/>
      <c r="F337" s="179">
        <f>+INDEX('Budget original'!$A$2:$AO$496,MATCH($A337,'Budget original'!$A$2:$A$496,0),MATCH(F$2,'Budget original'!$A$2:$AO$2,0))</f>
        <v>132</v>
      </c>
      <c r="G337" s="302"/>
      <c r="H337" s="178"/>
      <c r="I337" s="179">
        <f>+INDEX('Budget révisé'!$A$2:$AO$496,MATCH($A337,'Budget révisé'!$A$2:$A$496,0),MATCH(I$2,'Budget révisé'!$A$2:$AO$2,0))</f>
        <v>132</v>
      </c>
      <c r="J337" s="303"/>
      <c r="K337" s="178"/>
      <c r="L337" s="180">
        <f>SUMIFS(BV_Data_An_Cour!$O:$O,BV_Data_An_Cour!$U:$U,$B337,BV_Data_An_Cour!$V:$V,$C337,BV_Data_An_Cour!$W:$W,$L$2)</f>
        <v>0</v>
      </c>
      <c r="M337" s="303"/>
      <c r="N337" s="304">
        <f t="shared" si="198"/>
        <v>-132</v>
      </c>
      <c r="O337" s="303"/>
      <c r="P337" s="178"/>
      <c r="Q337" s="180">
        <f>SUMIFS(BV_Data_An_Prec!$O:$O,BV_Data_An_Prec!$U:$U,$B337,BV_Data_An_Prec!$V:$V,$C337,BV_Data_An_Prec!$W:$W,$L$2)</f>
        <v>105</v>
      </c>
      <c r="R337" s="303"/>
      <c r="S337" s="199">
        <f t="shared" si="194"/>
        <v>-105</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4"/>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8"/>
        <v>-170</v>
      </c>
      <c r="O338" s="303"/>
      <c r="P338" s="178"/>
      <c r="Q338" s="180">
        <f>SUMIFS(BV_Data_An_Prec!$O:$O,BV_Data_An_Prec!$U:$U,$B338,BV_Data_An_Prec!$V:$V,$C338,BV_Data_An_Prec!$W:$W,$L$2)</f>
        <v>170</v>
      </c>
      <c r="R338" s="303"/>
      <c r="S338" s="199">
        <f t="shared" si="194"/>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4"/>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301.47000000000003</v>
      </c>
      <c r="M339" s="303"/>
      <c r="N339" s="304">
        <f t="shared" si="198"/>
        <v>-243.52999999999997</v>
      </c>
      <c r="O339" s="303"/>
      <c r="P339" s="178"/>
      <c r="Q339" s="554">
        <f>SUMIFS(BV_Data_An_Prec!$O:$O,BV_Data_An_Prec!$U:$U,$B339,BV_Data_An_Prec!$V:$V,$C339,BV_Data_An_Prec!$W:$W,$L$2)</f>
        <v>462.5</v>
      </c>
      <c r="R339" s="303"/>
      <c r="S339" s="199">
        <f t="shared" si="194"/>
        <v>-161.02999999999997</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4"/>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185.98</v>
      </c>
      <c r="M340" s="303"/>
      <c r="N340" s="304">
        <f t="shared" si="198"/>
        <v>-266.29499999999996</v>
      </c>
      <c r="O340" s="303"/>
      <c r="P340" s="178"/>
      <c r="Q340" s="180">
        <f>SUMIFS(BV_Data_An_Prec!$O:$O,BV_Data_An_Prec!$U:$U,$B340,BV_Data_An_Prec!$V:$V,$C340,BV_Data_An_Prec!$W:$W,$L$2)</f>
        <v>418.82</v>
      </c>
      <c r="R340" s="303"/>
      <c r="S340" s="199">
        <f t="shared" si="194"/>
        <v>-232.84</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4"/>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57.72</v>
      </c>
      <c r="M341" s="303"/>
      <c r="N341" s="304">
        <f t="shared" si="198"/>
        <v>-158.53</v>
      </c>
      <c r="O341" s="303"/>
      <c r="P341" s="178"/>
      <c r="Q341" s="180">
        <f>SUMIFS(BV_Data_An_Prec!$O:$O,BV_Data_An_Prec!$U:$U,$B341,BV_Data_An_Prec!$V:$V,$C341,BV_Data_An_Prec!$W:$W,$L$2)</f>
        <v>55.5</v>
      </c>
      <c r="R341" s="303"/>
      <c r="S341" s="199">
        <f t="shared" si="194"/>
        <v>2.2199999999999989</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4"/>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1488.49</v>
      </c>
      <c r="M342" s="303"/>
      <c r="N342" s="304">
        <f t="shared" si="198"/>
        <v>590.74</v>
      </c>
      <c r="O342" s="303"/>
      <c r="P342" s="178"/>
      <c r="Q342" s="180">
        <f>SUMIFS(BV_Data_An_Prec!$O:$O,BV_Data_An_Prec!$U:$U,$B342,BV_Data_An_Prec!$V:$V,$C342,BV_Data_An_Prec!$W:$W,$L$2)</f>
        <v>1174.57</v>
      </c>
      <c r="R342" s="303"/>
      <c r="S342" s="199">
        <f t="shared" si="194"/>
        <v>313.92000000000007</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2">+B343&amp;C343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3">L343-I343</f>
        <v>-225.00583333333333</v>
      </c>
      <c r="O343" s="303"/>
      <c r="P343" s="178"/>
      <c r="Q343" s="180">
        <f>SUMIFS(BV_Data_An_Prec!$O:$O,BV_Data_An_Prec!$U:$U,$B343,BV_Data_An_Prec!$V:$V,$C343,BV_Data_An_Prec!$W:$W,$L$2)</f>
        <v>325</v>
      </c>
      <c r="R343" s="303"/>
      <c r="S343" s="199">
        <f t="shared" ref="S343:S347" si="204">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2"/>
        <v>PiècesFrais bancaires</v>
      </c>
      <c r="B344" s="24" t="s">
        <v>175</v>
      </c>
      <c r="C344" s="305" t="s">
        <v>134</v>
      </c>
      <c r="D344" s="301"/>
      <c r="E344" s="178"/>
      <c r="F344" s="179">
        <f>+INDEX('Budget original'!$A$2:$AO$496,MATCH($A344,'Budget original'!$A$2:$A$496,0),MATCH(F$2,'Budget original'!$A$2:$AO$2,0))</f>
        <v>1627.5891855146688</v>
      </c>
      <c r="G344" s="302"/>
      <c r="H344" s="178"/>
      <c r="I344" s="179">
        <f>+INDEX('Budget révisé'!$A$2:$AO$496,MATCH($A344,'Budget révisé'!$A$2:$A$496,0),MATCH(I$2,'Budget révisé'!$A$2:$AO$2,0))</f>
        <v>1627.5891855146688</v>
      </c>
      <c r="J344" s="303"/>
      <c r="K344" s="178"/>
      <c r="L344" s="985">
        <f>AF447*W7</f>
        <v>1335.1559999999999</v>
      </c>
      <c r="M344" s="303"/>
      <c r="N344" s="304">
        <f t="shared" si="203"/>
        <v>-292.43318551466882</v>
      </c>
      <c r="O344" s="303"/>
      <c r="P344" s="178"/>
      <c r="Q344" s="281">
        <f>AL447*W7</f>
        <v>1192.1479999999999</v>
      </c>
      <c r="R344" s="303"/>
      <c r="S344" s="199">
        <f t="shared" si="204"/>
        <v>143.00800000000004</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2"/>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3"/>
        <v>0</v>
      </c>
      <c r="O345" s="303"/>
      <c r="P345" s="178"/>
      <c r="Q345" s="180">
        <f>SUMIFS(BV_Data_An_Prec!$O:$O,BV_Data_An_Prec!$U:$U,$B345,BV_Data_An_Prec!$V:$V,$C345,BV_Data_An_Prec!$W:$W,$L$2)</f>
        <v>0</v>
      </c>
      <c r="R345" s="303"/>
      <c r="S345" s="199">
        <f t="shared" si="204"/>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2"/>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3"/>
        <v>0</v>
      </c>
      <c r="O346" s="303"/>
      <c r="P346" s="178"/>
      <c r="Q346" s="180">
        <f>SUMIFS(BV_Data_An_Prec!$O:$O,BV_Data_An_Prec!$U:$U,$B346,BV_Data_An_Prec!$V:$V,$C346,BV_Data_An_Prec!$W:$W,$L$2)</f>
        <v>0</v>
      </c>
      <c r="R346" s="303"/>
      <c r="S346" s="199">
        <f t="shared" si="204"/>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5">+B347&amp;C347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3"/>
        <v>0</v>
      </c>
      <c r="O347" s="303"/>
      <c r="P347" s="178"/>
      <c r="Q347" s="180">
        <f>SUMIFS(BV_Data_An_Prec!$O:$O,BV_Data_An_Prec!$U:$U,$B347,BV_Data_An_Prec!$V:$V,$C347,BV_Data_An_Prec!$W:$W,$L$2)</f>
        <v>0</v>
      </c>
      <c r="R347" s="303"/>
      <c r="S347" s="199">
        <f t="shared" si="204"/>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0.24246370046895407</v>
      </c>
      <c r="F348" s="41">
        <f>+SUM(F330:F347)</f>
        <v>23376.953253197527</v>
      </c>
      <c r="G348" s="42" t="s">
        <v>111</v>
      </c>
      <c r="H348" s="40">
        <f>I348/I$313</f>
        <v>0.24246370046895407</v>
      </c>
      <c r="I348" s="41">
        <f>+SUM(I330:I347)</f>
        <v>23376.953253197527</v>
      </c>
      <c r="J348" s="42" t="s">
        <v>111</v>
      </c>
      <c r="K348" s="40">
        <f>L348/L$313</f>
        <v>0.2566141003889571</v>
      </c>
      <c r="L348" s="41">
        <f>+SUM(L330:L347)</f>
        <v>22350.326000000001</v>
      </c>
      <c r="M348" s="44"/>
      <c r="N348" s="41">
        <f>+SUM(N330:N347)</f>
        <v>-1026.6272531975269</v>
      </c>
      <c r="O348" s="42" t="s">
        <v>111</v>
      </c>
      <c r="P348" s="40">
        <f>Q348/Q$313</f>
        <v>0.229259235431923</v>
      </c>
      <c r="Q348" s="41">
        <f>+SUM(Q330:Q347)</f>
        <v>29221.428</v>
      </c>
      <c r="R348" s="44"/>
      <c r="S348" s="316">
        <f>+SUM(S330:S347)</f>
        <v>-6871.101999999998</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0.68473407424685206</v>
      </c>
      <c r="F350" s="41">
        <f>F329+F348</f>
        <v>66018.114932588593</v>
      </c>
      <c r="G350" s="42" t="s">
        <v>111</v>
      </c>
      <c r="H350" s="40">
        <f>I350/I$313</f>
        <v>0.68473407424685206</v>
      </c>
      <c r="I350" s="41">
        <f>I329+I348</f>
        <v>66018.114932588593</v>
      </c>
      <c r="J350" s="42" t="s">
        <v>111</v>
      </c>
      <c r="K350" s="40">
        <f>L350/L$313</f>
        <v>0.66668767006176921</v>
      </c>
      <c r="L350" s="41">
        <f>L329+L348</f>
        <v>58066.515999999996</v>
      </c>
      <c r="M350" s="44"/>
      <c r="N350" s="46">
        <f t="shared" ref="N350:N352" si="206">L350-I350</f>
        <v>-7951.5989325885967</v>
      </c>
      <c r="O350" s="42" t="s">
        <v>111</v>
      </c>
      <c r="P350" s="40">
        <f>Q350/Q$313</f>
        <v>0.55581630971864138</v>
      </c>
      <c r="Q350" s="41">
        <f>Q329+Q348</f>
        <v>70844.457999999984</v>
      </c>
      <c r="R350" s="44"/>
      <c r="S350" s="299">
        <f>L350-Q350</f>
        <v>-12777.941999999988</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6"/>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2"/>
      <c r="C352" s="340" t="s">
        <v>143</v>
      </c>
      <c r="D352" s="341"/>
      <c r="E352" s="342"/>
      <c r="F352" s="343">
        <f>F313-F350</f>
        <v>30396.124427710194</v>
      </c>
      <c r="G352" s="344"/>
      <c r="H352" s="342"/>
      <c r="I352" s="343">
        <f>I313-I350</f>
        <v>30396.124427710194</v>
      </c>
      <c r="J352" s="345"/>
      <c r="K352" s="346"/>
      <c r="L352" s="343">
        <f>L313-L350</f>
        <v>29030.513999999974</v>
      </c>
      <c r="M352" s="345"/>
      <c r="N352" s="343">
        <f t="shared" si="206"/>
        <v>-1365.6104277102204</v>
      </c>
      <c r="O352" s="345"/>
      <c r="P352" s="346"/>
      <c r="Q352" s="343">
        <f>Q313-Q350</f>
        <v>56615.742000000042</v>
      </c>
      <c r="R352" s="345"/>
      <c r="S352" s="347">
        <f>L352-Q352</f>
        <v>-27585.228000000068</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Mars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35" t="s">
        <v>77</v>
      </c>
      <c r="E357" s="1136"/>
      <c r="F357" s="1137"/>
      <c r="G357" s="1138" t="s">
        <v>145</v>
      </c>
      <c r="H357" s="1136"/>
      <c r="I357" s="1137"/>
      <c r="J357" s="1138" t="s">
        <v>79</v>
      </c>
      <c r="K357" s="1136"/>
      <c r="L357" s="1137"/>
      <c r="M357" s="1138" t="s">
        <v>80</v>
      </c>
      <c r="N357" s="1137"/>
      <c r="O357" s="1135" t="s">
        <v>81</v>
      </c>
      <c r="P357" s="1136"/>
      <c r="Q357" s="1137"/>
      <c r="R357" s="1138" t="s">
        <v>82</v>
      </c>
      <c r="S357" s="1139"/>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7">+B358&amp;C358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7"/>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7"/>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7"/>
        <v>BoutiqueTotal Dépt. Boutique</v>
      </c>
      <c r="B361" s="24" t="s">
        <v>191</v>
      </c>
      <c r="C361" s="273" t="s">
        <v>192</v>
      </c>
      <c r="D361" s="246">
        <f>+D359</f>
        <v>0</v>
      </c>
      <c r="E361" s="237">
        <f>IF(D361&lt;=0,0,F361/D361)</f>
        <v>0</v>
      </c>
      <c r="F361" s="238">
        <f t="shared" ref="F361" si="208">+F359</f>
        <v>0</v>
      </c>
      <c r="G361" s="236">
        <f>+G359</f>
        <v>0</v>
      </c>
      <c r="H361" s="237">
        <f>IF(G361&lt;=0,0,I361/G361)</f>
        <v>0</v>
      </c>
      <c r="I361" s="238">
        <f t="shared" ref="I361" si="209">+I359</f>
        <v>0</v>
      </c>
      <c r="J361" s="236">
        <f t="shared" ref="J361" si="210">+J359</f>
        <v>0</v>
      </c>
      <c r="K361" s="237">
        <f>IF(J361&lt;=0,0,L361/J361)</f>
        <v>0</v>
      </c>
      <c r="L361" s="238">
        <f>+L359</f>
        <v>0</v>
      </c>
      <c r="M361" s="625">
        <f>IF(G361=0,0,(+J361-G361)/G361)</f>
        <v>0</v>
      </c>
      <c r="N361" s="626">
        <f>L361-I361</f>
        <v>0</v>
      </c>
      <c r="O361" s="236">
        <f t="shared" ref="O361" si="211">+O359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7"/>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7"/>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7"/>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7"/>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2">L365-I365</f>
        <v>0</v>
      </c>
      <c r="O365" s="227"/>
      <c r="P365" s="233"/>
      <c r="Q365" s="244">
        <f>-SUMIFS(BV_Data_An_Prec!$O:$O,BV_Data_An_Prec!$U:$U,$B365,BV_Data_An_Prec!$V:$V,$C365,BV_Data_An_Prec!$W:$W,$L$2)</f>
        <v>0</v>
      </c>
      <c r="R365" s="227"/>
      <c r="S365" s="284">
        <f t="shared" ref="S365:S393" si="213">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7"/>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2"/>
        <v>0</v>
      </c>
      <c r="O366" s="288"/>
      <c r="P366" s="286"/>
      <c r="Q366" s="281">
        <f>-SUMIFS(BV_Data_An_Prec!$O:$O,BV_Data_An_Prec!$U:$U,$B366,BV_Data_An_Prec!$V:$V,$C366,BV_Data_An_Prec!$W:$W,$L$2)</f>
        <v>0</v>
      </c>
      <c r="R366" s="288"/>
      <c r="S366" s="290">
        <f t="shared" si="213"/>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7"/>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2"/>
        <v>0</v>
      </c>
      <c r="O367" s="227"/>
      <c r="P367" s="233"/>
      <c r="Q367" s="281">
        <f>-SUMIFS(BV_Data_An_Prec!$O:$O,BV_Data_An_Prec!$U:$U,$B367,BV_Data_An_Prec!$V:$V,$C367,BV_Data_An_Prec!$W:$W,$L$2)</f>
        <v>0</v>
      </c>
      <c r="R367" s="227"/>
      <c r="S367" s="284">
        <f t="shared" si="213"/>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7"/>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2"/>
        <v>0</v>
      </c>
      <c r="O368" s="227"/>
      <c r="P368" s="233"/>
      <c r="Q368" s="281">
        <f>-SUMIFS(BV_Data_An_Prec!$O:$O,BV_Data_An_Prec!$U:$U,$B368,BV_Data_An_Prec!$V:$V,$C368,BV_Data_An_Prec!$W:$W,$L$2)</f>
        <v>0</v>
      </c>
      <c r="R368" s="227"/>
      <c r="S368" s="284">
        <f t="shared" si="213"/>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7"/>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2"/>
        <v>0</v>
      </c>
      <c r="O369" s="227"/>
      <c r="P369" s="233"/>
      <c r="Q369" s="281">
        <f>-SUMIFS(BV_Data_An_Prec!$O:$O,BV_Data_An_Prec!$U:$U,$B369,BV_Data_An_Prec!$V:$V,$C369,BV_Data_An_Prec!$W:$W,$L$2)</f>
        <v>0</v>
      </c>
      <c r="R369" s="227"/>
      <c r="S369" s="284">
        <f t="shared" si="213"/>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7"/>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2"/>
        <v>0</v>
      </c>
      <c r="O370" s="227"/>
      <c r="P370" s="233"/>
      <c r="Q370" s="281">
        <f>-SUMIFS(BV_Data_An_Prec!$O:$O,BV_Data_An_Prec!$U:$U,$B370,BV_Data_An_Prec!$V:$V,$C370,BV_Data_An_Prec!$W:$W,$L$2)</f>
        <v>0</v>
      </c>
      <c r="R370" s="227"/>
      <c r="S370" s="284">
        <f t="shared" si="213"/>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7"/>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2"/>
        <v>0</v>
      </c>
      <c r="O371" s="227"/>
      <c r="P371" s="233"/>
      <c r="Q371" s="244">
        <f>-SUMIFS(BV_Data_An_Prec!$O:$O,BV_Data_An_Prec!$U:$U,$B371,BV_Data_An_Prec!$V:$V,$C371,BV_Data_An_Prec!$W:$W,$L$2)</f>
        <v>0</v>
      </c>
      <c r="R371" s="227"/>
      <c r="S371" s="284">
        <f t="shared" si="213"/>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7"/>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2"/>
        <v>0</v>
      </c>
      <c r="O372" s="288"/>
      <c r="P372" s="286"/>
      <c r="Q372" s="281">
        <f>-SUMIFS(BV_Data_An_Prec!$O:$O,BV_Data_An_Prec!$U:$U,$B372,BV_Data_An_Prec!$V:$V,$C372,BV_Data_An_Prec!$W:$W,$L$2)</f>
        <v>0</v>
      </c>
      <c r="R372" s="288"/>
      <c r="S372" s="290">
        <f t="shared" si="213"/>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7"/>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2"/>
        <v>0</v>
      </c>
      <c r="O373" s="227"/>
      <c r="P373" s="233"/>
      <c r="Q373" s="281">
        <f>-SUMIFS(BV_Data_An_Prec!$O:$O,BV_Data_An_Prec!$U:$U,$B373,BV_Data_An_Prec!$V:$V,$C373,BV_Data_An_Prec!$W:$W,$L$2)</f>
        <v>0</v>
      </c>
      <c r="R373" s="227"/>
      <c r="S373" s="284">
        <f t="shared" si="213"/>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7"/>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2"/>
        <v>0</v>
      </c>
      <c r="O374" s="227"/>
      <c r="P374" s="233"/>
      <c r="Q374" s="281">
        <f>-SUMIFS(BV_Data_An_Prec!$O:$O,BV_Data_An_Prec!$U:$U,$B374,BV_Data_An_Prec!$V:$V,$C374,BV_Data_An_Prec!$W:$W,$L$2)</f>
        <v>0</v>
      </c>
      <c r="R374" s="227"/>
      <c r="S374" s="284">
        <f t="shared" si="213"/>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7"/>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2"/>
        <v>0</v>
      </c>
      <c r="O375" s="295"/>
      <c r="P375" s="293"/>
      <c r="Q375" s="281">
        <f>-SUMIFS(BV_Data_An_Prec!$O:$O,BV_Data_An_Prec!$U:$U,$B375,BV_Data_An_Prec!$V:$V,$C375,BV_Data_An_Prec!$W:$W,$L$2)</f>
        <v>0</v>
      </c>
      <c r="R375" s="295"/>
      <c r="S375" s="297">
        <f t="shared" si="213"/>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7"/>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2"/>
        <v>0</v>
      </c>
      <c r="O376" s="42" t="s">
        <v>111</v>
      </c>
      <c r="P376" s="40">
        <f>IFERROR(Q376/Q$359,0)</f>
        <v>0</v>
      </c>
      <c r="Q376" s="41">
        <f>+SUM(Q364:Q375)</f>
        <v>0</v>
      </c>
      <c r="R376" s="43"/>
      <c r="S376" s="299">
        <f t="shared" si="213"/>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7"/>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2"/>
        <v>0</v>
      </c>
      <c r="O377" s="303"/>
      <c r="P377" s="178"/>
      <c r="Q377" s="180">
        <f>-SUMIFS(BV_Data_An_Prec!$O:$O,BV_Data_An_Prec!$U:$U,$B377,BV_Data_An_Prec!$V:$V,$C377,BV_Data_An_Prec!$W:$W,$L$2)</f>
        <v>0</v>
      </c>
      <c r="R377" s="303"/>
      <c r="S377" s="199">
        <f t="shared" si="213"/>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7"/>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2"/>
        <v>0</v>
      </c>
      <c r="O378" s="303"/>
      <c r="P378" s="178"/>
      <c r="Q378" s="180">
        <f>-SUMIFS(BV_Data_An_Prec!$O:$O,BV_Data_An_Prec!$U:$U,$B378,BV_Data_An_Prec!$V:$V,$C378,BV_Data_An_Prec!$W:$W,$L$2)</f>
        <v>0</v>
      </c>
      <c r="R378" s="303"/>
      <c r="S378" s="199">
        <f t="shared" si="213"/>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7"/>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2"/>
        <v>0</v>
      </c>
      <c r="O379" s="310"/>
      <c r="P379" s="308"/>
      <c r="Q379" s="177">
        <f>-SUMIFS(BV_Data_An_Prec!$O:$O,BV_Data_An_Prec!$U:$U,$B379,BV_Data_An_Prec!$V:$V,$C379,BV_Data_An_Prec!$W:$W,$L$2)</f>
        <v>0</v>
      </c>
      <c r="R379" s="310"/>
      <c r="S379" s="202">
        <f t="shared" si="213"/>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7"/>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2"/>
        <v>0</v>
      </c>
      <c r="O380" s="303"/>
      <c r="P380" s="178"/>
      <c r="Q380" s="180">
        <f>-SUMIFS(BV_Data_An_Prec!$O:$O,BV_Data_An_Prec!$U:$U,$B380,BV_Data_An_Prec!$V:$V,$C380,BV_Data_An_Prec!$W:$W,$L$2)</f>
        <v>0</v>
      </c>
      <c r="R380" s="303"/>
      <c r="S380" s="199">
        <f t="shared" si="213"/>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7"/>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2"/>
        <v>0</v>
      </c>
      <c r="O381" s="303"/>
      <c r="P381" s="178"/>
      <c r="Q381" s="180">
        <f>-SUMIFS(BV_Data_An_Prec!$O:$O,BV_Data_An_Prec!$U:$U,$B381,BV_Data_An_Prec!$V:$V,$C381,BV_Data_An_Prec!$W:$W,$L$2)</f>
        <v>0</v>
      </c>
      <c r="R381" s="303"/>
      <c r="S381" s="199">
        <f t="shared" si="213"/>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7"/>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2"/>
        <v>0</v>
      </c>
      <c r="O382" s="310"/>
      <c r="P382" s="308"/>
      <c r="Q382" s="177">
        <f>-SUMIFS(BV_Data_An_Prec!$O:$O,BV_Data_An_Prec!$U:$U,$B382,BV_Data_An_Prec!$V:$V,$C382,BV_Data_An_Prec!$W:$W,$L$2)</f>
        <v>0</v>
      </c>
      <c r="R382" s="310"/>
      <c r="S382" s="202">
        <f t="shared" si="213"/>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7"/>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2"/>
        <v>0</v>
      </c>
      <c r="O383" s="303"/>
      <c r="P383" s="178"/>
      <c r="Q383" s="180">
        <f>-SUMIFS(BV_Data_An_Prec!$O:$O,BV_Data_An_Prec!$U:$U,$B383,BV_Data_An_Prec!$V:$V,$C383,BV_Data_An_Prec!$W:$W,$L$2)</f>
        <v>0</v>
      </c>
      <c r="R383" s="303"/>
      <c r="S383" s="199">
        <f t="shared" si="213"/>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7"/>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2"/>
        <v>0</v>
      </c>
      <c r="O384" s="303"/>
      <c r="P384" s="178"/>
      <c r="Q384" s="180">
        <f>-SUMIFS(BV_Data_An_Prec!$O:$O,BV_Data_An_Prec!$U:$U,$B384,BV_Data_An_Prec!$V:$V,$C384,BV_Data_An_Prec!$W:$W,$L$2)</f>
        <v>0</v>
      </c>
      <c r="R384" s="303"/>
      <c r="S384" s="199">
        <f t="shared" si="213"/>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7"/>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2"/>
        <v>0</v>
      </c>
      <c r="O385" s="303"/>
      <c r="P385" s="178"/>
      <c r="Q385" s="180">
        <f>-SUMIFS(BV_Data_An_Prec!$O:$O,BV_Data_An_Prec!$U:$U,$B385,BV_Data_An_Prec!$V:$V,$C385,BV_Data_An_Prec!$W:$W,$L$2)</f>
        <v>0</v>
      </c>
      <c r="R385" s="303"/>
      <c r="S385" s="199">
        <f t="shared" si="213"/>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7"/>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2"/>
        <v>0</v>
      </c>
      <c r="O386" s="303"/>
      <c r="P386" s="178"/>
      <c r="Q386" s="180">
        <f>-SUMIFS(BV_Data_An_Prec!$O:$O,BV_Data_An_Prec!$U:$U,$B386,BV_Data_An_Prec!$V:$V,$C386,BV_Data_An_Prec!$W:$W,$L$2)</f>
        <v>0</v>
      </c>
      <c r="R386" s="303"/>
      <c r="S386" s="199">
        <f t="shared" si="213"/>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7"/>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2"/>
        <v>0</v>
      </c>
      <c r="O387" s="303"/>
      <c r="P387" s="178"/>
      <c r="Q387" s="180">
        <f>-SUMIFS(BV_Data_An_Prec!$O:$O,BV_Data_An_Prec!$U:$U,$B387,BV_Data_An_Prec!$V:$V,$C387,BV_Data_An_Prec!$W:$W,$L$2)</f>
        <v>0</v>
      </c>
      <c r="R387" s="303"/>
      <c r="S387" s="199">
        <f t="shared" si="213"/>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7"/>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2"/>
        <v>0</v>
      </c>
      <c r="O388" s="303"/>
      <c r="P388" s="178"/>
      <c r="Q388" s="180">
        <f>-SUMIFS(BV_Data_An_Prec!$O:$O,BV_Data_An_Prec!$U:$U,$B388,BV_Data_An_Prec!$V:$V,$C388,BV_Data_An_Prec!$W:$W,$L$2)</f>
        <v>0</v>
      </c>
      <c r="R388" s="303"/>
      <c r="S388" s="199">
        <f t="shared" si="213"/>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7"/>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2"/>
        <v>0</v>
      </c>
      <c r="O389" s="303"/>
      <c r="P389" s="178"/>
      <c r="Q389" s="180">
        <f>-SUMIFS(BV_Data_An_Prec!$O:$O,BV_Data_An_Prec!$U:$U,$B389,BV_Data_An_Prec!$V:$V,$C389,BV_Data_An_Prec!$W:$W,$L$2)</f>
        <v>0</v>
      </c>
      <c r="R389" s="303"/>
      <c r="S389" s="199">
        <f t="shared" si="213"/>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7"/>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2"/>
        <v>0</v>
      </c>
      <c r="O390" s="303"/>
      <c r="P390" s="178"/>
      <c r="Q390" s="180">
        <f>-SUMIFS(BV_Data_An_Prec!$O:$O,BV_Data_An_Prec!$U:$U,$B390,BV_Data_An_Prec!$V:$V,$C390,BV_Data_An_Prec!$W:$W,$L$2)</f>
        <v>0</v>
      </c>
      <c r="R390" s="303"/>
      <c r="S390" s="199">
        <f t="shared" si="213"/>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7"/>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2"/>
        <v>0</v>
      </c>
      <c r="O391" s="303"/>
      <c r="P391" s="178"/>
      <c r="Q391" s="180">
        <f>-SUMIFS(BV_Data_An_Prec!$O:$O,BV_Data_An_Prec!$U:$U,$B391,BV_Data_An_Prec!$V:$V,$C391,BV_Data_An_Prec!$W:$W,$L$2)</f>
        <v>0</v>
      </c>
      <c r="R391" s="303"/>
      <c r="S391" s="199">
        <f t="shared" si="213"/>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7"/>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2"/>
        <v>0</v>
      </c>
      <c r="O392" s="303"/>
      <c r="P392" s="178"/>
      <c r="Q392" s="180">
        <f>-SUMIFS(BV_Data_An_Prec!$O:$O,BV_Data_An_Prec!$U:$U,$B392,BV_Data_An_Prec!$V:$V,$C392,BV_Data_An_Prec!$W:$W,$L$2)</f>
        <v>0</v>
      </c>
      <c r="R392" s="303"/>
      <c r="S392" s="199">
        <f t="shared" si="213"/>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7"/>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2"/>
        <v>0</v>
      </c>
      <c r="O393" s="310"/>
      <c r="P393" s="308"/>
      <c r="Q393" s="180">
        <f>-SUMIFS(BV_Data_An_Prec!$O:$O,BV_Data_An_Prec!$U:$U,$B393,BV_Data_An_Prec!$V:$V,$C393,BV_Data_An_Prec!$W:$W,$L$2)</f>
        <v>0</v>
      </c>
      <c r="R393" s="310"/>
      <c r="S393" s="202">
        <f t="shared" si="213"/>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25"/>
      <c r="K400" s="25"/>
      <c r="L400" s="37"/>
      <c r="M400" s="25"/>
      <c r="N400" s="25"/>
      <c r="O400" s="25"/>
      <c r="P400" s="25"/>
      <c r="Q400" s="25"/>
      <c r="R400" s="25"/>
      <c r="S400" s="25"/>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23"/>
      <c r="N401" s="23"/>
      <c r="O401" s="23"/>
      <c r="P401" s="23"/>
      <c r="Q401" s="23"/>
      <c r="R401" s="23"/>
      <c r="S401" s="23"/>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Mars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23"/>
      <c r="N402" s="23"/>
      <c r="O402" s="23"/>
      <c r="P402" s="23"/>
      <c r="Q402" s="23"/>
      <c r="R402" s="23"/>
      <c r="S402" s="23"/>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c r="M403" s="23"/>
      <c r="N403" s="23"/>
      <c r="O403" s="23"/>
      <c r="P403" s="23"/>
      <c r="Q403" s="23"/>
      <c r="R403" s="23"/>
      <c r="S403" s="23"/>
      <c r="T403" s="23"/>
      <c r="U403" s="23"/>
      <c r="V403" s="440"/>
      <c r="W403" s="441"/>
      <c r="X403" s="1140" t="s">
        <v>194</v>
      </c>
      <c r="Y403" s="1133"/>
      <c r="Z403" s="1141"/>
      <c r="AA403" s="1132" t="s">
        <v>145</v>
      </c>
      <c r="AB403" s="1133"/>
      <c r="AC403" s="1141"/>
      <c r="AD403" s="1132" t="s">
        <v>79</v>
      </c>
      <c r="AE403" s="1133"/>
      <c r="AF403" s="1141"/>
      <c r="AG403" s="1132" t="s">
        <v>195</v>
      </c>
      <c r="AH403" s="1133"/>
      <c r="AI403" s="1141"/>
      <c r="AJ403" s="1132" t="s">
        <v>196</v>
      </c>
      <c r="AK403" s="1133"/>
      <c r="AL403" s="1133"/>
      <c r="AM403" s="1132" t="s">
        <v>197</v>
      </c>
      <c r="AN403" s="1133"/>
      <c r="AO403" s="113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4">+U404&amp;V404</f>
        <v/>
      </c>
      <c r="B404" s="2"/>
      <c r="C404" s="23"/>
      <c r="D404" s="23"/>
      <c r="E404" s="23"/>
      <c r="F404" s="23"/>
      <c r="G404" s="23"/>
      <c r="H404" s="23"/>
      <c r="I404" s="23"/>
      <c r="J404" s="23"/>
      <c r="K404" s="23"/>
      <c r="L404" s="23"/>
      <c r="M404" s="23"/>
      <c r="N404" s="23"/>
      <c r="O404" s="23"/>
      <c r="P404" s="23"/>
      <c r="Q404" s="23"/>
      <c r="R404" s="23"/>
      <c r="S404" s="23"/>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4"/>
        <v>Ventes nettes</v>
      </c>
      <c r="B405" s="2"/>
      <c r="C405" s="23"/>
      <c r="D405" s="23"/>
      <c r="E405" s="23"/>
      <c r="F405" s="23"/>
      <c r="G405" s="23"/>
      <c r="H405" s="23"/>
      <c r="I405" s="23"/>
      <c r="J405" s="23"/>
      <c r="K405" s="23"/>
      <c r="L405" s="23"/>
      <c r="M405" s="23"/>
      <c r="N405" s="23"/>
      <c r="O405" s="23"/>
      <c r="P405" s="23"/>
      <c r="Q405" s="23"/>
      <c r="R405" s="23"/>
      <c r="S405" s="23"/>
      <c r="T405" s="79"/>
      <c r="U405" s="79"/>
      <c r="V405" s="306" t="s">
        <v>88</v>
      </c>
      <c r="W405" s="445"/>
      <c r="X405" s="445"/>
      <c r="Y405" s="445"/>
      <c r="Z405" s="446">
        <f>F5+F93+E193+E249+D313+D361</f>
        <v>2073370.794246813</v>
      </c>
      <c r="AA405" s="445"/>
      <c r="AB405" s="445"/>
      <c r="AC405" s="446">
        <f>I5+I93+H193+H249+G313+G361</f>
        <v>2073370.794246813</v>
      </c>
      <c r="AD405" s="447"/>
      <c r="AE405" s="448"/>
      <c r="AF405" s="448">
        <f>L5+L93+K193+K249+J313+J361</f>
        <v>5409216.4000000004</v>
      </c>
      <c r="AG405" s="447"/>
      <c r="AH405" s="448"/>
      <c r="AI405" s="449"/>
      <c r="AJ405" s="447"/>
      <c r="AK405" s="448"/>
      <c r="AL405" s="448">
        <f>Q5+Q93+P193+P249+O313+O361</f>
        <v>4283719.74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4"/>
        <v>Profit brut</v>
      </c>
      <c r="B406" s="2"/>
      <c r="C406" s="23"/>
      <c r="D406" s="23"/>
      <c r="E406" s="23"/>
      <c r="F406" s="23"/>
      <c r="G406" s="23"/>
      <c r="H406" s="23"/>
      <c r="I406" s="23"/>
      <c r="J406" s="23"/>
      <c r="K406" s="23"/>
      <c r="L406" s="23"/>
      <c r="M406" s="23"/>
      <c r="N406" s="23"/>
      <c r="O406" s="23"/>
      <c r="P406" s="23"/>
      <c r="Q406" s="23"/>
      <c r="R406" s="23"/>
      <c r="S406" s="23"/>
      <c r="T406" s="79"/>
      <c r="U406" s="79"/>
      <c r="V406" s="452" t="s">
        <v>205</v>
      </c>
      <c r="W406" s="81"/>
      <c r="X406" s="81"/>
      <c r="Y406" s="81"/>
      <c r="Z406" s="82">
        <f>F27+F107+F193+F249+F313+F361</f>
        <v>447448.36001540109</v>
      </c>
      <c r="AA406" s="81"/>
      <c r="AB406" s="81"/>
      <c r="AC406" s="82">
        <f>I27+I107+I193+I249+I313+I361</f>
        <v>473086.52530044882</v>
      </c>
      <c r="AD406" s="83"/>
      <c r="AE406" s="84"/>
      <c r="AF406" s="84">
        <f>L27+L107+L193+L249+L313+L361</f>
        <v>570534.8899999999</v>
      </c>
      <c r="AG406" s="83"/>
      <c r="AH406" s="84">
        <f>AF406-AC406</f>
        <v>97448.364699551079</v>
      </c>
      <c r="AI406" s="85">
        <f>AH406/AC406</f>
        <v>0.2059842322451762</v>
      </c>
      <c r="AJ406" s="83"/>
      <c r="AK406" s="84"/>
      <c r="AL406" s="84">
        <f>Q27+Q107+Q193+Q249+Q313+Q361</f>
        <v>444806.22000000009</v>
      </c>
      <c r="AM406" s="86"/>
      <c r="AN406" s="84">
        <f>AF406-AL406</f>
        <v>125728.66999999981</v>
      </c>
      <c r="AO406" s="453">
        <f>IF(AL406=0,0,AN406/AL406)</f>
        <v>0.28265942414204503</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4"/>
        <v>DÉPENSES</v>
      </c>
      <c r="B407" s="2"/>
      <c r="C407" s="23"/>
      <c r="D407" s="23"/>
      <c r="E407" s="23"/>
      <c r="F407" s="23"/>
      <c r="G407" s="23"/>
      <c r="H407" s="23"/>
      <c r="I407" s="23"/>
      <c r="J407" s="23"/>
      <c r="K407" s="23"/>
      <c r="L407" s="23"/>
      <c r="M407" s="23"/>
      <c r="N407" s="23"/>
      <c r="O407" s="23"/>
      <c r="P407" s="23"/>
      <c r="Q407" s="23"/>
      <c r="R407" s="23"/>
      <c r="S407" s="23"/>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4"/>
        <v>Comm. vendeurs</v>
      </c>
      <c r="B408" s="2"/>
      <c r="C408" s="23"/>
      <c r="D408" s="23"/>
      <c r="E408" s="23"/>
      <c r="F408" s="23"/>
      <c r="G408" s="23"/>
      <c r="H408" s="23"/>
      <c r="I408" s="23"/>
      <c r="J408" s="23"/>
      <c r="K408" s="23"/>
      <c r="L408" s="23"/>
      <c r="M408" s="23"/>
      <c r="N408" s="23"/>
      <c r="O408" s="23"/>
      <c r="P408" s="23"/>
      <c r="Q408" s="23"/>
      <c r="R408" s="23"/>
      <c r="S408" s="23"/>
      <c r="T408" s="79"/>
      <c r="U408" s="79"/>
      <c r="V408" s="305" t="s">
        <v>103</v>
      </c>
      <c r="W408" s="460" t="s">
        <v>207</v>
      </c>
      <c r="X408" s="455"/>
      <c r="Y408" s="461">
        <f t="shared" ref="Y408:Y414" si="215">Z408/(D$13+D$96)</f>
        <v>447.03837620673994</v>
      </c>
      <c r="Z408" s="87">
        <f t="shared" ref="Z408:Z417" si="216">+SUMIF($C:$C,$V408,F:F)</f>
        <v>36641.020471478783</v>
      </c>
      <c r="AA408" s="455"/>
      <c r="AB408" s="461">
        <f t="shared" ref="AB408:AB414" si="217">IF(AC408=0,0,AC408/(G$13+G$96))</f>
        <v>452.80294477850862</v>
      </c>
      <c r="AC408" s="87">
        <f t="shared" ref="AC408:AC417" si="218">+SUMIF($C:$C,$V408,I:I)</f>
        <v>37113.507144412062</v>
      </c>
      <c r="AD408" s="462"/>
      <c r="AE408" s="461">
        <f t="shared" ref="AE408:AE413" si="219">IF(AF408=0,0,AF408/(J$13+J$96))</f>
        <v>554.69441441441438</v>
      </c>
      <c r="AF408" s="87">
        <f t="shared" ref="AF408:AF417" si="220">+SUMIF($C:$C,$V408,L:L)</f>
        <v>61571.08</v>
      </c>
      <c r="AG408" s="456">
        <f t="shared" ref="AG408:AH408" si="221">AE408-AB408</f>
        <v>101.89146963590576</v>
      </c>
      <c r="AH408" s="457">
        <f t="shared" si="221"/>
        <v>24457.57285558794</v>
      </c>
      <c r="AI408" s="458">
        <f>IF(AC408=0,0,AH408/AC408)</f>
        <v>0.65899384718402598</v>
      </c>
      <c r="AJ408" s="462"/>
      <c r="AK408" s="457">
        <f t="shared" ref="AK408:AK414" si="222">AL408/(O$13+O$96)</f>
        <v>371.15702702702703</v>
      </c>
      <c r="AL408" s="87">
        <f t="shared" ref="AL408:AL417" si="223">+SUMIF($C:$C,$V408,Q:Q)</f>
        <v>41198.43</v>
      </c>
      <c r="AM408" s="459">
        <f t="shared" ref="AM408:AM413" si="224">AE408-Y408</f>
        <v>107.65603820767444</v>
      </c>
      <c r="AN408" s="457">
        <f t="shared" ref="AN408:AN413" si="225">AF408-AL408</f>
        <v>20372.650000000001</v>
      </c>
      <c r="AO408" s="214">
        <f>IF(AL408=0,0,AN408/AL408)</f>
        <v>0.49450063995157101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4"/>
        <v>Comm. F&amp;I</v>
      </c>
      <c r="B409" s="2"/>
      <c r="C409" s="23"/>
      <c r="D409" s="23"/>
      <c r="E409" s="23"/>
      <c r="F409" s="23"/>
      <c r="G409" s="23"/>
      <c r="H409" s="23"/>
      <c r="I409" s="23"/>
      <c r="J409" s="23"/>
      <c r="K409" s="23"/>
      <c r="L409" s="23"/>
      <c r="M409" s="23"/>
      <c r="N409" s="23"/>
      <c r="O409" s="23"/>
      <c r="P409" s="23"/>
      <c r="Q409" s="23"/>
      <c r="R409" s="23"/>
      <c r="S409" s="23"/>
      <c r="T409" s="79"/>
      <c r="U409" s="79"/>
      <c r="V409" s="306" t="s">
        <v>104</v>
      </c>
      <c r="W409" s="463" t="s">
        <v>208</v>
      </c>
      <c r="X409" s="445"/>
      <c r="Y409" s="464">
        <f t="shared" si="215"/>
        <v>350.01315813268997</v>
      </c>
      <c r="Z409" s="446">
        <f t="shared" si="216"/>
        <v>28688.45265869475</v>
      </c>
      <c r="AA409" s="445"/>
      <c r="AB409" s="464">
        <f t="shared" si="217"/>
        <v>350.01315813268997</v>
      </c>
      <c r="AC409" s="446">
        <f t="shared" si="218"/>
        <v>28688.45265869475</v>
      </c>
      <c r="AD409" s="465"/>
      <c r="AE409" s="464">
        <f t="shared" si="219"/>
        <v>344.0827027027027</v>
      </c>
      <c r="AF409" s="446">
        <f t="shared" si="220"/>
        <v>38193.18</v>
      </c>
      <c r="AG409" s="447">
        <f t="shared" ref="AG409:AH409" si="226">AE409-AB409</f>
        <v>-5.9304554299872621</v>
      </c>
      <c r="AH409" s="448">
        <f t="shared" si="226"/>
        <v>9504.7273413052499</v>
      </c>
      <c r="AI409" s="466">
        <f t="shared" ref="AI409:AI413" si="227">IF(AC409=0,0,AH409/AC409)</f>
        <v>0.33130846945224163</v>
      </c>
      <c r="AJ409" s="465"/>
      <c r="AK409" s="448">
        <f t="shared" si="222"/>
        <v>253.09513513513511</v>
      </c>
      <c r="AL409" s="446">
        <f t="shared" si="223"/>
        <v>28093.559999999998</v>
      </c>
      <c r="AM409" s="450">
        <f t="shared" si="224"/>
        <v>-5.9304554299872621</v>
      </c>
      <c r="AN409" s="448">
        <f t="shared" si="225"/>
        <v>10099.620000000003</v>
      </c>
      <c r="AO409" s="215">
        <f t="shared" ref="AO409:AO413" si="228">IF(AL409=0,0,AN409/AL409)</f>
        <v>0.3594994724769664</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4"/>
        <v>Frais de livraison</v>
      </c>
      <c r="B410" s="2"/>
      <c r="C410" s="23"/>
      <c r="D410" s="23"/>
      <c r="E410" s="23"/>
      <c r="F410" s="23"/>
      <c r="G410" s="23"/>
      <c r="H410" s="23"/>
      <c r="I410" s="23"/>
      <c r="J410" s="23"/>
      <c r="K410" s="23"/>
      <c r="L410" s="23"/>
      <c r="M410" s="23"/>
      <c r="N410" s="23"/>
      <c r="O410" s="23"/>
      <c r="P410" s="23"/>
      <c r="Q410" s="23"/>
      <c r="R410" s="23"/>
      <c r="S410" s="23"/>
      <c r="T410" s="79"/>
      <c r="U410" s="79"/>
      <c r="V410" s="305" t="s">
        <v>105</v>
      </c>
      <c r="W410" s="460" t="s">
        <v>209</v>
      </c>
      <c r="X410" s="455"/>
      <c r="Y410" s="461">
        <f t="shared" si="215"/>
        <v>169.50915088724997</v>
      </c>
      <c r="Z410" s="87">
        <f t="shared" si="216"/>
        <v>13893.63553184155</v>
      </c>
      <c r="AA410" s="455"/>
      <c r="AB410" s="461">
        <f t="shared" si="217"/>
        <v>169.50915088724997</v>
      </c>
      <c r="AC410" s="87">
        <f t="shared" si="218"/>
        <v>13893.63553184155</v>
      </c>
      <c r="AD410" s="462"/>
      <c r="AE410" s="461">
        <f t="shared" si="219"/>
        <v>115.19729729729731</v>
      </c>
      <c r="AF410" s="87">
        <f t="shared" si="220"/>
        <v>12786.900000000001</v>
      </c>
      <c r="AG410" s="456">
        <f t="shared" ref="AG410:AH410" si="229">AE410-AB410</f>
        <v>-54.311853589952662</v>
      </c>
      <c r="AH410" s="457">
        <f t="shared" si="229"/>
        <v>-1106.7355318415484</v>
      </c>
      <c r="AI410" s="458">
        <f t="shared" si="227"/>
        <v>-7.9657734601222455E-2</v>
      </c>
      <c r="AJ410" s="462"/>
      <c r="AK410" s="457">
        <f t="shared" si="222"/>
        <v>109.02342342342342</v>
      </c>
      <c r="AL410" s="87">
        <f t="shared" si="223"/>
        <v>12101.6</v>
      </c>
      <c r="AM410" s="459">
        <f t="shared" si="224"/>
        <v>-54.311853589952662</v>
      </c>
      <c r="AN410" s="457">
        <f t="shared" si="225"/>
        <v>685.30000000000109</v>
      </c>
      <c r="AO410" s="214">
        <f t="shared" si="228"/>
        <v>5.6628875520592405E-2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4"/>
        <v>Service gratuit 1</v>
      </c>
      <c r="B411" s="2"/>
      <c r="C411" s="23"/>
      <c r="D411" s="23"/>
      <c r="E411" s="23"/>
      <c r="F411" s="23"/>
      <c r="G411" s="23"/>
      <c r="H411" s="23"/>
      <c r="I411" s="23"/>
      <c r="J411" s="23"/>
      <c r="K411" s="23"/>
      <c r="L411" s="23"/>
      <c r="M411" s="23"/>
      <c r="N411" s="23"/>
      <c r="O411" s="23"/>
      <c r="P411" s="23"/>
      <c r="Q411" s="23"/>
      <c r="R411" s="23"/>
      <c r="S411" s="23"/>
      <c r="T411" s="79"/>
      <c r="U411" s="79"/>
      <c r="V411" s="305" t="s">
        <v>106</v>
      </c>
      <c r="W411" s="460" t="s">
        <v>210</v>
      </c>
      <c r="X411" s="455"/>
      <c r="Y411" s="461">
        <f t="shared" si="215"/>
        <v>35.514244041143918</v>
      </c>
      <c r="Z411" s="87">
        <f t="shared" si="216"/>
        <v>2910.8868772797505</v>
      </c>
      <c r="AA411" s="455"/>
      <c r="AB411" s="461">
        <f t="shared" si="217"/>
        <v>35.514244041143918</v>
      </c>
      <c r="AC411" s="87">
        <f t="shared" si="218"/>
        <v>2910.8868772797505</v>
      </c>
      <c r="AD411" s="462"/>
      <c r="AE411" s="461">
        <f t="shared" si="219"/>
        <v>0</v>
      </c>
      <c r="AF411" s="87">
        <f t="shared" si="220"/>
        <v>0</v>
      </c>
      <c r="AG411" s="456">
        <f t="shared" ref="AG411:AH411" si="230">AE411-AB411</f>
        <v>-35.514244041143918</v>
      </c>
      <c r="AH411" s="457">
        <f t="shared" si="230"/>
        <v>-2910.8868772797505</v>
      </c>
      <c r="AI411" s="458">
        <f t="shared" si="227"/>
        <v>-1</v>
      </c>
      <c r="AJ411" s="462"/>
      <c r="AK411" s="457">
        <f t="shared" si="222"/>
        <v>8.6574774774774781</v>
      </c>
      <c r="AL411" s="87">
        <f t="shared" si="223"/>
        <v>960.98</v>
      </c>
      <c r="AM411" s="459">
        <f t="shared" si="224"/>
        <v>-35.514244041143918</v>
      </c>
      <c r="AN411" s="457">
        <f t="shared" si="225"/>
        <v>-960.98</v>
      </c>
      <c r="AO411" s="216">
        <f t="shared" si="228"/>
        <v>-1</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4"/>
        <v>Entretien stock</v>
      </c>
      <c r="B412" s="2"/>
      <c r="C412" s="23"/>
      <c r="D412" s="23"/>
      <c r="E412" s="23"/>
      <c r="F412" s="23"/>
      <c r="G412" s="23"/>
      <c r="H412" s="23"/>
      <c r="I412" s="23"/>
      <c r="J412" s="23"/>
      <c r="K412" s="23"/>
      <c r="L412" s="23"/>
      <c r="M412" s="23"/>
      <c r="N412" s="23"/>
      <c r="O412" s="23"/>
      <c r="P412" s="23"/>
      <c r="Q412" s="23"/>
      <c r="R412" s="23"/>
      <c r="S412" s="23"/>
      <c r="T412" s="79"/>
      <c r="U412" s="79"/>
      <c r="V412" s="306" t="s">
        <v>107</v>
      </c>
      <c r="W412" s="463"/>
      <c r="X412" s="445"/>
      <c r="Y412" s="464">
        <f t="shared" si="215"/>
        <v>44.431896175317277</v>
      </c>
      <c r="Z412" s="446">
        <f t="shared" si="216"/>
        <v>3641.8126585926752</v>
      </c>
      <c r="AA412" s="445"/>
      <c r="AB412" s="464">
        <f t="shared" si="217"/>
        <v>44.431896175317277</v>
      </c>
      <c r="AC412" s="446">
        <f t="shared" si="218"/>
        <v>3641.8126585926752</v>
      </c>
      <c r="AD412" s="465"/>
      <c r="AE412" s="464">
        <f t="shared" si="219"/>
        <v>25.740990990990991</v>
      </c>
      <c r="AF412" s="446">
        <f t="shared" si="220"/>
        <v>2857.25</v>
      </c>
      <c r="AG412" s="447">
        <f t="shared" ref="AG412:AH412" si="231">AE412-AB412</f>
        <v>-18.690905184326287</v>
      </c>
      <c r="AH412" s="448">
        <f t="shared" si="231"/>
        <v>-784.56265859267523</v>
      </c>
      <c r="AI412" s="466">
        <f t="shared" si="227"/>
        <v>-0.21543191046402094</v>
      </c>
      <c r="AJ412" s="465"/>
      <c r="AK412" s="448">
        <f t="shared" si="222"/>
        <v>45.395045045045052</v>
      </c>
      <c r="AL412" s="446">
        <f t="shared" si="223"/>
        <v>5038.8500000000004</v>
      </c>
      <c r="AM412" s="450">
        <f t="shared" si="224"/>
        <v>-18.690905184326287</v>
      </c>
      <c r="AN412" s="448">
        <f t="shared" si="225"/>
        <v>-2181.6000000000004</v>
      </c>
      <c r="AO412" s="215">
        <f t="shared" si="228"/>
        <v>-0.43295593240521157</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4"/>
        <v>Publicité 1</v>
      </c>
      <c r="B413" s="2"/>
      <c r="C413" s="23"/>
      <c r="D413" s="23"/>
      <c r="E413" s="23"/>
      <c r="F413" s="23"/>
      <c r="G413" s="23"/>
      <c r="H413" s="23"/>
      <c r="I413" s="23"/>
      <c r="J413" s="23"/>
      <c r="K413" s="23"/>
      <c r="L413" s="23"/>
      <c r="M413" s="23"/>
      <c r="N413" s="23"/>
      <c r="O413" s="23"/>
      <c r="P413" s="23"/>
      <c r="Q413" s="23"/>
      <c r="R413" s="23"/>
      <c r="S413" s="23"/>
      <c r="T413" s="79"/>
      <c r="U413" s="79"/>
      <c r="V413" s="305" t="s">
        <v>108</v>
      </c>
      <c r="W413" s="460" t="s">
        <v>211</v>
      </c>
      <c r="X413" s="458"/>
      <c r="Y413" s="461">
        <f t="shared" si="215"/>
        <v>148.96386783529545</v>
      </c>
      <c r="Z413" s="87">
        <f t="shared" si="216"/>
        <v>12209.663468219773</v>
      </c>
      <c r="AA413" s="458"/>
      <c r="AB413" s="461">
        <f t="shared" si="217"/>
        <v>148.96386783529545</v>
      </c>
      <c r="AC413" s="87">
        <f t="shared" si="218"/>
        <v>12209.663468219773</v>
      </c>
      <c r="AD413" s="462"/>
      <c r="AE413" s="461">
        <f t="shared" si="219"/>
        <v>98.376396396396387</v>
      </c>
      <c r="AF413" s="87">
        <f t="shared" si="220"/>
        <v>10919.779999999999</v>
      </c>
      <c r="AG413" s="456">
        <f t="shared" ref="AG413:AH414" si="232">AE413-AB413</f>
        <v>-50.587471438899058</v>
      </c>
      <c r="AH413" s="457">
        <f t="shared" si="232"/>
        <v>-1289.8834682197739</v>
      </c>
      <c r="AI413" s="458">
        <f t="shared" si="227"/>
        <v>-0.10564447345966409</v>
      </c>
      <c r="AJ413" s="462"/>
      <c r="AK413" s="457">
        <f t="shared" si="222"/>
        <v>101.26126126126127</v>
      </c>
      <c r="AL413" s="87">
        <f t="shared" si="223"/>
        <v>11240</v>
      </c>
      <c r="AM413" s="459">
        <f t="shared" si="224"/>
        <v>-50.587471438899058</v>
      </c>
      <c r="AN413" s="457">
        <f t="shared" si="225"/>
        <v>-320.22000000000116</v>
      </c>
      <c r="AO413" s="214">
        <f t="shared" si="228"/>
        <v>-2.8489323843416473E-2</v>
      </c>
      <c r="AP413" s="79"/>
      <c r="AQ413" s="79" t="s">
        <v>2929</v>
      </c>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4"/>
        <v>Intérêt de gros</v>
      </c>
      <c r="B414" s="165"/>
      <c r="C414" s="23"/>
      <c r="D414" s="23"/>
      <c r="E414" s="23"/>
      <c r="F414" s="23"/>
      <c r="G414" s="23"/>
      <c r="H414" s="23"/>
      <c r="I414" s="23"/>
      <c r="J414" s="23"/>
      <c r="K414" s="23"/>
      <c r="L414" s="23"/>
      <c r="M414" s="23"/>
      <c r="N414" s="23"/>
      <c r="O414" s="23"/>
      <c r="P414" s="23"/>
      <c r="Q414" s="23"/>
      <c r="R414" s="23"/>
      <c r="S414" s="23"/>
      <c r="T414" s="79"/>
      <c r="U414" s="79"/>
      <c r="V414" s="305" t="s">
        <v>109</v>
      </c>
      <c r="W414" s="460" t="s">
        <v>212</v>
      </c>
      <c r="X414" s="455"/>
      <c r="Y414" s="461">
        <f t="shared" si="215"/>
        <v>193.25422354483004</v>
      </c>
      <c r="Z414" s="87">
        <f t="shared" si="216"/>
        <v>15839.874914522146</v>
      </c>
      <c r="AA414" s="455"/>
      <c r="AB414" s="461">
        <f t="shared" si="217"/>
        <v>194.75319368656079</v>
      </c>
      <c r="AC414" s="87">
        <f t="shared" si="218"/>
        <v>15962.736392579887</v>
      </c>
      <c r="AD414" s="462"/>
      <c r="AE414" s="461">
        <f>IF(AF414=0,0,AF414/(J$13+J$13))</f>
        <v>101.81369565217391</v>
      </c>
      <c r="AF414" s="87">
        <f t="shared" si="220"/>
        <v>14050.289999999999</v>
      </c>
      <c r="AG414" s="456">
        <f t="shared" si="232"/>
        <v>-92.939498034386887</v>
      </c>
      <c r="AH414" s="457">
        <f t="shared" si="232"/>
        <v>-1912.4463925798882</v>
      </c>
      <c r="AI414" s="458">
        <f t="shared" ref="AI414" si="233">IF(AC414=0,0,AH414/AC414)</f>
        <v>-0.11980692692944983</v>
      </c>
      <c r="AJ414" s="462"/>
      <c r="AK414" s="457">
        <f t="shared" si="222"/>
        <v>184.66270270270269</v>
      </c>
      <c r="AL414" s="87">
        <f t="shared" si="223"/>
        <v>20497.559999999998</v>
      </c>
      <c r="AM414" s="459">
        <f t="shared" ref="AM414" si="234">AE414-Y414</f>
        <v>-91.440527892656135</v>
      </c>
      <c r="AN414" s="457">
        <f t="shared" ref="AN414" si="235">AF414-AL414</f>
        <v>-6447.2699999999986</v>
      </c>
      <c r="AO414" s="214">
        <f t="shared" ref="AO414" si="236">IF(AL414=0,0,AN414/AL414)</f>
        <v>-0.31453841335261362</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4"/>
        <v>[...]</v>
      </c>
      <c r="B415" s="165"/>
      <c r="C415" s="23"/>
      <c r="D415" s="23"/>
      <c r="E415" s="23"/>
      <c r="F415" s="23"/>
      <c r="G415" s="23"/>
      <c r="H415" s="23"/>
      <c r="I415" s="23"/>
      <c r="J415" s="23"/>
      <c r="K415" s="23"/>
      <c r="L415" s="23"/>
      <c r="M415" s="23"/>
      <c r="N415" s="23"/>
      <c r="O415" s="23"/>
      <c r="P415" s="23"/>
      <c r="Q415" s="23"/>
      <c r="R415" s="23"/>
      <c r="S415" s="23"/>
      <c r="T415" s="79"/>
      <c r="U415" s="79"/>
      <c r="V415" s="305" t="s">
        <v>42</v>
      </c>
      <c r="W415" s="460"/>
      <c r="X415" s="458"/>
      <c r="Y415" s="461">
        <f t="shared" ref="Y415:Y417" si="237">Z415/(D$13+D$96)</f>
        <v>0</v>
      </c>
      <c r="Z415" s="87">
        <f t="shared" si="216"/>
        <v>0</v>
      </c>
      <c r="AA415" s="455"/>
      <c r="AB415" s="461">
        <f t="shared" ref="AB415:AB417" si="238">IF(AC415=0,0,AC415/(G$13+G$96))</f>
        <v>0</v>
      </c>
      <c r="AC415" s="87">
        <f t="shared" si="218"/>
        <v>0</v>
      </c>
      <c r="AD415" s="462"/>
      <c r="AE415" s="461">
        <f t="shared" ref="AE415:AE417" si="239">IF(AF415=0,0,AF415/(J$13+J$13))</f>
        <v>0</v>
      </c>
      <c r="AF415" s="87">
        <f t="shared" si="220"/>
        <v>0</v>
      </c>
      <c r="AG415" s="456">
        <f t="shared" ref="AG415:AG417" si="240">AE415-AB415</f>
        <v>0</v>
      </c>
      <c r="AH415" s="457">
        <f t="shared" ref="AH415:AH417" si="241">AF415-AC415</f>
        <v>0</v>
      </c>
      <c r="AI415" s="458">
        <f t="shared" ref="AI415:AI417" si="242">IF(AC415=0,0,AH415/AC415)</f>
        <v>0</v>
      </c>
      <c r="AJ415" s="462"/>
      <c r="AK415" s="457">
        <f t="shared" ref="AK415:AK417" si="243">AL415/(O$13+O$96)</f>
        <v>0</v>
      </c>
      <c r="AL415" s="87">
        <f t="shared" si="223"/>
        <v>0</v>
      </c>
      <c r="AM415" s="459">
        <f t="shared" ref="AM415:AM417" si="244">AE415-Y415</f>
        <v>0</v>
      </c>
      <c r="AN415" s="457">
        <f t="shared" ref="AN415:AN417" si="245">AF415-AL415</f>
        <v>0</v>
      </c>
      <c r="AO415" s="214">
        <f t="shared" ref="AO415:AO417" si="246">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4"/>
        <v>[...]</v>
      </c>
      <c r="B416" s="165"/>
      <c r="C416" s="23"/>
      <c r="D416" s="23"/>
      <c r="E416" s="23"/>
      <c r="F416" s="23"/>
      <c r="G416" s="23"/>
      <c r="H416" s="23"/>
      <c r="I416" s="23"/>
      <c r="J416" s="23"/>
      <c r="K416" s="23"/>
      <c r="L416" s="23"/>
      <c r="M416" s="23"/>
      <c r="N416" s="23"/>
      <c r="O416" s="23"/>
      <c r="P416" s="23"/>
      <c r="Q416" s="23"/>
      <c r="R416" s="23"/>
      <c r="S416" s="23"/>
      <c r="T416" s="79"/>
      <c r="U416" s="79"/>
      <c r="V416" s="305" t="s">
        <v>42</v>
      </c>
      <c r="W416" s="460"/>
      <c r="X416" s="458"/>
      <c r="Y416" s="461">
        <f t="shared" si="237"/>
        <v>0</v>
      </c>
      <c r="Z416" s="87">
        <f t="shared" si="216"/>
        <v>0</v>
      </c>
      <c r="AA416" s="455"/>
      <c r="AB416" s="461">
        <f t="shared" si="238"/>
        <v>0</v>
      </c>
      <c r="AC416" s="87">
        <f t="shared" si="218"/>
        <v>0</v>
      </c>
      <c r="AD416" s="462"/>
      <c r="AE416" s="461">
        <f t="shared" si="239"/>
        <v>0</v>
      </c>
      <c r="AF416" s="87">
        <f t="shared" si="220"/>
        <v>0</v>
      </c>
      <c r="AG416" s="456">
        <f t="shared" si="240"/>
        <v>0</v>
      </c>
      <c r="AH416" s="457">
        <f t="shared" si="241"/>
        <v>0</v>
      </c>
      <c r="AI416" s="458">
        <f t="shared" si="242"/>
        <v>0</v>
      </c>
      <c r="AJ416" s="462"/>
      <c r="AK416" s="457">
        <f t="shared" si="243"/>
        <v>0</v>
      </c>
      <c r="AL416" s="87">
        <f t="shared" si="223"/>
        <v>0</v>
      </c>
      <c r="AM416" s="459">
        <f t="shared" si="244"/>
        <v>0</v>
      </c>
      <c r="AN416" s="457">
        <f t="shared" si="245"/>
        <v>0</v>
      </c>
      <c r="AO416" s="214">
        <f t="shared" si="246"/>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4"/>
        <v>[...]</v>
      </c>
      <c r="B417" s="2"/>
      <c r="C417" s="23"/>
      <c r="D417" s="23"/>
      <c r="E417" s="23"/>
      <c r="F417" s="23"/>
      <c r="G417" s="23"/>
      <c r="H417" s="23"/>
      <c r="I417" s="23"/>
      <c r="J417" s="23"/>
      <c r="K417" s="23"/>
      <c r="L417" s="23"/>
      <c r="M417" s="23"/>
      <c r="N417" s="23"/>
      <c r="O417" s="23"/>
      <c r="P417" s="23"/>
      <c r="Q417" s="23"/>
      <c r="R417" s="23"/>
      <c r="S417" s="23"/>
      <c r="T417" s="79"/>
      <c r="U417" s="79"/>
      <c r="V417" s="305" t="s">
        <v>42</v>
      </c>
      <c r="W417" s="460" t="s">
        <v>212</v>
      </c>
      <c r="X417" s="455"/>
      <c r="Y417" s="461">
        <f t="shared" si="237"/>
        <v>0</v>
      </c>
      <c r="Z417" s="87">
        <f t="shared" si="216"/>
        <v>0</v>
      </c>
      <c r="AA417" s="455"/>
      <c r="AB417" s="461">
        <f t="shared" si="238"/>
        <v>0</v>
      </c>
      <c r="AC417" s="87">
        <f t="shared" si="218"/>
        <v>0</v>
      </c>
      <c r="AD417" s="462"/>
      <c r="AE417" s="461">
        <f t="shared" si="239"/>
        <v>0</v>
      </c>
      <c r="AF417" s="87">
        <f t="shared" si="220"/>
        <v>0</v>
      </c>
      <c r="AG417" s="456">
        <f t="shared" si="240"/>
        <v>0</v>
      </c>
      <c r="AH417" s="457">
        <f t="shared" si="241"/>
        <v>0</v>
      </c>
      <c r="AI417" s="458">
        <f t="shared" si="242"/>
        <v>0</v>
      </c>
      <c r="AJ417" s="462"/>
      <c r="AK417" s="457">
        <f t="shared" si="243"/>
        <v>0</v>
      </c>
      <c r="AL417" s="87">
        <f t="shared" si="223"/>
        <v>0</v>
      </c>
      <c r="AM417" s="459">
        <f t="shared" si="244"/>
        <v>0</v>
      </c>
      <c r="AN417" s="457">
        <f t="shared" si="245"/>
        <v>0</v>
      </c>
      <c r="AO417" s="214">
        <f t="shared" si="246"/>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4"/>
        <v>TOTAL VARIABLES</v>
      </c>
      <c r="B418" s="2"/>
      <c r="C418" s="23"/>
      <c r="D418" s="23"/>
      <c r="E418" s="23"/>
      <c r="F418" s="23"/>
      <c r="G418" s="23"/>
      <c r="H418" s="23"/>
      <c r="I418" s="23"/>
      <c r="J418" s="23"/>
      <c r="K418" s="23"/>
      <c r="L418" s="23"/>
      <c r="M418" s="23"/>
      <c r="N418" s="23"/>
      <c r="O418" s="23"/>
      <c r="P418" s="23"/>
      <c r="Q418" s="23"/>
      <c r="R418" s="23"/>
      <c r="S418" s="23"/>
      <c r="T418" s="79"/>
      <c r="U418" s="79"/>
      <c r="V418" s="467" t="s">
        <v>110</v>
      </c>
      <c r="W418" s="88"/>
      <c r="X418" s="89">
        <f>Z418/Z406</f>
        <v>0.25438767185717603</v>
      </c>
      <c r="Y418" s="88"/>
      <c r="Z418" s="90">
        <f>SUM(Z408:Z417)</f>
        <v>113825.34658062943</v>
      </c>
      <c r="AA418" s="89">
        <f>AC418/AC406</f>
        <v>0.24185997404799031</v>
      </c>
      <c r="AB418" s="88"/>
      <c r="AC418" s="90">
        <f>SUM(AC408:AC417)</f>
        <v>114420.69473162046</v>
      </c>
      <c r="AD418" s="91">
        <f>AF418/AF406</f>
        <v>0.24604714358485602</v>
      </c>
      <c r="AE418" s="88"/>
      <c r="AF418" s="90">
        <f>SUM(AF408:AF417)</f>
        <v>140378.48000000001</v>
      </c>
      <c r="AG418" s="92"/>
      <c r="AH418" s="93">
        <f>AF418-AC418</f>
        <v>25957.78526837955</v>
      </c>
      <c r="AI418" s="89">
        <f>AH418/AC418</f>
        <v>0.22686267837531357</v>
      </c>
      <c r="AJ418" s="91">
        <f>IF($AL$406=0,0,AL418/$AL$406)</f>
        <v>0.26782669540907045</v>
      </c>
      <c r="AK418" s="88"/>
      <c r="AL418" s="90">
        <f>SUM(AL408:AL417)</f>
        <v>119130.98</v>
      </c>
      <c r="AM418" s="94"/>
      <c r="AN418" s="93">
        <f t="shared" ref="AN418:AN423" si="247">AF418-AL418</f>
        <v>21247.500000000015</v>
      </c>
      <c r="AO418" s="453">
        <f>IF(AL418=0,0,AN418/AL418)</f>
        <v>0.17835411074432542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4"/>
        <v>Salaires propriétaire</v>
      </c>
      <c r="B419" s="2"/>
      <c r="C419" s="23"/>
      <c r="D419" s="23"/>
      <c r="E419" s="23"/>
      <c r="F419" s="23"/>
      <c r="G419" s="23"/>
      <c r="H419" s="23"/>
      <c r="I419" s="23"/>
      <c r="J419" s="23"/>
      <c r="K419" s="23"/>
      <c r="L419" s="23"/>
      <c r="M419" s="23"/>
      <c r="N419" s="23"/>
      <c r="O419" s="95"/>
      <c r="P419" s="57"/>
      <c r="Q419" s="23"/>
      <c r="R419" s="23"/>
      <c r="S419" s="23"/>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2916.67</v>
      </c>
      <c r="AG419" s="456"/>
      <c r="AH419" s="457">
        <f t="shared" ref="AH419:AH423" si="248">AF419-AC419</f>
        <v>2916.67</v>
      </c>
      <c r="AI419" s="458">
        <f>IF(AC419=0,0,AH419/AC419)</f>
        <v>0</v>
      </c>
      <c r="AJ419" s="462"/>
      <c r="AK419" s="455"/>
      <c r="AL419" s="87">
        <f>SUMIFS(BV_Data_An_Prec!$O:$O,BV_Data_An_Prec!$V:$V,$V419)</f>
        <v>7202.5999999999995</v>
      </c>
      <c r="AM419" s="459"/>
      <c r="AN419" s="457">
        <f t="shared" si="247"/>
        <v>-4285.9299999999994</v>
      </c>
      <c r="AO419" s="214">
        <f t="shared" ref="AO419:AO423" si="249">IF(AL419=0,0,AN419/AL419)</f>
        <v>-0.59505317524227364</v>
      </c>
      <c r="AP419" s="79" t="s">
        <v>2875</v>
      </c>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4"/>
        <v>Salaires cadres</v>
      </c>
      <c r="B420" s="2"/>
      <c r="C420" s="23"/>
      <c r="D420" s="23"/>
      <c r="E420" s="23"/>
      <c r="F420" s="23"/>
      <c r="G420" s="23"/>
      <c r="H420" s="23"/>
      <c r="I420" s="23"/>
      <c r="J420" s="23"/>
      <c r="K420" s="23"/>
      <c r="L420" s="23"/>
      <c r="M420" s="23"/>
      <c r="N420" s="23"/>
      <c r="O420" s="95"/>
      <c r="P420" s="57"/>
      <c r="Q420" s="23"/>
      <c r="R420" s="23"/>
      <c r="S420" s="23"/>
      <c r="T420" s="79"/>
      <c r="U420" s="79"/>
      <c r="V420" s="305" t="s">
        <v>112</v>
      </c>
      <c r="W420" s="460" t="s">
        <v>215</v>
      </c>
      <c r="X420" s="455"/>
      <c r="Y420" s="455"/>
      <c r="Z420" s="87">
        <f t="shared" ref="Z420:Z431" si="250">+SUMIF($C:$C,$V420,F:F)</f>
        <v>55660.690680415813</v>
      </c>
      <c r="AA420" s="455"/>
      <c r="AB420" s="455"/>
      <c r="AC420" s="87">
        <f t="shared" ref="AC420:AC431" si="251">+SUMIF($C:$C,$V420,I:I)</f>
        <v>55660.690680415813</v>
      </c>
      <c r="AD420" s="462"/>
      <c r="AE420" s="461"/>
      <c r="AF420" s="87">
        <f t="shared" ref="AF420:AF431" si="252">+SUMIF($C:$C,$V420,L:L)</f>
        <v>66586.930000000008</v>
      </c>
      <c r="AG420" s="456"/>
      <c r="AH420" s="457">
        <f t="shared" si="248"/>
        <v>10926.239319584194</v>
      </c>
      <c r="AI420" s="458">
        <f t="shared" ref="AI420:AI430" si="253">IF(AC420=0,0,AH420/AC420)</f>
        <v>0.19630082174723329</v>
      </c>
      <c r="AJ420" s="462"/>
      <c r="AK420" s="455"/>
      <c r="AL420" s="87">
        <f t="shared" ref="AL420:AL431" si="254">+SUMIF($C:$C,$V420,Q:Q)</f>
        <v>66409.740000000005</v>
      </c>
      <c r="AM420" s="459"/>
      <c r="AN420" s="457">
        <f t="shared" si="247"/>
        <v>177.19000000000233</v>
      </c>
      <c r="AO420" s="214">
        <f t="shared" si="249"/>
        <v>2.6681327166768356E-3</v>
      </c>
      <c r="AP420" s="79"/>
      <c r="AQ420" s="79" t="s">
        <v>2888</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4"/>
        <v>Salaires commis</v>
      </c>
      <c r="B421" s="2"/>
      <c r="C421" s="79"/>
      <c r="D421" s="79"/>
      <c r="E421" s="79"/>
      <c r="F421" s="79"/>
      <c r="G421" s="79"/>
      <c r="H421" s="79"/>
      <c r="I421" s="79"/>
      <c r="J421" s="79"/>
      <c r="K421" s="79"/>
      <c r="L421" s="79"/>
      <c r="M421" s="79"/>
      <c r="N421" s="79"/>
      <c r="O421" s="96"/>
      <c r="P421" s="57"/>
      <c r="Q421" s="79"/>
      <c r="R421" s="79"/>
      <c r="S421" s="79"/>
      <c r="T421" s="79"/>
      <c r="U421" s="79"/>
      <c r="V421" s="306" t="s">
        <v>113</v>
      </c>
      <c r="W421" s="463" t="s">
        <v>216</v>
      </c>
      <c r="X421" s="445"/>
      <c r="Y421" s="445"/>
      <c r="Z421" s="446">
        <f t="shared" si="250"/>
        <v>27636.906156015328</v>
      </c>
      <c r="AA421" s="445"/>
      <c r="AB421" s="445"/>
      <c r="AC421" s="446">
        <f t="shared" si="251"/>
        <v>27636.906156015328</v>
      </c>
      <c r="AD421" s="465"/>
      <c r="AE421" s="464"/>
      <c r="AF421" s="446">
        <f t="shared" si="252"/>
        <v>23701.83</v>
      </c>
      <c r="AG421" s="447"/>
      <c r="AH421" s="448">
        <f t="shared" si="248"/>
        <v>-3935.076156015326</v>
      </c>
      <c r="AI421" s="466">
        <f t="shared" si="253"/>
        <v>-0.14238482896027183</v>
      </c>
      <c r="AJ421" s="465"/>
      <c r="AK421" s="445"/>
      <c r="AL421" s="446">
        <f t="shared" si="254"/>
        <v>23792.899999999998</v>
      </c>
      <c r="AM421" s="450"/>
      <c r="AN421" s="448">
        <f t="shared" si="247"/>
        <v>-91.069999999996071</v>
      </c>
      <c r="AO421" s="451">
        <f t="shared" si="249"/>
        <v>-3.8276124390047486E-3</v>
      </c>
      <c r="AP421" s="79"/>
      <c r="AQ421" s="79" t="s">
        <v>2878</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4"/>
        <v>Salaires autres</v>
      </c>
      <c r="B422" s="2"/>
      <c r="C422" s="79"/>
      <c r="D422" s="79"/>
      <c r="E422" s="79"/>
      <c r="F422" s="79"/>
      <c r="G422" s="79"/>
      <c r="H422" s="79"/>
      <c r="I422" s="79"/>
      <c r="J422" s="79"/>
      <c r="K422" s="79"/>
      <c r="L422" s="79"/>
      <c r="M422" s="79"/>
      <c r="N422" s="79"/>
      <c r="O422" s="96"/>
      <c r="P422" s="57"/>
      <c r="Q422" s="79"/>
      <c r="R422" s="79"/>
      <c r="S422" s="79"/>
      <c r="T422" s="79"/>
      <c r="U422" s="79"/>
      <c r="V422" s="280" t="s">
        <v>114</v>
      </c>
      <c r="W422" s="460" t="s">
        <v>217</v>
      </c>
      <c r="X422" s="455"/>
      <c r="Y422" s="455"/>
      <c r="Z422" s="87">
        <f t="shared" si="250"/>
        <v>47825.042585011499</v>
      </c>
      <c r="AA422" s="455"/>
      <c r="AB422" s="455"/>
      <c r="AC422" s="87">
        <f t="shared" si="251"/>
        <v>47825.042585011499</v>
      </c>
      <c r="AD422" s="462"/>
      <c r="AE422" s="461"/>
      <c r="AF422" s="87">
        <f t="shared" si="252"/>
        <v>51866.240000000005</v>
      </c>
      <c r="AG422" s="456"/>
      <c r="AH422" s="457">
        <f t="shared" si="248"/>
        <v>4041.1974149885064</v>
      </c>
      <c r="AI422" s="458">
        <f t="shared" si="253"/>
        <v>8.449960933761988E-2</v>
      </c>
      <c r="AJ422" s="462"/>
      <c r="AK422" s="455"/>
      <c r="AL422" s="87">
        <f t="shared" si="254"/>
        <v>44420.84</v>
      </c>
      <c r="AM422" s="459"/>
      <c r="AN422" s="457">
        <f t="shared" si="247"/>
        <v>7445.4000000000087</v>
      </c>
      <c r="AO422" s="214">
        <f t="shared" si="249"/>
        <v>0.16761051794608137</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4"/>
        <v>Salaires spécialistes</v>
      </c>
      <c r="B423" s="2"/>
      <c r="C423" s="79"/>
      <c r="D423" s="79"/>
      <c r="E423" s="79"/>
      <c r="F423" s="79"/>
      <c r="G423" s="79"/>
      <c r="H423" s="79"/>
      <c r="I423" s="79"/>
      <c r="J423" s="79"/>
      <c r="K423" s="79"/>
      <c r="L423" s="79"/>
      <c r="M423" s="79"/>
      <c r="N423" s="79"/>
      <c r="O423" s="96"/>
      <c r="P423" s="57"/>
      <c r="Q423" s="79"/>
      <c r="R423" s="79"/>
      <c r="S423" s="79"/>
      <c r="T423" s="79"/>
      <c r="U423" s="79"/>
      <c r="V423" s="280" t="s">
        <v>115</v>
      </c>
      <c r="W423" s="460" t="s">
        <v>218</v>
      </c>
      <c r="X423" s="455"/>
      <c r="Y423" s="455"/>
      <c r="Z423" s="87">
        <f t="shared" si="250"/>
        <v>35446.628519540238</v>
      </c>
      <c r="AA423" s="455"/>
      <c r="AB423" s="455"/>
      <c r="AC423" s="87">
        <f t="shared" si="251"/>
        <v>35446.628519540238</v>
      </c>
      <c r="AD423" s="462"/>
      <c r="AE423" s="461"/>
      <c r="AF423" s="87">
        <f t="shared" si="252"/>
        <v>28608.93</v>
      </c>
      <c r="AG423" s="456"/>
      <c r="AH423" s="457">
        <f t="shared" si="248"/>
        <v>-6837.6985195402376</v>
      </c>
      <c r="AI423" s="458">
        <f t="shared" si="253"/>
        <v>-0.19290123786443897</v>
      </c>
      <c r="AJ423" s="462"/>
      <c r="AK423" s="455"/>
      <c r="AL423" s="87">
        <f t="shared" si="254"/>
        <v>22979.45</v>
      </c>
      <c r="AM423" s="459"/>
      <c r="AN423" s="457">
        <f t="shared" si="247"/>
        <v>5629.48</v>
      </c>
      <c r="AO423" s="214">
        <f t="shared" si="249"/>
        <v>0.24497888330660653</v>
      </c>
      <c r="AP423" s="79"/>
      <c r="AQ423" s="79" t="s">
        <v>2928</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4"/>
        <v>[...]</v>
      </c>
      <c r="B424" s="165"/>
      <c r="C424" s="79"/>
      <c r="D424" s="79"/>
      <c r="E424" s="79"/>
      <c r="F424" s="79"/>
      <c r="G424" s="79"/>
      <c r="H424" s="79"/>
      <c r="I424" s="79"/>
      <c r="J424" s="79"/>
      <c r="K424" s="79"/>
      <c r="L424" s="79"/>
      <c r="M424" s="79"/>
      <c r="N424" s="79"/>
      <c r="O424" s="96"/>
      <c r="P424" s="57"/>
      <c r="Q424" s="79"/>
      <c r="R424" s="79"/>
      <c r="S424" s="79"/>
      <c r="T424" s="79"/>
      <c r="U424" s="79"/>
      <c r="V424" s="280" t="s">
        <v>42</v>
      </c>
      <c r="W424" s="460"/>
      <c r="X424" s="455"/>
      <c r="Y424" s="455"/>
      <c r="Z424" s="87">
        <f t="shared" si="250"/>
        <v>0</v>
      </c>
      <c r="AA424" s="455"/>
      <c r="AB424" s="455"/>
      <c r="AC424" s="87">
        <f t="shared" si="251"/>
        <v>0</v>
      </c>
      <c r="AD424" s="462"/>
      <c r="AE424" s="461"/>
      <c r="AF424" s="87">
        <f t="shared" si="252"/>
        <v>0</v>
      </c>
      <c r="AG424" s="456"/>
      <c r="AH424" s="457">
        <f t="shared" ref="AH424:AH426" si="255">AF424-AC424</f>
        <v>0</v>
      </c>
      <c r="AI424" s="458">
        <f t="shared" ref="AI424:AI426" si="256">IF(AC424=0,0,AH424/AC424)</f>
        <v>0</v>
      </c>
      <c r="AJ424" s="462"/>
      <c r="AK424" s="455"/>
      <c r="AL424" s="87">
        <f t="shared" si="254"/>
        <v>0</v>
      </c>
      <c r="AM424" s="459"/>
      <c r="AN424" s="457">
        <f t="shared" ref="AN424:AN426" si="257">AF424-AL424</f>
        <v>0</v>
      </c>
      <c r="AO424" s="214">
        <f t="shared" ref="AO424:AO426" si="25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4"/>
        <v>[...]</v>
      </c>
      <c r="B425" s="165"/>
      <c r="C425" s="79"/>
      <c r="D425" s="79"/>
      <c r="E425" s="79"/>
      <c r="F425" s="79"/>
      <c r="G425" s="79"/>
      <c r="H425" s="79"/>
      <c r="I425" s="79"/>
      <c r="J425" s="79"/>
      <c r="K425" s="79"/>
      <c r="L425" s="79"/>
      <c r="M425" s="79"/>
      <c r="N425" s="79"/>
      <c r="O425" s="96"/>
      <c r="P425" s="57"/>
      <c r="Q425" s="79"/>
      <c r="R425" s="79"/>
      <c r="S425" s="79"/>
      <c r="T425" s="79"/>
      <c r="U425" s="79"/>
      <c r="V425" s="280" t="s">
        <v>42</v>
      </c>
      <c r="W425" s="460"/>
      <c r="X425" s="455"/>
      <c r="Y425" s="455"/>
      <c r="Z425" s="87">
        <f t="shared" si="250"/>
        <v>0</v>
      </c>
      <c r="AA425" s="455"/>
      <c r="AB425" s="455"/>
      <c r="AC425" s="87">
        <f t="shared" si="251"/>
        <v>0</v>
      </c>
      <c r="AD425" s="462"/>
      <c r="AE425" s="461"/>
      <c r="AF425" s="87">
        <f t="shared" si="252"/>
        <v>0</v>
      </c>
      <c r="AG425" s="456"/>
      <c r="AH425" s="457">
        <f t="shared" si="255"/>
        <v>0</v>
      </c>
      <c r="AI425" s="458">
        <f t="shared" si="256"/>
        <v>0</v>
      </c>
      <c r="AJ425" s="462"/>
      <c r="AK425" s="455"/>
      <c r="AL425" s="87">
        <f t="shared" si="254"/>
        <v>0</v>
      </c>
      <c r="AM425" s="459"/>
      <c r="AN425" s="457">
        <f t="shared" si="257"/>
        <v>0</v>
      </c>
      <c r="AO425" s="214">
        <f t="shared" si="25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4"/>
        <v>[...]</v>
      </c>
      <c r="B426" s="165"/>
      <c r="C426" s="79"/>
      <c r="D426" s="79"/>
      <c r="E426" s="79"/>
      <c r="F426" s="79"/>
      <c r="G426" s="79"/>
      <c r="H426" s="79"/>
      <c r="I426" s="79"/>
      <c r="J426" s="79"/>
      <c r="K426" s="79"/>
      <c r="L426" s="79"/>
      <c r="M426" s="79"/>
      <c r="N426" s="79"/>
      <c r="O426" s="96"/>
      <c r="P426" s="57"/>
      <c r="Q426" s="79"/>
      <c r="R426" s="79"/>
      <c r="S426" s="79"/>
      <c r="T426" s="79"/>
      <c r="U426" s="79"/>
      <c r="V426" s="280" t="s">
        <v>42</v>
      </c>
      <c r="W426" s="460"/>
      <c r="X426" s="455"/>
      <c r="Y426" s="455"/>
      <c r="Z426" s="87">
        <f t="shared" si="250"/>
        <v>0</v>
      </c>
      <c r="AA426" s="455"/>
      <c r="AB426" s="455"/>
      <c r="AC426" s="87">
        <f t="shared" si="251"/>
        <v>0</v>
      </c>
      <c r="AD426" s="462"/>
      <c r="AE426" s="461"/>
      <c r="AF426" s="87">
        <f t="shared" si="252"/>
        <v>0</v>
      </c>
      <c r="AG426" s="456"/>
      <c r="AH426" s="457">
        <f t="shared" si="255"/>
        <v>0</v>
      </c>
      <c r="AI426" s="458">
        <f t="shared" si="256"/>
        <v>0</v>
      </c>
      <c r="AJ426" s="462"/>
      <c r="AK426" s="455"/>
      <c r="AL426" s="87">
        <f t="shared" si="254"/>
        <v>0</v>
      </c>
      <c r="AM426" s="459"/>
      <c r="AN426" s="457">
        <f t="shared" si="257"/>
        <v>0</v>
      </c>
      <c r="AO426" s="214">
        <f t="shared" si="25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4"/>
        <v>Salaires en absences</v>
      </c>
      <c r="B427" s="2"/>
      <c r="C427" s="79"/>
      <c r="D427" s="79"/>
      <c r="E427" s="79"/>
      <c r="F427" s="79"/>
      <c r="G427" s="79"/>
      <c r="H427" s="79"/>
      <c r="I427" s="79"/>
      <c r="J427" s="79"/>
      <c r="K427" s="79"/>
      <c r="L427" s="79"/>
      <c r="M427" s="79"/>
      <c r="N427" s="79"/>
      <c r="O427" s="96"/>
      <c r="P427" s="57"/>
      <c r="Q427" s="79"/>
      <c r="R427" s="79"/>
      <c r="S427" s="79"/>
      <c r="T427" s="79"/>
      <c r="U427" s="79"/>
      <c r="V427" s="282" t="s">
        <v>116</v>
      </c>
      <c r="W427" s="463" t="s">
        <v>219</v>
      </c>
      <c r="X427" s="445"/>
      <c r="Y427" s="445"/>
      <c r="Z427" s="446">
        <f t="shared" si="250"/>
        <v>37360.994528538766</v>
      </c>
      <c r="AA427" s="445"/>
      <c r="AB427" s="445"/>
      <c r="AC427" s="446">
        <f t="shared" si="251"/>
        <v>37417.692929290759</v>
      </c>
      <c r="AD427" s="465"/>
      <c r="AE427" s="464"/>
      <c r="AF427" s="1034">
        <f t="shared" si="252"/>
        <v>35773.25</v>
      </c>
      <c r="AG427" s="447"/>
      <c r="AH427" s="448">
        <f t="shared" ref="AH427:AH430" si="259">AF427-AC427</f>
        <v>-1644.4429292907589</v>
      </c>
      <c r="AI427" s="466">
        <f t="shared" si="253"/>
        <v>-4.3948271540907344E-2</v>
      </c>
      <c r="AJ427" s="465"/>
      <c r="AK427" s="445"/>
      <c r="AL427" s="446">
        <f t="shared" si="254"/>
        <v>39175.759999999995</v>
      </c>
      <c r="AM427" s="450"/>
      <c r="AN427" s="448">
        <f t="shared" ref="AN427:AN430" si="260">AF427-AL427</f>
        <v>-3402.5099999999948</v>
      </c>
      <c r="AO427" s="215">
        <f t="shared" ref="AO427:AO430" si="261">IF(AL427=0,0,AN427/AL427)</f>
        <v>-8.6852431197250418E-2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4"/>
        <v>Déduction à la source</v>
      </c>
      <c r="B428" s="2"/>
      <c r="C428" s="79"/>
      <c r="D428" s="79"/>
      <c r="E428" s="79"/>
      <c r="F428" s="79"/>
      <c r="G428" s="79"/>
      <c r="H428" s="79"/>
      <c r="I428" s="79"/>
      <c r="J428" s="79"/>
      <c r="K428" s="79"/>
      <c r="L428" s="79"/>
      <c r="M428" s="79"/>
      <c r="N428" s="79"/>
      <c r="O428" s="96"/>
      <c r="P428" s="57"/>
      <c r="Q428" s="79"/>
      <c r="R428" s="79"/>
      <c r="S428" s="79"/>
      <c r="T428" s="79"/>
      <c r="U428" s="79"/>
      <c r="V428" s="280" t="s">
        <v>117</v>
      </c>
      <c r="W428" s="460" t="s">
        <v>220</v>
      </c>
      <c r="X428" s="455"/>
      <c r="Y428" s="455"/>
      <c r="Z428" s="87">
        <f t="shared" si="250"/>
        <v>37360.994528538766</v>
      </c>
      <c r="AA428" s="455"/>
      <c r="AB428" s="455"/>
      <c r="AC428" s="87">
        <f t="shared" si="251"/>
        <v>37417.692929290759</v>
      </c>
      <c r="AD428" s="462"/>
      <c r="AE428" s="461"/>
      <c r="AF428" s="254">
        <f t="shared" si="252"/>
        <v>20259.45</v>
      </c>
      <c r="AG428" s="456"/>
      <c r="AH428" s="457">
        <f t="shared" si="259"/>
        <v>-17158.242929290758</v>
      </c>
      <c r="AI428" s="458">
        <f t="shared" si="253"/>
        <v>-0.4585596167490914</v>
      </c>
      <c r="AJ428" s="462"/>
      <c r="AK428" s="455"/>
      <c r="AL428" s="87">
        <f t="shared" si="254"/>
        <v>31312.319999999996</v>
      </c>
      <c r="AM428" s="459"/>
      <c r="AN428" s="457">
        <f t="shared" si="260"/>
        <v>-11052.869999999995</v>
      </c>
      <c r="AO428" s="214">
        <f t="shared" si="261"/>
        <v>-0.35298789741545811</v>
      </c>
      <c r="AP428" s="79"/>
      <c r="AQ428" s="79" t="s">
        <v>2951</v>
      </c>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4"/>
        <v>Bénéfices marginaux</v>
      </c>
      <c r="B429" s="2"/>
      <c r="C429" s="79"/>
      <c r="D429" s="79"/>
      <c r="E429" s="79"/>
      <c r="F429" s="79"/>
      <c r="G429" s="79"/>
      <c r="H429" s="79"/>
      <c r="I429" s="79"/>
      <c r="J429" s="79"/>
      <c r="K429" s="79"/>
      <c r="L429" s="79"/>
      <c r="M429" s="79"/>
      <c r="N429" s="79"/>
      <c r="O429" s="96"/>
      <c r="P429" s="57"/>
      <c r="Q429" s="79"/>
      <c r="R429" s="79"/>
      <c r="S429" s="79"/>
      <c r="T429" s="79"/>
      <c r="U429" s="79"/>
      <c r="V429" s="280" t="s">
        <v>118</v>
      </c>
      <c r="W429" s="460" t="s">
        <v>221</v>
      </c>
      <c r="X429" s="455"/>
      <c r="Y429" s="455"/>
      <c r="Z429" s="87">
        <f t="shared" si="250"/>
        <v>26775.379412119448</v>
      </c>
      <c r="AA429" s="455"/>
      <c r="AB429" s="455"/>
      <c r="AC429" s="87">
        <f t="shared" si="251"/>
        <v>26816.013265991711</v>
      </c>
      <c r="AD429" s="462"/>
      <c r="AE429" s="461"/>
      <c r="AF429" s="87">
        <f t="shared" si="252"/>
        <v>30700.16</v>
      </c>
      <c r="AG429" s="456"/>
      <c r="AH429" s="457">
        <f t="shared" si="259"/>
        <v>3884.1467340082891</v>
      </c>
      <c r="AI429" s="458">
        <f t="shared" si="253"/>
        <v>0.14484430237563301</v>
      </c>
      <c r="AJ429" s="462"/>
      <c r="AK429" s="455"/>
      <c r="AL429" s="87">
        <f t="shared" si="254"/>
        <v>25042.830000000005</v>
      </c>
      <c r="AM429" s="459"/>
      <c r="AN429" s="457">
        <f t="shared" si="260"/>
        <v>5657.3299999999945</v>
      </c>
      <c r="AO429" s="214">
        <f t="shared" si="261"/>
        <v>0.22590617753664397</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4"/>
        <v>Csst</v>
      </c>
      <c r="B430" s="2"/>
      <c r="C430" s="79"/>
      <c r="D430" s="79"/>
      <c r="E430" s="79"/>
      <c r="F430" s="79"/>
      <c r="G430" s="79"/>
      <c r="H430" s="79"/>
      <c r="I430" s="79"/>
      <c r="J430" s="79"/>
      <c r="K430" s="79"/>
      <c r="L430" s="79"/>
      <c r="M430" s="79"/>
      <c r="N430" s="79"/>
      <c r="O430" s="96"/>
      <c r="P430" s="57"/>
      <c r="Q430" s="79"/>
      <c r="R430" s="79"/>
      <c r="S430" s="79"/>
      <c r="T430" s="79"/>
      <c r="U430" s="79"/>
      <c r="V430" s="280" t="s">
        <v>119</v>
      </c>
      <c r="W430" s="460"/>
      <c r="X430" s="455"/>
      <c r="Y430" s="455"/>
      <c r="Z430" s="87">
        <f t="shared" si="250"/>
        <v>6226.8324214231288</v>
      </c>
      <c r="AA430" s="455"/>
      <c r="AB430" s="455"/>
      <c r="AC430" s="87">
        <f t="shared" si="251"/>
        <v>6236.2821548817947</v>
      </c>
      <c r="AD430" s="462"/>
      <c r="AE430" s="461"/>
      <c r="AF430" s="87">
        <f t="shared" si="252"/>
        <v>19005.469999999998</v>
      </c>
      <c r="AG430" s="456"/>
      <c r="AH430" s="457">
        <f t="shared" si="259"/>
        <v>12769.187845118202</v>
      </c>
      <c r="AI430" s="97">
        <f t="shared" si="253"/>
        <v>2.0475641621061698</v>
      </c>
      <c r="AJ430" s="462"/>
      <c r="AK430" s="455"/>
      <c r="AL430" s="87">
        <f t="shared" si="254"/>
        <v>12532.65</v>
      </c>
      <c r="AM430" s="459"/>
      <c r="AN430" s="457">
        <f t="shared" si="260"/>
        <v>6472.8199999999979</v>
      </c>
      <c r="AO430" s="214">
        <f t="shared" si="261"/>
        <v>0.5164765632168774</v>
      </c>
      <c r="AP430" s="79"/>
      <c r="AQ430" s="79" t="s">
        <v>2927</v>
      </c>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4"/>
        <v>[...]</v>
      </c>
      <c r="B431" s="2"/>
      <c r="C431" s="23"/>
      <c r="D431" s="23"/>
      <c r="E431" s="23"/>
      <c r="F431" s="23"/>
      <c r="G431" s="23"/>
      <c r="H431" s="23"/>
      <c r="I431" s="23"/>
      <c r="J431" s="23"/>
      <c r="K431" s="23"/>
      <c r="L431" s="23"/>
      <c r="M431" s="23"/>
      <c r="N431" s="23"/>
      <c r="O431" s="23"/>
      <c r="P431" s="23"/>
      <c r="Q431" s="23"/>
      <c r="R431" s="23"/>
      <c r="S431" s="23"/>
      <c r="T431" s="79"/>
      <c r="U431" s="79"/>
      <c r="V431" s="291" t="s">
        <v>42</v>
      </c>
      <c r="W431" s="460"/>
      <c r="X431" s="455"/>
      <c r="Y431" s="461"/>
      <c r="Z431" s="87">
        <f t="shared" si="250"/>
        <v>0</v>
      </c>
      <c r="AA431" s="455"/>
      <c r="AB431" s="461"/>
      <c r="AC431" s="87">
        <f t="shared" si="251"/>
        <v>0</v>
      </c>
      <c r="AD431" s="462"/>
      <c r="AE431" s="461"/>
      <c r="AF431" s="87">
        <f t="shared" si="252"/>
        <v>0</v>
      </c>
      <c r="AG431" s="456"/>
      <c r="AH431" s="457"/>
      <c r="AI431" s="458"/>
      <c r="AJ431" s="462"/>
      <c r="AK431" s="457"/>
      <c r="AL431" s="87">
        <f t="shared" si="254"/>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4"/>
        <v>TOTAL PERSONNEL</v>
      </c>
      <c r="B432" s="2"/>
      <c r="C432" s="79"/>
      <c r="D432" s="79"/>
      <c r="E432" s="79"/>
      <c r="F432" s="79"/>
      <c r="G432" s="79"/>
      <c r="H432" s="79"/>
      <c r="I432" s="79"/>
      <c r="J432" s="79"/>
      <c r="K432" s="79"/>
      <c r="L432" s="79"/>
      <c r="M432" s="79"/>
      <c r="R432" s="79"/>
      <c r="S432" s="79"/>
      <c r="T432" s="79"/>
      <c r="U432" s="79"/>
      <c r="V432" s="467" t="s">
        <v>120</v>
      </c>
      <c r="W432" s="88"/>
      <c r="X432" s="89">
        <f>Z432/Z406</f>
        <v>0.61301703915545003</v>
      </c>
      <c r="Y432" s="88"/>
      <c r="Z432" s="90">
        <f>SUM(Z419:Z431)</f>
        <v>274293.46883160301</v>
      </c>
      <c r="AA432" s="89">
        <f>AC432/AC406</f>
        <v>0.58014112544451613</v>
      </c>
      <c r="AB432" s="88"/>
      <c r="AC432" s="90">
        <f>SUM(AC419:AC431)</f>
        <v>274456.94922043791</v>
      </c>
      <c r="AD432" s="91">
        <f>AF432/AF406</f>
        <v>0.48974906688002912</v>
      </c>
      <c r="AE432" s="98"/>
      <c r="AF432" s="90">
        <f>SUM(AF419:AF431)</f>
        <v>279418.93</v>
      </c>
      <c r="AG432" s="99"/>
      <c r="AH432" s="93">
        <f t="shared" ref="AH432:AH446" si="262">AF432-AC432</f>
        <v>4961.9807795620873</v>
      </c>
      <c r="AI432" s="89">
        <f>AH432/AC432</f>
        <v>1.8079268146264833E-2</v>
      </c>
      <c r="AJ432" s="91">
        <f>IF($AL$406=0,0,AL432/$AL$406)</f>
        <v>0.61345610230000835</v>
      </c>
      <c r="AK432" s="88"/>
      <c r="AL432" s="90">
        <f>SUM(AL419:AL431)</f>
        <v>272869.09000000008</v>
      </c>
      <c r="AM432" s="100"/>
      <c r="AN432" s="93">
        <f t="shared" ref="AN432:AN446" si="263">AF432-AL432</f>
        <v>6549.8399999999092</v>
      </c>
      <c r="AO432" s="453">
        <f>IF(AL432=0,0,AN432/AL432)</f>
        <v>2.4003598208943003E-2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4"/>
        <v>Publicité 2</v>
      </c>
      <c r="B433" s="2"/>
      <c r="C433" s="79"/>
      <c r="D433" s="79"/>
      <c r="E433" s="79"/>
      <c r="F433" s="79"/>
      <c r="G433" s="79"/>
      <c r="H433" s="79"/>
      <c r="I433" s="79"/>
      <c r="J433" s="79"/>
      <c r="K433" s="79"/>
      <c r="L433" s="79"/>
      <c r="M433" s="79"/>
      <c r="N433" s="79"/>
      <c r="O433" s="79"/>
      <c r="P433" s="79"/>
      <c r="Q433" s="101"/>
      <c r="S433" s="79"/>
      <c r="T433" s="79"/>
      <c r="U433" s="79"/>
      <c r="V433" s="300" t="s">
        <v>121</v>
      </c>
      <c r="W433" s="468" t="s">
        <v>211</v>
      </c>
      <c r="X433" s="469"/>
      <c r="Y433" s="469"/>
      <c r="Z433" s="470">
        <f t="shared" ref="Z433:Z450" si="264">+SUMIF($C:$C,$V433,F:F)</f>
        <v>10881.833333333332</v>
      </c>
      <c r="AA433" s="469"/>
      <c r="AB433" s="469"/>
      <c r="AC433" s="470">
        <f t="shared" ref="AC433:AC450" si="265">+SUMIF($C:$C,$V433,I:I)</f>
        <v>10881.833333333332</v>
      </c>
      <c r="AD433" s="471"/>
      <c r="AE433" s="472"/>
      <c r="AF433" s="248">
        <f t="shared" ref="AF433:AF450" si="266">+SUMIF($C:$C,$V433,L:L)</f>
        <v>15548.16</v>
      </c>
      <c r="AG433" s="471"/>
      <c r="AH433" s="1096">
        <f t="shared" si="262"/>
        <v>4666.3266666666677</v>
      </c>
      <c r="AI433" s="474">
        <f>IF(AC433=0,0,AH433/AC433)</f>
        <v>0.42881806068217687</v>
      </c>
      <c r="AJ433" s="471"/>
      <c r="AK433" s="469"/>
      <c r="AL433" s="470">
        <f t="shared" ref="AL433:AL450" si="267">+SUMIF($C:$C,$V433,Q:Q)</f>
        <v>21376.309999999998</v>
      </c>
      <c r="AM433" s="475"/>
      <c r="AN433" s="473">
        <f t="shared" si="263"/>
        <v>-5828.1499999999978</v>
      </c>
      <c r="AO433" s="213">
        <f t="shared" ref="AO433:AO446" si="268">IF(AL433=0,0,AN433/AL433)</f>
        <v>-0.27264527881566081</v>
      </c>
      <c r="AP433" s="79"/>
      <c r="AQ433" s="79" t="s">
        <v>2952</v>
      </c>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4"/>
        <v>Service gratuit 2</v>
      </c>
      <c r="B434" s="2"/>
      <c r="C434" s="79"/>
      <c r="D434" s="79"/>
      <c r="E434" s="79"/>
      <c r="F434" s="79"/>
      <c r="G434" s="79"/>
      <c r="H434" s="79"/>
      <c r="I434" s="79"/>
      <c r="J434" s="79"/>
      <c r="K434" s="79"/>
      <c r="L434" s="79"/>
      <c r="M434" s="79"/>
      <c r="N434" s="79"/>
      <c r="O434" s="79"/>
      <c r="Q434" s="101"/>
      <c r="S434" s="79"/>
      <c r="T434" s="79"/>
      <c r="U434" s="79"/>
      <c r="V434" s="305" t="s">
        <v>122</v>
      </c>
      <c r="W434" s="460" t="s">
        <v>222</v>
      </c>
      <c r="X434" s="455"/>
      <c r="Y434" s="455"/>
      <c r="Z434" s="87">
        <f t="shared" si="264"/>
        <v>5093.9266179776569</v>
      </c>
      <c r="AA434" s="455"/>
      <c r="AB434" s="455"/>
      <c r="AC434" s="87">
        <f t="shared" si="265"/>
        <v>5093.9266179776569</v>
      </c>
      <c r="AD434" s="462"/>
      <c r="AE434" s="461"/>
      <c r="AF434" s="87">
        <f t="shared" si="266"/>
        <v>5766.95</v>
      </c>
      <c r="AG434" s="456"/>
      <c r="AH434" s="457">
        <f t="shared" si="262"/>
        <v>673.02338202234296</v>
      </c>
      <c r="AI434" s="458">
        <f t="shared" ref="AI434:AI446" si="269">IF(AC434=0,0,AH434/AC434)</f>
        <v>0.13212270856966926</v>
      </c>
      <c r="AJ434" s="462"/>
      <c r="AK434" s="455"/>
      <c r="AL434" s="87">
        <f t="shared" si="267"/>
        <v>4673.21</v>
      </c>
      <c r="AM434" s="459"/>
      <c r="AN434" s="457">
        <f t="shared" si="263"/>
        <v>1093.7399999999998</v>
      </c>
      <c r="AO434" s="214">
        <f t="shared" si="268"/>
        <v>0.23404469304824729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4"/>
        <v>Frais véhicules de cie</v>
      </c>
      <c r="B435" s="2"/>
      <c r="C435" s="79"/>
      <c r="D435" s="79"/>
      <c r="E435" s="79"/>
      <c r="F435" s="79"/>
      <c r="G435" s="79"/>
      <c r="H435" s="79"/>
      <c r="I435" s="79"/>
      <c r="J435" s="79"/>
      <c r="K435" s="79"/>
      <c r="L435" s="79"/>
      <c r="M435" s="79"/>
      <c r="N435" s="79"/>
      <c r="O435" s="79"/>
      <c r="P435" s="79"/>
      <c r="Q435" s="101"/>
      <c r="S435" s="79"/>
      <c r="T435" s="79"/>
      <c r="U435" s="79"/>
      <c r="V435" s="306" t="s">
        <v>123</v>
      </c>
      <c r="W435" s="463" t="s">
        <v>223</v>
      </c>
      <c r="X435" s="445"/>
      <c r="Y435" s="445"/>
      <c r="Z435" s="446">
        <f t="shared" si="264"/>
        <v>26652.437500000004</v>
      </c>
      <c r="AA435" s="445"/>
      <c r="AB435" s="445"/>
      <c r="AC435" s="446">
        <f t="shared" si="265"/>
        <v>26652.437500000004</v>
      </c>
      <c r="AD435" s="465"/>
      <c r="AE435" s="464"/>
      <c r="AF435" s="446">
        <f t="shared" si="266"/>
        <v>23981.399999999998</v>
      </c>
      <c r="AG435" s="447"/>
      <c r="AH435" s="448">
        <f t="shared" si="262"/>
        <v>-2671.0375000000058</v>
      </c>
      <c r="AI435" s="466">
        <f t="shared" si="269"/>
        <v>-0.10021738161847318</v>
      </c>
      <c r="AJ435" s="465"/>
      <c r="AK435" s="445"/>
      <c r="AL435" s="446">
        <f t="shared" si="267"/>
        <v>20406.879999999997</v>
      </c>
      <c r="AM435" s="450"/>
      <c r="AN435" s="448">
        <f t="shared" si="263"/>
        <v>3574.5200000000004</v>
      </c>
      <c r="AO435" s="451">
        <f t="shared" si="268"/>
        <v>0.17516249421763644</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4"/>
        <v>Informatique</v>
      </c>
      <c r="B436" s="2"/>
      <c r="C436" s="79"/>
      <c r="D436" s="79"/>
      <c r="E436" s="79"/>
      <c r="F436" s="79"/>
      <c r="G436" s="79"/>
      <c r="H436" s="79"/>
      <c r="I436" s="79"/>
      <c r="J436" s="79"/>
      <c r="K436" s="79"/>
      <c r="L436" s="79"/>
      <c r="M436" s="79"/>
      <c r="N436" s="79"/>
      <c r="O436" s="79"/>
      <c r="P436" s="79"/>
      <c r="Q436" s="101"/>
      <c r="S436" s="79"/>
      <c r="T436" s="79"/>
      <c r="U436" s="79"/>
      <c r="V436" s="305" t="s">
        <v>124</v>
      </c>
      <c r="W436" s="460" t="s">
        <v>224</v>
      </c>
      <c r="X436" s="455"/>
      <c r="Y436" s="455"/>
      <c r="Z436" s="87">
        <f t="shared" si="264"/>
        <v>19483.113333333335</v>
      </c>
      <c r="AA436" s="455"/>
      <c r="AB436" s="455"/>
      <c r="AC436" s="87">
        <f t="shared" si="265"/>
        <v>19483.113333333335</v>
      </c>
      <c r="AD436" s="462"/>
      <c r="AE436" s="461"/>
      <c r="AF436" s="87">
        <f t="shared" si="266"/>
        <v>16655.149999999998</v>
      </c>
      <c r="AG436" s="456"/>
      <c r="AH436" s="457">
        <f t="shared" si="262"/>
        <v>-2827.9633333333368</v>
      </c>
      <c r="AI436" s="458">
        <f t="shared" si="269"/>
        <v>-0.14514945763288362</v>
      </c>
      <c r="AJ436" s="462"/>
      <c r="AK436" s="455"/>
      <c r="AL436" s="87">
        <f t="shared" si="267"/>
        <v>19492.98</v>
      </c>
      <c r="AM436" s="459"/>
      <c r="AN436" s="457">
        <f t="shared" si="263"/>
        <v>-2837.8300000000017</v>
      </c>
      <c r="AO436" s="214">
        <f t="shared" si="268"/>
        <v>-0.14558215316488304</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4"/>
        <v>Frais de déplacement</v>
      </c>
      <c r="B437" s="2"/>
      <c r="C437" s="79"/>
      <c r="D437" s="79"/>
      <c r="E437" s="79"/>
      <c r="F437" s="79"/>
      <c r="G437" s="79"/>
      <c r="H437" s="79"/>
      <c r="I437" s="79"/>
      <c r="J437" s="79"/>
      <c r="K437" s="79"/>
      <c r="L437" s="79"/>
      <c r="M437" s="79"/>
      <c r="N437" s="79"/>
      <c r="O437" s="79"/>
      <c r="P437" s="79"/>
      <c r="Q437" s="101"/>
      <c r="S437" s="79"/>
      <c r="T437" s="79"/>
      <c r="U437" s="79"/>
      <c r="V437" s="305" t="s">
        <v>125</v>
      </c>
      <c r="W437" s="460" t="s">
        <v>225</v>
      </c>
      <c r="X437" s="455"/>
      <c r="Y437" s="455"/>
      <c r="Z437" s="87">
        <f t="shared" si="264"/>
        <v>4989.0524999999998</v>
      </c>
      <c r="AA437" s="455"/>
      <c r="AB437" s="455"/>
      <c r="AC437" s="87">
        <f t="shared" si="265"/>
        <v>4989.0524999999998</v>
      </c>
      <c r="AD437" s="462"/>
      <c r="AE437" s="461"/>
      <c r="AF437" s="87">
        <f t="shared" si="266"/>
        <v>1835.6</v>
      </c>
      <c r="AG437" s="456"/>
      <c r="AH437" s="457">
        <f t="shared" si="262"/>
        <v>-3153.4524999999999</v>
      </c>
      <c r="AI437" s="458">
        <f t="shared" si="269"/>
        <v>-0.63207442695782412</v>
      </c>
      <c r="AJ437" s="462"/>
      <c r="AK437" s="455"/>
      <c r="AL437" s="87">
        <f t="shared" si="267"/>
        <v>6077.0000000000009</v>
      </c>
      <c r="AM437" s="459"/>
      <c r="AN437" s="457">
        <f t="shared" si="263"/>
        <v>-4241.4000000000015</v>
      </c>
      <c r="AO437" s="214">
        <f t="shared" si="268"/>
        <v>-0.69794306401184814</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4"/>
        <v>Services extérieurs</v>
      </c>
      <c r="B438" s="2"/>
      <c r="C438" s="79"/>
      <c r="D438" s="79"/>
      <c r="E438" s="79"/>
      <c r="F438" s="79"/>
      <c r="G438" s="79"/>
      <c r="H438" s="79"/>
      <c r="I438" s="79"/>
      <c r="J438" s="79"/>
      <c r="K438" s="79"/>
      <c r="L438" s="79"/>
      <c r="M438" s="79"/>
      <c r="N438" s="79"/>
      <c r="O438" s="79"/>
      <c r="P438" s="79"/>
      <c r="Q438" s="101"/>
      <c r="S438" s="79"/>
      <c r="T438" s="79"/>
      <c r="U438" s="79"/>
      <c r="V438" s="305" t="s">
        <v>126</v>
      </c>
      <c r="W438" s="460" t="s">
        <v>226</v>
      </c>
      <c r="X438" s="455"/>
      <c r="Y438" s="455"/>
      <c r="Z438" s="87">
        <f t="shared" si="264"/>
        <v>24453.016333333333</v>
      </c>
      <c r="AA438" s="455"/>
      <c r="AB438" s="455"/>
      <c r="AC438" s="87">
        <f t="shared" si="265"/>
        <v>24453.016333333333</v>
      </c>
      <c r="AD438" s="462"/>
      <c r="AE438" s="461"/>
      <c r="AF438" s="87">
        <f t="shared" si="266"/>
        <v>14518.76</v>
      </c>
      <c r="AG438" s="456"/>
      <c r="AH438" s="457">
        <f t="shared" si="262"/>
        <v>-9934.2563333333328</v>
      </c>
      <c r="AI438" s="458">
        <f t="shared" si="269"/>
        <v>-0.40625893337303215</v>
      </c>
      <c r="AJ438" s="462"/>
      <c r="AK438" s="455"/>
      <c r="AL438" s="87">
        <f t="shared" si="267"/>
        <v>32634.19</v>
      </c>
      <c r="AM438" s="459"/>
      <c r="AN438" s="457">
        <f t="shared" si="263"/>
        <v>-18115.43</v>
      </c>
      <c r="AO438" s="214">
        <f t="shared" si="268"/>
        <v>-0.55510585677168645</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79"/>
      <c r="M439" s="79"/>
      <c r="N439" s="79"/>
      <c r="O439" s="79"/>
      <c r="P439" s="79"/>
      <c r="Q439" s="101"/>
      <c r="S439" s="79"/>
      <c r="T439" s="79"/>
      <c r="U439" s="79"/>
      <c r="V439" s="689" t="s">
        <v>1996</v>
      </c>
      <c r="W439" s="690"/>
      <c r="X439" s="691"/>
      <c r="Y439" s="691"/>
      <c r="Z439" s="692">
        <f t="shared" si="264"/>
        <v>0</v>
      </c>
      <c r="AA439" s="691"/>
      <c r="AB439" s="691"/>
      <c r="AC439" s="692">
        <f t="shared" si="265"/>
        <v>0</v>
      </c>
      <c r="AD439" s="693"/>
      <c r="AE439" s="694"/>
      <c r="AF439" s="692">
        <f t="shared" si="266"/>
        <v>0</v>
      </c>
      <c r="AG439" s="695"/>
      <c r="AH439" s="696">
        <f t="shared" ref="AH439" si="270">AF439-AC439</f>
        <v>0</v>
      </c>
      <c r="AI439" s="697">
        <f t="shared" ref="AI439" si="271">IF(AC439=0,0,AH439/AC439)</f>
        <v>0</v>
      </c>
      <c r="AJ439" s="693"/>
      <c r="AK439" s="691"/>
      <c r="AL439" s="692">
        <f t="shared" si="267"/>
        <v>0</v>
      </c>
      <c r="AM439" s="698"/>
      <c r="AN439" s="696">
        <f t="shared" ref="AN439" si="272">AF439-AL439</f>
        <v>0</v>
      </c>
      <c r="AO439" s="699">
        <f t="shared" ref="AO439" si="273">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4"/>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64"/>
        <v>1055.9918945244963</v>
      </c>
      <c r="AA440" s="455"/>
      <c r="AB440" s="461"/>
      <c r="AC440" s="87">
        <f t="shared" si="265"/>
        <v>1055.9918945244963</v>
      </c>
      <c r="AD440" s="462"/>
      <c r="AE440" s="461"/>
      <c r="AF440" s="87">
        <f t="shared" si="266"/>
        <v>726.3</v>
      </c>
      <c r="AG440" s="456"/>
      <c r="AH440" s="457">
        <f t="shared" si="262"/>
        <v>-329.69189452449632</v>
      </c>
      <c r="AI440" s="458">
        <f t="shared" si="269"/>
        <v>-0.31221062986752718</v>
      </c>
      <c r="AJ440" s="462"/>
      <c r="AK440" s="455"/>
      <c r="AL440" s="87">
        <f t="shared" si="267"/>
        <v>867</v>
      </c>
      <c r="AM440" s="459"/>
      <c r="AN440" s="457">
        <f t="shared" si="263"/>
        <v>-140.70000000000005</v>
      </c>
      <c r="AO440" s="214">
        <f t="shared" si="268"/>
        <v>-0.1622837370242215</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4"/>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64"/>
        <v>1515</v>
      </c>
      <c r="AA441" s="455"/>
      <c r="AB441" s="455"/>
      <c r="AC441" s="87">
        <f t="shared" si="265"/>
        <v>1515</v>
      </c>
      <c r="AD441" s="462"/>
      <c r="AE441" s="461"/>
      <c r="AF441" s="87">
        <f t="shared" si="266"/>
        <v>844.55</v>
      </c>
      <c r="AG441" s="456"/>
      <c r="AH441" s="457">
        <f t="shared" si="262"/>
        <v>-670.45</v>
      </c>
      <c r="AI441" s="97">
        <f t="shared" si="269"/>
        <v>-0.44254125412541256</v>
      </c>
      <c r="AJ441" s="462"/>
      <c r="AK441" s="455"/>
      <c r="AL441" s="87">
        <f t="shared" si="267"/>
        <v>1515</v>
      </c>
      <c r="AM441" s="459"/>
      <c r="AN441" s="457">
        <f t="shared" si="263"/>
        <v>-670.45</v>
      </c>
      <c r="AO441" s="214">
        <f t="shared" si="268"/>
        <v>-0.44254125412541256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4"/>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64"/>
        <v>2180</v>
      </c>
      <c r="AA442" s="455"/>
      <c r="AB442" s="455"/>
      <c r="AC442" s="87">
        <f t="shared" si="265"/>
        <v>2180</v>
      </c>
      <c r="AD442" s="462"/>
      <c r="AE442" s="461"/>
      <c r="AF442" s="87">
        <f t="shared" si="266"/>
        <v>1320.73</v>
      </c>
      <c r="AG442" s="456"/>
      <c r="AH442" s="457">
        <f t="shared" si="262"/>
        <v>-859.27</v>
      </c>
      <c r="AI442" s="458">
        <f t="shared" si="269"/>
        <v>-0.39416055045871556</v>
      </c>
      <c r="AJ442" s="462"/>
      <c r="AK442" s="455"/>
      <c r="AL442" s="87">
        <f t="shared" si="267"/>
        <v>1850</v>
      </c>
      <c r="AM442" s="459"/>
      <c r="AN442" s="457">
        <f t="shared" si="263"/>
        <v>-529.27</v>
      </c>
      <c r="AO442" s="214">
        <f t="shared" si="268"/>
        <v>-0.28609189189189188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4"/>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64"/>
        <v>1949.1</v>
      </c>
      <c r="AA443" s="455"/>
      <c r="AB443" s="455"/>
      <c r="AC443" s="87">
        <f t="shared" si="265"/>
        <v>1949.1</v>
      </c>
      <c r="AD443" s="462"/>
      <c r="AE443" s="461"/>
      <c r="AF443" s="87">
        <f t="shared" si="266"/>
        <v>850.31999999999994</v>
      </c>
      <c r="AG443" s="456"/>
      <c r="AH443" s="457">
        <f t="shared" si="262"/>
        <v>-1098.78</v>
      </c>
      <c r="AI443" s="97">
        <f t="shared" si="269"/>
        <v>-0.5637371094351239</v>
      </c>
      <c r="AJ443" s="462"/>
      <c r="AK443" s="455"/>
      <c r="AL443" s="87">
        <f t="shared" si="267"/>
        <v>1960.29</v>
      </c>
      <c r="AM443" s="459"/>
      <c r="AN443" s="457">
        <f t="shared" si="263"/>
        <v>-1109.97</v>
      </c>
      <c r="AO443" s="214">
        <f t="shared" si="268"/>
        <v>-0.56622744593912133</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4"/>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64"/>
        <v>865</v>
      </c>
      <c r="AA444" s="455"/>
      <c r="AB444" s="455"/>
      <c r="AC444" s="87">
        <f t="shared" si="265"/>
        <v>865</v>
      </c>
      <c r="AD444" s="462"/>
      <c r="AE444" s="461"/>
      <c r="AF444" s="87">
        <f t="shared" si="266"/>
        <v>393.99</v>
      </c>
      <c r="AG444" s="456"/>
      <c r="AH444" s="457">
        <f t="shared" si="262"/>
        <v>-471.01</v>
      </c>
      <c r="AI444" s="458">
        <f t="shared" si="269"/>
        <v>-0.54452023121387283</v>
      </c>
      <c r="AJ444" s="462"/>
      <c r="AK444" s="455"/>
      <c r="AL444" s="87">
        <f t="shared" si="267"/>
        <v>307</v>
      </c>
      <c r="AM444" s="459"/>
      <c r="AN444" s="457">
        <f t="shared" si="263"/>
        <v>86.990000000000009</v>
      </c>
      <c r="AO444" s="214">
        <f t="shared" si="268"/>
        <v>0.2833550488599349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4"/>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64"/>
        <v>3891</v>
      </c>
      <c r="AA445" s="455"/>
      <c r="AB445" s="461"/>
      <c r="AC445" s="87">
        <f t="shared" si="265"/>
        <v>3891</v>
      </c>
      <c r="AD445" s="462"/>
      <c r="AE445" s="461"/>
      <c r="AF445" s="254">
        <f t="shared" si="266"/>
        <v>7490.0599999999995</v>
      </c>
      <c r="AG445" s="456"/>
      <c r="AH445" s="457">
        <f t="shared" si="262"/>
        <v>3599.0599999999995</v>
      </c>
      <c r="AI445" s="97">
        <f t="shared" si="269"/>
        <v>0.92497044461577982</v>
      </c>
      <c r="AJ445" s="462"/>
      <c r="AK445" s="455"/>
      <c r="AL445" s="87">
        <f t="shared" si="267"/>
        <v>4793.9799999999996</v>
      </c>
      <c r="AM445" s="459"/>
      <c r="AN445" s="457">
        <f t="shared" si="263"/>
        <v>2696.08</v>
      </c>
      <c r="AO445" s="214">
        <f t="shared" si="268"/>
        <v>0.56238866244748631</v>
      </c>
      <c r="AP445" s="79"/>
      <c r="AQ445" s="79" t="s">
        <v>2941</v>
      </c>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4"/>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64"/>
        <v>3188.5833333333335</v>
      </c>
      <c r="AA446" s="455"/>
      <c r="AB446" s="461"/>
      <c r="AC446" s="87">
        <f t="shared" si="265"/>
        <v>3188.5833333333335</v>
      </c>
      <c r="AD446" s="462"/>
      <c r="AE446" s="461"/>
      <c r="AF446" s="87">
        <f t="shared" si="266"/>
        <v>2127.3799999999997</v>
      </c>
      <c r="AG446" s="456"/>
      <c r="AH446" s="457">
        <f t="shared" si="262"/>
        <v>-1061.2033333333338</v>
      </c>
      <c r="AI446" s="458">
        <f t="shared" si="269"/>
        <v>-0.33281342288895294</v>
      </c>
      <c r="AJ446" s="462"/>
      <c r="AK446" s="455"/>
      <c r="AL446" s="87">
        <f t="shared" si="267"/>
        <v>7762.5</v>
      </c>
      <c r="AM446" s="459"/>
      <c r="AN446" s="457">
        <f t="shared" si="263"/>
        <v>-5635.1200000000008</v>
      </c>
      <c r="AO446" s="214">
        <f t="shared" si="268"/>
        <v>-0.7259413848631241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4"/>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64"/>
        <v>6510.3567420586751</v>
      </c>
      <c r="AA447" s="455"/>
      <c r="AB447" s="461"/>
      <c r="AC447" s="87">
        <f t="shared" si="265"/>
        <v>6510.3567420586751</v>
      </c>
      <c r="AD447" s="462"/>
      <c r="AE447" s="461"/>
      <c r="AF447" s="1034">
        <f>SUMIFS(BV_Data_An_Cour!$O:$O,BV_Data_An_Cour!$V:$V,$V447)</f>
        <v>6675.78</v>
      </c>
      <c r="AG447" s="456"/>
      <c r="AH447" s="457">
        <f t="shared" ref="AH447:AH450" si="274">AF447-AC447</f>
        <v>165.42325794132466</v>
      </c>
      <c r="AI447" s="458">
        <f t="shared" ref="AI447:AI450" si="275">IF(AC447=0,0,AH447/AC447)</f>
        <v>2.5409246297156872E-2</v>
      </c>
      <c r="AJ447" s="462"/>
      <c r="AK447" s="455"/>
      <c r="AL447" s="254">
        <f>SUMIFS(BV_Data_An_Prec!$O:$O,BV_Data_An_Prec!$V:$V,$V447)</f>
        <v>5960.74</v>
      </c>
      <c r="AM447" s="459"/>
      <c r="AN447" s="457">
        <f t="shared" ref="AN447:AN450" si="276">AF447-AL447</f>
        <v>715.04</v>
      </c>
      <c r="AO447" s="214">
        <f t="shared" ref="AO447:AO450" si="277">IF(AL447=0,0,AN447/AL447)</f>
        <v>0.11995826021601344</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4"/>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64"/>
        <v>0</v>
      </c>
      <c r="AA448" s="455"/>
      <c r="AB448" s="461"/>
      <c r="AC448" s="87">
        <f t="shared" si="265"/>
        <v>0</v>
      </c>
      <c r="AD448" s="462"/>
      <c r="AE448" s="461"/>
      <c r="AF448" s="87">
        <f t="shared" si="266"/>
        <v>0</v>
      </c>
      <c r="AG448" s="456"/>
      <c r="AH448" s="457">
        <f t="shared" si="274"/>
        <v>0</v>
      </c>
      <c r="AI448" s="458">
        <f t="shared" si="275"/>
        <v>0</v>
      </c>
      <c r="AJ448" s="462"/>
      <c r="AK448" s="455"/>
      <c r="AL448" s="87">
        <f t="shared" si="267"/>
        <v>0</v>
      </c>
      <c r="AM448" s="459"/>
      <c r="AN448" s="457">
        <f t="shared" si="276"/>
        <v>0</v>
      </c>
      <c r="AO448" s="214">
        <f t="shared" si="277"/>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4"/>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64"/>
        <v>0</v>
      </c>
      <c r="AA449" s="455"/>
      <c r="AB449" s="461"/>
      <c r="AC449" s="87">
        <f t="shared" si="265"/>
        <v>0</v>
      </c>
      <c r="AD449" s="462"/>
      <c r="AE449" s="461"/>
      <c r="AF449" s="87">
        <f t="shared" si="266"/>
        <v>0</v>
      </c>
      <c r="AG449" s="456"/>
      <c r="AH449" s="457">
        <f t="shared" si="274"/>
        <v>0</v>
      </c>
      <c r="AI449" s="458">
        <f t="shared" si="275"/>
        <v>0</v>
      </c>
      <c r="AJ449" s="462"/>
      <c r="AK449" s="455"/>
      <c r="AL449" s="87">
        <f t="shared" si="267"/>
        <v>0</v>
      </c>
      <c r="AM449" s="459"/>
      <c r="AN449" s="457">
        <f t="shared" si="276"/>
        <v>0</v>
      </c>
      <c r="AO449" s="214">
        <f t="shared" si="277"/>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4"/>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64"/>
        <v>0</v>
      </c>
      <c r="AA450" s="455"/>
      <c r="AB450" s="461"/>
      <c r="AC450" s="87">
        <f t="shared" si="265"/>
        <v>0</v>
      </c>
      <c r="AD450" s="462"/>
      <c r="AE450" s="461"/>
      <c r="AF450" s="87">
        <f t="shared" si="266"/>
        <v>0</v>
      </c>
      <c r="AG450" s="456"/>
      <c r="AH450" s="457">
        <f t="shared" si="274"/>
        <v>0</v>
      </c>
      <c r="AI450" s="458">
        <f t="shared" si="275"/>
        <v>0</v>
      </c>
      <c r="AJ450" s="462"/>
      <c r="AK450" s="455"/>
      <c r="AL450" s="87">
        <f t="shared" si="267"/>
        <v>0</v>
      </c>
      <c r="AM450" s="459"/>
      <c r="AN450" s="457">
        <f t="shared" si="276"/>
        <v>0</v>
      </c>
      <c r="AO450" s="214">
        <f t="shared" si="277"/>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4"/>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0.25189143968259214</v>
      </c>
      <c r="Y451" s="88"/>
      <c r="Z451" s="90">
        <f>+SUM(Z433:Z450)</f>
        <v>112708.41158789417</v>
      </c>
      <c r="AA451" s="89">
        <f>AC451/+AC406</f>
        <v>0.23824058720825977</v>
      </c>
      <c r="AB451" s="88"/>
      <c r="AC451" s="90">
        <f>+SUM(AC433:AC450)</f>
        <v>112708.41158789417</v>
      </c>
      <c r="AD451" s="91">
        <f>AF451/AF406</f>
        <v>0.17305712889881286</v>
      </c>
      <c r="AE451" s="88"/>
      <c r="AF451" s="90">
        <f>+SUM(AF433:AF450)</f>
        <v>98735.13</v>
      </c>
      <c r="AG451" s="99"/>
      <c r="AH451" s="555">
        <f>+SUM(AH433:AH450)</f>
        <v>-13973.281587894169</v>
      </c>
      <c r="AI451" s="89">
        <f>AH451/AC451</f>
        <v>-0.12397727366601463</v>
      </c>
      <c r="AJ451" s="91">
        <f>IF($AL$406=0,0,AL451/$AL$406)</f>
        <v>0.29153612105514165</v>
      </c>
      <c r="AK451" s="89"/>
      <c r="AL451" s="90">
        <f>+SUM(AL433:AL450)</f>
        <v>129677.07999999999</v>
      </c>
      <c r="AM451" s="100"/>
      <c r="AN451" s="93">
        <f>+SUM(AN433:AN450)</f>
        <v>-30941.950000000004</v>
      </c>
      <c r="AO451" s="637">
        <f>IF(AL451=0,0,AN451/AL451)</f>
        <v>-0.23860770153060207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4"/>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78">AF452-AC452</f>
        <v>0</v>
      </c>
      <c r="AI452" s="458">
        <f>IF(AC452=0,0,AH452/AC452)</f>
        <v>0</v>
      </c>
      <c r="AJ452" s="462"/>
      <c r="AK452" s="455"/>
      <c r="AL452" s="87">
        <f>SUMIFS(BV_Data_An_Prec!$O:$O,BV_Data_An_Prec!$V:$V,$V452)</f>
        <v>26000.14</v>
      </c>
      <c r="AM452" s="459"/>
      <c r="AN452" s="457">
        <f t="shared" ref="AN452:AN460" si="279">AF452-AL452</f>
        <v>-0.13999999999941792</v>
      </c>
      <c r="AO452" s="214">
        <f t="shared" ref="AO452:AO460" si="280">IF(AL452=0,0,AN452/AL452)</f>
        <v>-5.3845863906662779E-6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4"/>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78"/>
        <v>0</v>
      </c>
      <c r="AI453" s="458">
        <f t="shared" ref="AI453:AI460" si="281">IF(AC453=0,0,AH453/AC453)</f>
        <v>0</v>
      </c>
      <c r="AJ453" s="462"/>
      <c r="AK453" s="455"/>
      <c r="AL453" s="87">
        <f>SUMIFS(BV_Data_An_Prec!$O:$O,BV_Data_An_Prec!$V:$V,$V453)</f>
        <v>4700</v>
      </c>
      <c r="AM453" s="459"/>
      <c r="AN453" s="457">
        <f t="shared" si="279"/>
        <v>110</v>
      </c>
      <c r="AO453" s="214">
        <f t="shared" si="280"/>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4"/>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78"/>
        <v>0</v>
      </c>
      <c r="AI454" s="466">
        <f t="shared" si="281"/>
        <v>0</v>
      </c>
      <c r="AJ454" s="465"/>
      <c r="AK454" s="445"/>
      <c r="AL454" s="446">
        <f>SUMIFS(BV_Data_An_Prec!$O:$O,BV_Data_An_Prec!$V:$V,$V454)</f>
        <v>3150</v>
      </c>
      <c r="AM454" s="450"/>
      <c r="AN454" s="448">
        <f t="shared" si="279"/>
        <v>50</v>
      </c>
      <c r="AO454" s="451">
        <f t="shared" si="280"/>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4"/>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78"/>
        <v>0</v>
      </c>
      <c r="AI455" s="458">
        <f t="shared" si="281"/>
        <v>0</v>
      </c>
      <c r="AJ455" s="462"/>
      <c r="AK455" s="455"/>
      <c r="AL455" s="87">
        <f>SUMIFS(BV_Data_An_Prec!$O:$O,BV_Data_An_Prec!$V:$V,$V455)</f>
        <v>0</v>
      </c>
      <c r="AM455" s="459"/>
      <c r="AN455" s="457">
        <f t="shared" si="279"/>
        <v>0</v>
      </c>
      <c r="AO455" s="214">
        <f t="shared" si="280"/>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4"/>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78"/>
        <v>2.6666666666187666E-2</v>
      </c>
      <c r="AI456" s="466">
        <f t="shared" si="281"/>
        <v>7.1914960557847035E-6</v>
      </c>
      <c r="AJ456" s="465"/>
      <c r="AK456" s="445"/>
      <c r="AL456" s="446">
        <f>SUMIF(BV_Data_An_Prec!$V:$V,Print_Mois!$V456,BV_Data_An_Prec!$O:$O)</f>
        <v>1500</v>
      </c>
      <c r="AM456" s="450"/>
      <c r="AN456" s="448">
        <f t="shared" si="279"/>
        <v>2208.11</v>
      </c>
      <c r="AO456" s="451">
        <f t="shared" si="280"/>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4"/>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6">
        <f>SUMIFS(BV_Data_An_Cour!$O:$O,BV_Data_An_Cour!$V:$V,$V457)</f>
        <v>3809.88</v>
      </c>
      <c r="AG457" s="456"/>
      <c r="AH457" s="457">
        <f t="shared" si="278"/>
        <v>-0.11999999999989086</v>
      </c>
      <c r="AI457" s="458">
        <f t="shared" si="281"/>
        <v>-3.1496062992097335E-5</v>
      </c>
      <c r="AJ457" s="462"/>
      <c r="AK457" s="455"/>
      <c r="AL457" s="87">
        <f>SUMIFS(BV_Data_An_Prec!$O:$O,BV_Data_An_Prec!$V:$V,$V457)</f>
        <v>3670.0000000000005</v>
      </c>
      <c r="AM457" s="459"/>
      <c r="AN457" s="457">
        <f t="shared" si="279"/>
        <v>139.87999999999965</v>
      </c>
      <c r="AO457" s="214">
        <f t="shared" si="280"/>
        <v>3.8114441416893637E-2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4"/>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6217.0899999999992</v>
      </c>
      <c r="AG458" s="456"/>
      <c r="AH458" s="457">
        <f t="shared" si="278"/>
        <v>-7.6666666668643302E-2</v>
      </c>
      <c r="AI458" s="458">
        <f t="shared" si="281"/>
        <v>-1.2331447873143172E-5</v>
      </c>
      <c r="AJ458" s="462"/>
      <c r="AK458" s="455"/>
      <c r="AL458" s="87">
        <f>SUMIFS(BV_Data_An_Prec!$O:$O,BV_Data_An_Prec!$V:$V,$V458)</f>
        <v>8025</v>
      </c>
      <c r="AM458" s="459"/>
      <c r="AN458" s="457">
        <f t="shared" si="279"/>
        <v>-1807.9100000000008</v>
      </c>
      <c r="AO458" s="214">
        <f t="shared" si="280"/>
        <v>-0.22528473520249231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4"/>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756.45</v>
      </c>
      <c r="AG459" s="447"/>
      <c r="AH459" s="448">
        <f t="shared" si="278"/>
        <v>-243.54999999999995</v>
      </c>
      <c r="AI459" s="466">
        <f t="shared" si="281"/>
        <v>-0.24354999999999996</v>
      </c>
      <c r="AJ459" s="465"/>
      <c r="AK459" s="445"/>
      <c r="AL459" s="446">
        <f>SUMIFS(BV_Data_An_Prec!$O:$O,BV_Data_An_Prec!$V:$V,$V459)</f>
        <v>884</v>
      </c>
      <c r="AM459" s="450"/>
      <c r="AN459" s="448">
        <f t="shared" si="279"/>
        <v>-127.54999999999995</v>
      </c>
      <c r="AO459" s="451">
        <f t="shared" si="280"/>
        <v>-0.14428733031674204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4"/>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78"/>
        <v>-900</v>
      </c>
      <c r="AI460" s="478">
        <f t="shared" si="281"/>
        <v>-1</v>
      </c>
      <c r="AJ460" s="455"/>
      <c r="AK460" s="455"/>
      <c r="AL460" s="87">
        <f>SUMIFS(BV_Data_An_Prec!$O:$O,BV_Data_An_Prec!$V:$V,$V460)</f>
        <v>900</v>
      </c>
      <c r="AM460" s="459"/>
      <c r="AN460" s="457">
        <f t="shared" si="279"/>
        <v>-900</v>
      </c>
      <c r="AO460" s="214">
        <f t="shared" si="280"/>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4"/>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4"/>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4"/>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4"/>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4"/>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0.11095190961989719</v>
      </c>
      <c r="Y465" s="88"/>
      <c r="Z465" s="90">
        <f>SUM(Z452:Z464)</f>
        <v>49645.25</v>
      </c>
      <c r="AA465" s="89">
        <f>AC465/+AC406</f>
        <v>0.10493904887371541</v>
      </c>
      <c r="AB465" s="88"/>
      <c r="AC465" s="90">
        <f>SUM(AC452:AC464)</f>
        <v>49645.25</v>
      </c>
      <c r="AD465" s="91">
        <f>AF465/AF406</f>
        <v>8.5010629236013949E-2</v>
      </c>
      <c r="AE465" s="88"/>
      <c r="AF465" s="90">
        <f>SUM(AF452:AF464)</f>
        <v>48501.529999999992</v>
      </c>
      <c r="AG465" s="99"/>
      <c r="AH465" s="557">
        <f>SUM(AH452:AH464)</f>
        <v>-1143.7200000000023</v>
      </c>
      <c r="AI465" s="89">
        <f>IF(AC465=0,0,AH465/AC465)</f>
        <v>-2.3037853571086907E-2</v>
      </c>
      <c r="AJ465" s="91">
        <f>IF($AL$406=0,0,AL465/$AL$406)</f>
        <v>0.10977620771580035</v>
      </c>
      <c r="AK465" s="89"/>
      <c r="AL465" s="90">
        <f>SUM(AL452:AL464)</f>
        <v>48829.14</v>
      </c>
      <c r="AM465" s="100"/>
      <c r="AN465" s="93">
        <f>SUM(AN452:AN464)</f>
        <v>-327.61000000000035</v>
      </c>
      <c r="AO465" s="637">
        <f>IF(AL465=0,0,AN465/AL465)</f>
        <v>-6.7093133321619088E-3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4"/>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82">AF466-AC466</f>
        <v>0</v>
      </c>
      <c r="AI466" s="458"/>
      <c r="AJ466" s="462"/>
      <c r="AK466" s="455"/>
      <c r="AL466" s="105"/>
      <c r="AM466" s="479"/>
      <c r="AN466" s="457">
        <f t="shared" ref="AN466:AN472" si="283">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4"/>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1.2302480603151154</v>
      </c>
      <c r="Y467" s="88"/>
      <c r="Z467" s="90">
        <f>Z418+Z432+Z451+Z465</f>
        <v>550472.47700012662</v>
      </c>
      <c r="AA467" s="89">
        <f>AC467/+AC406</f>
        <v>1.1651807355744817</v>
      </c>
      <c r="AB467" s="88"/>
      <c r="AC467" s="90">
        <f>AC418+AC432+AC451+AC465</f>
        <v>551231.30553995259</v>
      </c>
      <c r="AD467" s="91">
        <f>AF467/AF406</f>
        <v>0.99386396859971204</v>
      </c>
      <c r="AE467" s="88"/>
      <c r="AF467" s="90">
        <f>AF418+AF432+AF451+AF465</f>
        <v>567034.07000000007</v>
      </c>
      <c r="AG467" s="99"/>
      <c r="AH467" s="93">
        <f t="shared" si="282"/>
        <v>15802.764460047474</v>
      </c>
      <c r="AI467" s="89">
        <f>AH467/AC467</f>
        <v>2.8668118630468656E-2</v>
      </c>
      <c r="AJ467" s="91">
        <f>IF($AL$406=0,0,AL467/$AL$406)</f>
        <v>1.2825951264800208</v>
      </c>
      <c r="AK467" s="89"/>
      <c r="AL467" s="90">
        <f>AL418+AL432+AL451+AL465</f>
        <v>570506.29</v>
      </c>
      <c r="AM467" s="100"/>
      <c r="AN467" s="93">
        <f t="shared" si="283"/>
        <v>-3472.2199999999721</v>
      </c>
      <c r="AO467" s="453">
        <f>IF(AL467=0,0,AN467/AL467)</f>
        <v>-6.0862080942174568E-3</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4"/>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72972.09</v>
      </c>
      <c r="AG468" s="251"/>
      <c r="AH468" s="482">
        <f t="shared" si="282"/>
        <v>72972.09</v>
      </c>
      <c r="AI468" s="483" t="e">
        <f t="shared" ref="AI468:AI472" si="284">IF(AH468=0,0,AH468/AC468)</f>
        <v>#DIV/0!</v>
      </c>
      <c r="AJ468" s="252"/>
      <c r="AK468" s="249"/>
      <c r="AL468" s="484">
        <f>-SUMIFS(BV_Data_An_Prec!$O:$O,BV_Data_An_Prec!$V:$V,$V468)</f>
        <v>37185.800000000003</v>
      </c>
      <c r="AM468" s="253"/>
      <c r="AN468" s="482">
        <f t="shared" si="283"/>
        <v>35786.289999999994</v>
      </c>
      <c r="AO468" s="261">
        <f>IF(AL468=0,0,AN468/AL468)</f>
        <v>0.96236439716235744</v>
      </c>
      <c r="AP468" s="79"/>
      <c r="AQ468" s="79" t="s">
        <v>2940</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4"/>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85">+SUMIF($C:$C,$V469,F:F)</f>
        <v>72775.567500000005</v>
      </c>
      <c r="AA469" s="255"/>
      <c r="AB469" s="247"/>
      <c r="AC469" s="254">
        <f t="shared" ref="AC469:AC479" si="286">+SUMIF($C:$C,$V469,I:I)</f>
        <v>73926.169357707506</v>
      </c>
      <c r="AD469" s="258"/>
      <c r="AE469" s="247"/>
      <c r="AF469" s="254">
        <f t="shared" ref="AF469:AF479" si="287">+SUMIF($C:$C,$V469,L:L)</f>
        <v>91841</v>
      </c>
      <c r="AG469" s="256"/>
      <c r="AH469" s="482">
        <f t="shared" si="282"/>
        <v>17914.830642292494</v>
      </c>
      <c r="AI469" s="257">
        <f>IF(AC469=0,0,AH469/AC469)</f>
        <v>0.24233408545230814</v>
      </c>
      <c r="AJ469" s="258"/>
      <c r="AK469" s="255"/>
      <c r="AL469" s="259">
        <f t="shared" ref="AL469:AL479" si="288">+SUMIF($C:$C,$V469,Q:Q)</f>
        <v>60872</v>
      </c>
      <c r="AM469" s="260"/>
      <c r="AN469" s="482">
        <f t="shared" si="283"/>
        <v>30969</v>
      </c>
      <c r="AO469" s="261">
        <f>IF(AL469=0,0,AN469/AL469)</f>
        <v>0.50875607832829539</v>
      </c>
      <c r="AP469" s="79"/>
      <c r="AQ469" s="79" t="s">
        <v>2926</v>
      </c>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4"/>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85"/>
        <v>45357.637500000012</v>
      </c>
      <c r="AA470" s="255"/>
      <c r="AB470" s="247"/>
      <c r="AC470" s="254">
        <f t="shared" si="286"/>
        <v>758.49607159347272</v>
      </c>
      <c r="AD470" s="258"/>
      <c r="AE470" s="247"/>
      <c r="AF470" s="254">
        <f t="shared" si="287"/>
        <v>26100</v>
      </c>
      <c r="AG470" s="256"/>
      <c r="AH470" s="482">
        <f t="shared" si="282"/>
        <v>25341.503928406528</v>
      </c>
      <c r="AI470" s="257">
        <f t="shared" si="284"/>
        <v>33.410197992414503</v>
      </c>
      <c r="AJ470" s="258"/>
      <c r="AK470" s="255"/>
      <c r="AL470" s="259">
        <f t="shared" si="288"/>
        <v>10850</v>
      </c>
      <c r="AM470" s="260"/>
      <c r="AN470" s="482">
        <f t="shared" si="283"/>
        <v>15250</v>
      </c>
      <c r="AO470" s="261">
        <f t="shared" ref="AO470:AO472" si="289">IF(AL470=0,0,AN470/AL470)</f>
        <v>1.4055299539170507</v>
      </c>
      <c r="AP470" s="79"/>
      <c r="AQ470" s="79" t="s">
        <v>2939</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4"/>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85"/>
        <v>0</v>
      </c>
      <c r="AA471" s="255"/>
      <c r="AB471" s="247"/>
      <c r="AC471" s="254">
        <f t="shared" si="286"/>
        <v>0</v>
      </c>
      <c r="AD471" s="258"/>
      <c r="AE471" s="247"/>
      <c r="AF471" s="254">
        <f t="shared" si="287"/>
        <v>0</v>
      </c>
      <c r="AG471" s="256"/>
      <c r="AH471" s="482">
        <f t="shared" si="282"/>
        <v>0</v>
      </c>
      <c r="AI471" s="257">
        <f t="shared" si="284"/>
        <v>0</v>
      </c>
      <c r="AJ471" s="258"/>
      <c r="AK471" s="255"/>
      <c r="AL471" s="259">
        <f t="shared" si="288"/>
        <v>0</v>
      </c>
      <c r="AM471" s="260"/>
      <c r="AN471" s="482">
        <f t="shared" si="283"/>
        <v>0</v>
      </c>
      <c r="AO471" s="261">
        <f t="shared" si="289"/>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4"/>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85"/>
        <v>0</v>
      </c>
      <c r="AA472" s="255"/>
      <c r="AB472" s="247"/>
      <c r="AC472" s="254">
        <f t="shared" si="286"/>
        <v>0</v>
      </c>
      <c r="AD472" s="258"/>
      <c r="AE472" s="247"/>
      <c r="AF472" s="254">
        <f t="shared" si="287"/>
        <v>0</v>
      </c>
      <c r="AG472" s="256"/>
      <c r="AH472" s="482">
        <f t="shared" si="282"/>
        <v>0</v>
      </c>
      <c r="AI472" s="257">
        <f t="shared" si="284"/>
        <v>0</v>
      </c>
      <c r="AJ472" s="258"/>
      <c r="AK472" s="255"/>
      <c r="AL472" s="259">
        <f t="shared" si="288"/>
        <v>0</v>
      </c>
      <c r="AM472" s="260"/>
      <c r="AN472" s="482">
        <f t="shared" si="283"/>
        <v>0</v>
      </c>
      <c r="AO472" s="261">
        <f t="shared" si="289"/>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4"/>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85"/>
        <v>8500</v>
      </c>
      <c r="AA473" s="255"/>
      <c r="AB473" s="247"/>
      <c r="AC473" s="254">
        <f t="shared" si="286"/>
        <v>8500</v>
      </c>
      <c r="AD473" s="258"/>
      <c r="AE473" s="247"/>
      <c r="AF473" s="254">
        <f t="shared" si="287"/>
        <v>8500</v>
      </c>
      <c r="AG473" s="256"/>
      <c r="AH473" s="482">
        <f t="shared" ref="AH473:AH478" si="290">AF473-AC473</f>
        <v>0</v>
      </c>
      <c r="AI473" s="257">
        <f t="shared" ref="AI473:AI478" si="291">IF(AH473=0,0,AH473/AC473)</f>
        <v>0</v>
      </c>
      <c r="AJ473" s="258"/>
      <c r="AK473" s="255"/>
      <c r="AL473" s="259">
        <f t="shared" si="288"/>
        <v>0</v>
      </c>
      <c r="AM473" s="260"/>
      <c r="AN473" s="482">
        <f t="shared" ref="AN473:AN475" si="292">AF473-AL473</f>
        <v>8500</v>
      </c>
      <c r="AO473" s="261">
        <f t="shared" ref="AO473:AO475" si="293">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4"/>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85"/>
        <v>0</v>
      </c>
      <c r="AA474" s="255"/>
      <c r="AB474" s="247"/>
      <c r="AC474" s="254">
        <f t="shared" si="286"/>
        <v>0</v>
      </c>
      <c r="AD474" s="258"/>
      <c r="AE474" s="247"/>
      <c r="AF474" s="254">
        <f t="shared" si="287"/>
        <v>0</v>
      </c>
      <c r="AG474" s="256"/>
      <c r="AH474" s="482">
        <f t="shared" si="290"/>
        <v>0</v>
      </c>
      <c r="AI474" s="257">
        <f t="shared" si="291"/>
        <v>0</v>
      </c>
      <c r="AJ474" s="258"/>
      <c r="AK474" s="255"/>
      <c r="AL474" s="259">
        <f t="shared" si="288"/>
        <v>0</v>
      </c>
      <c r="AM474" s="260"/>
      <c r="AN474" s="482">
        <f t="shared" si="292"/>
        <v>0</v>
      </c>
      <c r="AO474" s="261">
        <f t="shared" si="293"/>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4"/>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85"/>
        <v>0</v>
      </c>
      <c r="AA475" s="255"/>
      <c r="AB475" s="247"/>
      <c r="AC475" s="254">
        <f t="shared" si="286"/>
        <v>0</v>
      </c>
      <c r="AD475" s="258"/>
      <c r="AE475" s="247"/>
      <c r="AF475" s="254">
        <f t="shared" si="287"/>
        <v>0</v>
      </c>
      <c r="AG475" s="256"/>
      <c r="AH475" s="482">
        <f t="shared" si="290"/>
        <v>0</v>
      </c>
      <c r="AI475" s="257">
        <f t="shared" si="291"/>
        <v>0</v>
      </c>
      <c r="AJ475" s="258"/>
      <c r="AK475" s="255"/>
      <c r="AL475" s="259">
        <f t="shared" si="288"/>
        <v>0</v>
      </c>
      <c r="AM475" s="260"/>
      <c r="AN475" s="482">
        <f t="shared" si="292"/>
        <v>0</v>
      </c>
      <c r="AO475" s="261">
        <f t="shared" si="293"/>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4"/>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85"/>
        <v>0</v>
      </c>
      <c r="AA476" s="255"/>
      <c r="AB476" s="247"/>
      <c r="AC476" s="254">
        <f t="shared" si="286"/>
        <v>0</v>
      </c>
      <c r="AD476" s="258"/>
      <c r="AE476" s="247"/>
      <c r="AF476" s="254">
        <f t="shared" si="287"/>
        <v>0</v>
      </c>
      <c r="AG476" s="256"/>
      <c r="AH476" s="482">
        <f t="shared" si="290"/>
        <v>0</v>
      </c>
      <c r="AI476" s="257">
        <f t="shared" si="291"/>
        <v>0</v>
      </c>
      <c r="AJ476" s="258"/>
      <c r="AK476" s="255"/>
      <c r="AL476" s="259">
        <f t="shared" si="288"/>
        <v>0</v>
      </c>
      <c r="AM476" s="260"/>
      <c r="AN476" s="482">
        <f t="shared" ref="AN476:AN479" si="294">AF476-AL476</f>
        <v>0</v>
      </c>
      <c r="AO476" s="261">
        <f t="shared" ref="AO476:AO479" si="29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4"/>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85"/>
        <v>0</v>
      </c>
      <c r="AA477" s="255"/>
      <c r="AB477" s="247"/>
      <c r="AC477" s="254">
        <f t="shared" si="286"/>
        <v>0</v>
      </c>
      <c r="AD477" s="258"/>
      <c r="AE477" s="247"/>
      <c r="AF477" s="254">
        <f t="shared" si="287"/>
        <v>0</v>
      </c>
      <c r="AG477" s="256"/>
      <c r="AH477" s="482">
        <f t="shared" si="290"/>
        <v>0</v>
      </c>
      <c r="AI477" s="257">
        <f t="shared" si="291"/>
        <v>0</v>
      </c>
      <c r="AJ477" s="258"/>
      <c r="AK477" s="255"/>
      <c r="AL477" s="259">
        <f t="shared" si="288"/>
        <v>0</v>
      </c>
      <c r="AM477" s="260"/>
      <c r="AN477" s="482">
        <f t="shared" si="294"/>
        <v>0</v>
      </c>
      <c r="AO477" s="261">
        <f t="shared" si="29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4"/>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85"/>
        <v>0</v>
      </c>
      <c r="AA478" s="255"/>
      <c r="AB478" s="247"/>
      <c r="AC478" s="254">
        <f t="shared" si="286"/>
        <v>0</v>
      </c>
      <c r="AD478" s="258"/>
      <c r="AE478" s="247"/>
      <c r="AF478" s="254">
        <f t="shared" si="287"/>
        <v>0</v>
      </c>
      <c r="AG478" s="256"/>
      <c r="AH478" s="482">
        <f t="shared" si="290"/>
        <v>0</v>
      </c>
      <c r="AI478" s="257">
        <f t="shared" si="291"/>
        <v>0</v>
      </c>
      <c r="AJ478" s="258"/>
      <c r="AK478" s="255"/>
      <c r="AL478" s="259">
        <f t="shared" si="288"/>
        <v>0</v>
      </c>
      <c r="AM478" s="260"/>
      <c r="AN478" s="482">
        <f t="shared" si="294"/>
        <v>0</v>
      </c>
      <c r="AO478" s="261">
        <f t="shared" si="29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4"/>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85"/>
        <v>27640.163517536079</v>
      </c>
      <c r="AA479" s="255"/>
      <c r="AB479" s="247"/>
      <c r="AC479" s="254">
        <f t="shared" si="286"/>
        <v>27640.163517536083</v>
      </c>
      <c r="AD479" s="258"/>
      <c r="AE479" s="247"/>
      <c r="AF479" s="254">
        <f t="shared" si="287"/>
        <v>34846</v>
      </c>
      <c r="AG479" s="256"/>
      <c r="AH479" s="482">
        <f t="shared" ref="AH479:AH480" si="296">AF479-AC479</f>
        <v>7205.8364824639175</v>
      </c>
      <c r="AI479" s="257">
        <f>IF(AH479=0,0,AH479/AC479)</f>
        <v>0.26070165894251068</v>
      </c>
      <c r="AJ479" s="258"/>
      <c r="AK479" s="255"/>
      <c r="AL479" s="259">
        <f t="shared" si="288"/>
        <v>33871</v>
      </c>
      <c r="AM479" s="260"/>
      <c r="AN479" s="482">
        <f t="shared" si="294"/>
        <v>975</v>
      </c>
      <c r="AO479" s="261">
        <f t="shared" si="295"/>
        <v>2.8785686870774409E-2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4"/>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0.34478474457304087</v>
      </c>
      <c r="Y480" s="103"/>
      <c r="Z480" s="90">
        <f>SUM(Z468:Z479)</f>
        <v>154273.36851753609</v>
      </c>
      <c r="AA480" s="89">
        <f>AC480/+AC406</f>
        <v>0.23425911121956855</v>
      </c>
      <c r="AB480" s="103"/>
      <c r="AC480" s="90">
        <f>SUM(AC468:AC479)</f>
        <v>110824.82894683706</v>
      </c>
      <c r="AD480" s="89">
        <f>AF480/+AF406</f>
        <v>0.41059555533930631</v>
      </c>
      <c r="AE480" s="103"/>
      <c r="AF480" s="90">
        <f>SUM(AF468:AF479)</f>
        <v>234259.09</v>
      </c>
      <c r="AG480" s="99"/>
      <c r="AH480" s="93">
        <f t="shared" si="296"/>
        <v>123434.26105316293</v>
      </c>
      <c r="AI480" s="89">
        <f>AH480/AC480</f>
        <v>1.1137780425754109</v>
      </c>
      <c r="AJ480" s="109"/>
      <c r="AK480" s="110"/>
      <c r="AL480" s="90">
        <f>SUM(AL468:AL479)</f>
        <v>142778.79999999999</v>
      </c>
      <c r="AM480" s="111"/>
      <c r="AN480" s="93">
        <f t="shared" ref="AN480:AN482" si="297">AF480-AL480</f>
        <v>91480.290000000008</v>
      </c>
      <c r="AO480" s="637">
        <f>IF(AL480=0,0,AN480/AL480)</f>
        <v>0.64071339722703946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4"/>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97"/>
        <v>0</v>
      </c>
      <c r="AO481" s="486">
        <f t="shared" ref="AO481" si="298">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4"/>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2.47178419195529E-2</v>
      </c>
      <c r="Z482" s="491">
        <f>Z406-Z467+Z480</f>
        <v>51249.251532810566</v>
      </c>
      <c r="AA482" s="489" t="s">
        <v>258</v>
      </c>
      <c r="AB482" s="490">
        <f>AC482/AC405</f>
        <v>1.5761796586512097E-2</v>
      </c>
      <c r="AC482" s="491">
        <f>AC406-AC467+AC480</f>
        <v>32680.048707333292</v>
      </c>
      <c r="AD482" s="489" t="s">
        <v>258</v>
      </c>
      <c r="AE482" s="490">
        <f>AF482/AF405</f>
        <v>4.3954593866867633E-2</v>
      </c>
      <c r="AF482" s="217">
        <f>AF406-AF467+AF480</f>
        <v>237759.90999999983</v>
      </c>
      <c r="AG482" s="492"/>
      <c r="AH482" s="492">
        <f>AF482-AC482</f>
        <v>205079.86129266652</v>
      </c>
      <c r="AI482" s="546">
        <f>AH482/AC482</f>
        <v>6.2753841993707713</v>
      </c>
      <c r="AJ482" s="493" t="s">
        <v>258</v>
      </c>
      <c r="AK482" s="490">
        <f>IF($AL$405=0,0,AL482/$AL$405)</f>
        <v>3.9868924758369086E-3</v>
      </c>
      <c r="AL482" s="217">
        <f>AL406-AL467+AL480</f>
        <v>17078.73000000004</v>
      </c>
      <c r="AM482" s="218"/>
      <c r="AN482" s="217">
        <f t="shared" si="297"/>
        <v>220681.17999999979</v>
      </c>
      <c r="AO482" s="494">
        <f>IF(AL482=0,0,AN482/AL482)</f>
        <v>12.9214045775066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99">+U484&amp;V484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Mars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99"/>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99"/>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99"/>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99"/>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2.47178419195529E-2</v>
      </c>
      <c r="Z488" s="499">
        <f>Z482</f>
        <v>51249.251532810566</v>
      </c>
      <c r="AA488" s="497" t="s">
        <v>258</v>
      </c>
      <c r="AB488" s="498">
        <f>AC488/AC405</f>
        <v>1.5761796586512097E-2</v>
      </c>
      <c r="AC488" s="499">
        <f>AC482</f>
        <v>32680.048707333292</v>
      </c>
      <c r="AD488" s="497" t="s">
        <v>258</v>
      </c>
      <c r="AE488" s="498">
        <f>AF488/AF405</f>
        <v>4.3954593866867633E-2</v>
      </c>
      <c r="AF488" s="499">
        <f>AF482</f>
        <v>237759.90999999983</v>
      </c>
      <c r="AG488" s="500"/>
      <c r="AH488" s="492">
        <f>AF488-AC488</f>
        <v>205079.86129266652</v>
      </c>
      <c r="AI488" s="546">
        <f>AH488/AC488</f>
        <v>6.2753841993707713</v>
      </c>
      <c r="AJ488" s="497" t="s">
        <v>258</v>
      </c>
      <c r="AK488" s="498">
        <f>IF($AL$405=0,0,AL488/$AL$405)</f>
        <v>3.9868924758369086E-3</v>
      </c>
      <c r="AL488" s="501">
        <f>AL482</f>
        <v>17078.73000000004</v>
      </c>
      <c r="AM488" s="502"/>
      <c r="AN488" s="503">
        <f>AF488-AL488</f>
        <v>220681.17999999979</v>
      </c>
      <c r="AO488" s="504">
        <f>IF(AL488=0,0,AN488/AL488)</f>
        <v>12.9214045775066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99"/>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99"/>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9167</v>
      </c>
      <c r="AG490" s="455"/>
      <c r="AH490" s="457">
        <f t="shared" ref="AH490:AH491" si="300">AF490-AC490</f>
        <v>0</v>
      </c>
      <c r="AI490" s="97">
        <f>IF(AC490=0,0,AH490/AC490)</f>
        <v>0</v>
      </c>
      <c r="AJ490" s="455"/>
      <c r="AK490" s="455"/>
      <c r="AL490" s="87">
        <f>SUMIFS(BV_Data_An_Prec!$O:$O,BV_Data_An_Prec!$V:$V,$V490)</f>
        <v>9000</v>
      </c>
      <c r="AM490" s="459"/>
      <c r="AN490" s="457">
        <f t="shared" ref="AN490:AN491" si="301">AF490-AL490</f>
        <v>167</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99"/>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213.88</v>
      </c>
      <c r="AG491" s="439"/>
      <c r="AH491" s="457">
        <f t="shared" si="300"/>
        <v>-242.37</v>
      </c>
      <c r="AI491" s="97">
        <f t="shared" ref="AI491" si="302">IF(AC491=0,0,AH491/AC491)</f>
        <v>-0.53122191780821915</v>
      </c>
      <c r="AJ491" s="439"/>
      <c r="AK491" s="439"/>
      <c r="AL491" s="87">
        <f>SUMIFS(BV_Data_An_Prec!$O:$O,BV_Data_An_Prec!$V:$V,$V491)</f>
        <v>0</v>
      </c>
      <c r="AM491" s="508"/>
      <c r="AN491" s="457">
        <f t="shared" si="301"/>
        <v>213.88</v>
      </c>
      <c r="AO491" s="214">
        <f t="shared" ref="AO491" si="303">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99"/>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587.16228670116425</v>
      </c>
      <c r="AA492" s="439"/>
      <c r="AB492" s="439"/>
      <c r="AC492" s="87">
        <f>+INDEX('Budget révisé'!$A$2:$AO$496,MATCH($A492,'Budget révisé'!$A$2:$A$496,0),MATCH(I$2,'Budget révisé'!$A$2:$AO$2,0))</f>
        <v>587.16228670116425</v>
      </c>
      <c r="AD492" s="439"/>
      <c r="AE492" s="178"/>
      <c r="AF492" s="87">
        <f>SUMIFS(BV_Data_An_Cour!$O:$O,BV_Data_An_Cour!$V:$V,$V492)</f>
        <v>570.58999999999992</v>
      </c>
      <c r="AG492" s="439"/>
      <c r="AH492" s="457">
        <f t="shared" ref="AH492:AH496" si="304">AF492-AC492</f>
        <v>-16.57228670116433</v>
      </c>
      <c r="AI492" s="97">
        <f t="shared" ref="AI492:AI496" si="305">IF(AC492=0,0,AH492/AC492)</f>
        <v>-2.8224371824477859E-2</v>
      </c>
      <c r="AJ492" s="439"/>
      <c r="AK492" s="439"/>
      <c r="AL492" s="87">
        <f>SUMIFS(BV_Data_An_Prec!$O:$O,BV_Data_An_Prec!$V:$V,$V492)</f>
        <v>5219.41</v>
      </c>
      <c r="AM492" s="508"/>
      <c r="AN492" s="457">
        <f t="shared" ref="AN492:AN496" si="306">AF492-AL492</f>
        <v>-4648.82</v>
      </c>
      <c r="AO492" s="214">
        <f t="shared" ref="AO492:AO496" si="307">IF(AL492=0,0,AN492/AL492)</f>
        <v>-0.89067921470051215</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299"/>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04"/>
        <v>0</v>
      </c>
      <c r="AI493" s="97">
        <f t="shared" si="305"/>
        <v>0</v>
      </c>
      <c r="AJ493" s="439"/>
      <c r="AK493" s="439"/>
      <c r="AL493" s="87">
        <f>SUMIFS(BV_Data_An_Prec!$O:$O,BV_Data_An_Prec!$V:$V,$V493)</f>
        <v>0</v>
      </c>
      <c r="AM493" s="508"/>
      <c r="AN493" s="457">
        <f t="shared" si="306"/>
        <v>0</v>
      </c>
      <c r="AO493" s="214">
        <f t="shared" si="307"/>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299"/>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+INDEX('Budget original'!$A$2:$AO$496,MATCH($A494,'Budget original'!$A$2:$A$496,0),MATCH(F$2,'Budget original'!$A$2:$AO$2,0))</f>
        <v>0</v>
      </c>
      <c r="AA494" s="439"/>
      <c r="AB494" s="439"/>
      <c r="AC494" s="87">
        <f>+INDEX('Budget révisé'!$A$2:$AO$496,MATCH($A494,'Budget révisé'!$A$2:$A$496,0),MATCH(I$2,'Budget révisé'!$A$2:$AO$2,0))</f>
        <v>0</v>
      </c>
      <c r="AD494" s="439"/>
      <c r="AE494" s="178"/>
      <c r="AF494" s="87">
        <f>SUMIFS(BV_Data_An_Cour!$O:$O,BV_Data_An_Cour!$V:$V,$V494)</f>
        <v>0</v>
      </c>
      <c r="AG494" s="439"/>
      <c r="AH494" s="457">
        <f t="shared" si="304"/>
        <v>0</v>
      </c>
      <c r="AI494" s="97">
        <f t="shared" si="305"/>
        <v>0</v>
      </c>
      <c r="AJ494" s="439"/>
      <c r="AK494" s="439"/>
      <c r="AL494" s="87">
        <f>SUMIFS(BV_Data_An_Prec!$O:$O,BV_Data_An_Prec!$V:$V,$V494)</f>
        <v>0</v>
      </c>
      <c r="AM494" s="508"/>
      <c r="AN494" s="457">
        <f t="shared" si="306"/>
        <v>0</v>
      </c>
      <c r="AO494" s="214">
        <f t="shared" si="307"/>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299"/>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+INDEX('Budget original'!$A$2:$AO$496,MATCH($A495,'Budget original'!$A$2:$A$496,0),MATCH(F$2,'Budget original'!$A$2:$AO$2,0))</f>
        <v>0</v>
      </c>
      <c r="AA495" s="439"/>
      <c r="AB495" s="439"/>
      <c r="AC495" s="87">
        <f>+INDEX('Budget révisé'!$A$2:$AO$496,MATCH($A495,'Budget révisé'!$A$2:$A$496,0),MATCH(I$2,'Budget révisé'!$A$2:$AO$2,0))</f>
        <v>0</v>
      </c>
      <c r="AD495" s="439"/>
      <c r="AE495" s="178"/>
      <c r="AF495" s="87">
        <f>SUMIFS(BV_Data_An_Cour!$O:$O,BV_Data_An_Cour!$V:$V,$V495)</f>
        <v>0</v>
      </c>
      <c r="AG495" s="439"/>
      <c r="AH495" s="457">
        <f t="shared" si="304"/>
        <v>0</v>
      </c>
      <c r="AI495" s="97">
        <f t="shared" si="305"/>
        <v>0</v>
      </c>
      <c r="AJ495" s="439"/>
      <c r="AK495" s="439"/>
      <c r="AL495" s="87">
        <f>SUMIFS(BV_Data_An_Prec!$O:$O,BV_Data_An_Prec!$V:$V,$V495)</f>
        <v>0</v>
      </c>
      <c r="AM495" s="508"/>
      <c r="AN495" s="457">
        <f t="shared" si="306"/>
        <v>0</v>
      </c>
      <c r="AO495" s="214">
        <f t="shared" si="307"/>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99"/>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+INDEX('Budget révisé'!$A$2:$AO$496,MATCH($A496,'Budget révisé'!$A$2:$A$496,0),MATCH(I$2,'Budget révisé'!$A$2:$AO$2,0))</f>
        <v>0</v>
      </c>
      <c r="AD496" s="439"/>
      <c r="AE496" s="178"/>
      <c r="AF496" s="87">
        <f>SUMIFS(BV_Data_An_Cour!$O:$O,BV_Data_An_Cour!$V:$V,$V496)</f>
        <v>0</v>
      </c>
      <c r="AG496" s="439"/>
      <c r="AH496" s="457">
        <f t="shared" si="304"/>
        <v>0</v>
      </c>
      <c r="AI496" s="97">
        <f t="shared" si="305"/>
        <v>0</v>
      </c>
      <c r="AJ496" s="439"/>
      <c r="AK496" s="439"/>
      <c r="AL496" s="87">
        <f>SUMIFS(BV_Data_An_Prec!$O:$O,BV_Data_An_Prec!$V:$V,$V496)</f>
        <v>0</v>
      </c>
      <c r="AM496" s="508"/>
      <c r="AN496" s="457">
        <f t="shared" si="306"/>
        <v>0</v>
      </c>
      <c r="AO496" s="214">
        <f t="shared" si="307"/>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99"/>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1.9793294744955378E-2</v>
      </c>
      <c r="Z497" s="491">
        <f>Z488-Z490-Z491-Z492-Z496</f>
        <v>41038.839246109404</v>
      </c>
      <c r="AA497" s="489" t="s">
        <v>258</v>
      </c>
      <c r="AB497" s="490">
        <f>AC497/AC405</f>
        <v>1.0837249411914574E-2</v>
      </c>
      <c r="AC497" s="491">
        <f>AC488-AC490-AC491-AC492-AC496</f>
        <v>22469.636420632127</v>
      </c>
      <c r="AD497" s="489" t="s">
        <v>258</v>
      </c>
      <c r="AE497" s="490">
        <f>AF497/AF405</f>
        <v>4.2114868985459672E-2</v>
      </c>
      <c r="AF497" s="217">
        <f>AF488-AF490-AF491-AF492-AF496</f>
        <v>227808.43999999983</v>
      </c>
      <c r="AG497" s="492"/>
      <c r="AH497" s="492">
        <f>AF497-AC497</f>
        <v>205338.8035793677</v>
      </c>
      <c r="AI497" s="546">
        <f>AH497/AC497</f>
        <v>9.1385013862894979</v>
      </c>
      <c r="AJ497" s="493" t="s">
        <v>258</v>
      </c>
      <c r="AK497" s="490">
        <f>IF($AL$405=0,0,AL497/$AL$405)</f>
        <v>6.6748531032518937E-4</v>
      </c>
      <c r="AL497" s="217">
        <f>AL488-AL490-AL491-AL492-AL496</f>
        <v>2859.3200000000397</v>
      </c>
      <c r="AM497" s="218"/>
      <c r="AN497" s="217">
        <f>AF497-AL497</f>
        <v>224949.11999999979</v>
      </c>
      <c r="AO497" s="509">
        <f>IF(AL497=0,0,AN497/AL497)</f>
        <v>78.672243750261131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08">+U498&amp;V498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41039</v>
      </c>
      <c r="AA500" s="79"/>
      <c r="AB500" s="79"/>
      <c r="AC500" s="79">
        <v>22470</v>
      </c>
      <c r="AD500" s="79"/>
      <c r="AE500" s="79"/>
      <c r="AF500" s="79">
        <v>227808.44</v>
      </c>
      <c r="AG500" s="79"/>
      <c r="AH500" s="79"/>
      <c r="AI500" s="79"/>
      <c r="AJ500" s="79"/>
      <c r="AK500" s="79"/>
      <c r="AL500" s="79">
        <v>2859.32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-0.16075389059551526</v>
      </c>
      <c r="AA501" s="79"/>
      <c r="AB501" s="79"/>
      <c r="AC501" s="101">
        <f>AC497-AC500</f>
        <v>-0.36357936787317158</v>
      </c>
      <c r="AD501" s="79"/>
      <c r="AE501" s="79"/>
      <c r="AF501" s="127">
        <f>AF497-AF500</f>
        <v>0</v>
      </c>
      <c r="AG501" s="79"/>
      <c r="AH501" s="79"/>
      <c r="AI501" s="79"/>
      <c r="AJ501" s="79"/>
      <c r="AK501" s="79"/>
      <c r="AL501" s="127">
        <f>AL497-AL500</f>
        <v>3.9563019527122378E-11</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H354 J352:K354 J72:L72 H72 I121:L121 H152:L152 H348:L348 J399:K399 H399 H242:L242 H363:L363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364:H375 J364:K375 H284:L284 I18:J18 I17 J49:L54 L173 L6:L14 J31:K48 H31:H54 J111:K120 J122:K133 H105:H133 L125:L129 O122:P133 Q125:Q129 H225:H228 J225:K228 H281:H283 L275:L283 J294:K302 L319:L324 J317:K347 H317:H347 J253:K274 H253:H274 H197:H218 J197:K218">
    <cfRule type="expression" dxfId="686" priority="558" stopIfTrue="1">
      <formula>"esterreur(reference)"</formula>
    </cfRule>
  </conditionalFormatting>
  <conditionalFormatting sqref="M95:M96">
    <cfRule type="expression" dxfId="685" priority="559" stopIfTrue="1">
      <formula>"esterreur(reference)"</formula>
    </cfRule>
  </conditionalFormatting>
  <conditionalFormatting sqref="H275:H280 J275:K280">
    <cfRule type="expression" dxfId="684" priority="560" stopIfTrue="1">
      <formula>"esterreur(reference)"</formula>
    </cfRule>
  </conditionalFormatting>
  <conditionalFormatting sqref="H219:H224 J219:K224">
    <cfRule type="expression" dxfId="683" priority="561" stopIfTrue="1">
      <formula>"esterreur(reference)"</formula>
    </cfRule>
  </conditionalFormatting>
  <conditionalFormatting sqref="H141:H147 J141:K147">
    <cfRule type="expression" dxfId="682" priority="562" stopIfTrue="1">
      <formula>"esterreur(reference)"</formula>
    </cfRule>
  </conditionalFormatting>
  <conditionalFormatting sqref="H137:H139 J137:K139">
    <cfRule type="expression" dxfId="681" priority="563" stopIfTrue="1">
      <formula>"esterreur(reference)"</formula>
    </cfRule>
  </conditionalFormatting>
  <conditionalFormatting sqref="H140 J140:K140">
    <cfRule type="expression" dxfId="680" priority="564" stopIfTrue="1">
      <formula>"esterreur(reference)"</formula>
    </cfRule>
  </conditionalFormatting>
  <conditionalFormatting sqref="L82">
    <cfRule type="expression" dxfId="679" priority="505" stopIfTrue="1">
      <formula>"esterreur(reference)"</formula>
    </cfRule>
  </conditionalFormatting>
  <conditionalFormatting sqref="M311">
    <cfRule type="expression" dxfId="678" priority="566" stopIfTrue="1">
      <formula>"esterreur(reference)"</formula>
    </cfRule>
  </conditionalFormatting>
  <conditionalFormatting sqref="R311">
    <cfRule type="expression" dxfId="677" priority="567" stopIfTrue="1">
      <formula>"esterreur(reference)"</formula>
    </cfRule>
  </conditionalFormatting>
  <conditionalFormatting sqref="AG408:AI413 AH490:AI490 AG431:AI431 AH465:AI467 AH452:AI459 AH432:AI450 AH460:AH464 AI491:AI496 AH419:AI430">
    <cfRule type="cellIs" dxfId="676" priority="568" operator="greaterThan">
      <formula>0</formula>
    </cfRule>
  </conditionalFormatting>
  <conditionalFormatting sqref="AH468:AI479">
    <cfRule type="cellIs" dxfId="675" priority="569" operator="lessThan">
      <formula>0</formula>
    </cfRule>
  </conditionalFormatting>
  <conditionalFormatting sqref="AH491:AH496">
    <cfRule type="cellIs" dxfId="674" priority="572" operator="greaterThan">
      <formula>0</formula>
    </cfRule>
  </conditionalFormatting>
  <conditionalFormatting sqref="J281:K283">
    <cfRule type="expression" dxfId="673" priority="576" stopIfTrue="1">
      <formula>"esterreur(reference)"</formula>
    </cfRule>
  </conditionalFormatting>
  <conditionalFormatting sqref="K356 J356:J357 H356:I356 L355:L356 H358:L358">
    <cfRule type="expression" dxfId="672" priority="580" stopIfTrue="1">
      <formula>"esterreur(reference)"</formula>
    </cfRule>
  </conditionalFormatting>
  <conditionalFormatting sqref="H396">
    <cfRule type="expression" dxfId="671" priority="581" stopIfTrue="1">
      <formula>"esterreur(reference)"</formula>
    </cfRule>
  </conditionalFormatting>
  <conditionalFormatting sqref="I376:L376 H377:H392 J377:K392">
    <cfRule type="expression" dxfId="670" priority="582" stopIfTrue="1">
      <formula>"esterreur(reference)"</formula>
    </cfRule>
  </conditionalFormatting>
  <conditionalFormatting sqref="H397:L398 I396:L396 H395:L395 H393:H394 J393:K393">
    <cfRule type="expression" dxfId="669" priority="583" stopIfTrue="1">
      <formula>"esterreur(reference)"</formula>
    </cfRule>
  </conditionalFormatting>
  <conditionalFormatting sqref="H360:L362 H359 K359">
    <cfRule type="expression" dxfId="668" priority="584" stopIfTrue="1">
      <formula>"esterreur(reference)"</formula>
    </cfRule>
  </conditionalFormatting>
  <conditionalFormatting sqref="K394">
    <cfRule type="expression" dxfId="667" priority="585" stopIfTrue="1">
      <formula>"esterreur(reference)"</formula>
    </cfRule>
  </conditionalFormatting>
  <conditionalFormatting sqref="H316:L316">
    <cfRule type="expression" dxfId="666" priority="589" stopIfTrue="1">
      <formula>"esterreur(reference)"</formula>
    </cfRule>
  </conditionalFormatting>
  <conditionalFormatting sqref="H196:L196">
    <cfRule type="expression" dxfId="665" priority="590" stopIfTrue="1">
      <formula>"esterreur(reference)"</formula>
    </cfRule>
  </conditionalFormatting>
  <conditionalFormatting sqref="H55:H56 J55:K56 H71 J71:K71">
    <cfRule type="expression" dxfId="664" priority="595" stopIfTrue="1">
      <formula>"esterreur(reference)"</formula>
    </cfRule>
  </conditionalFormatting>
  <conditionalFormatting sqref="J61:K70 H61:H70">
    <cfRule type="expression" dxfId="663" priority="596" stopIfTrue="1">
      <formula>"esterreur(reference)"</formula>
    </cfRule>
  </conditionalFormatting>
  <conditionalFormatting sqref="H57:H59 J57:K59">
    <cfRule type="expression" dxfId="662" priority="597" stopIfTrue="1">
      <formula>"esterreur(reference)"</formula>
    </cfRule>
  </conditionalFormatting>
  <conditionalFormatting sqref="H60 J60:K60">
    <cfRule type="expression" dxfId="661" priority="598" stopIfTrue="1">
      <formula>"esterreur(reference)"</formula>
    </cfRule>
  </conditionalFormatting>
  <conditionalFormatting sqref="L19 L21:L23">
    <cfRule type="expression" dxfId="660" priority="554" stopIfTrue="1">
      <formula>"esterreur(reference)"</formula>
    </cfRule>
  </conditionalFormatting>
  <conditionalFormatting sqref="K98">
    <cfRule type="expression" dxfId="659" priority="600" stopIfTrue="1">
      <formula>"esterreur(reference)"</formula>
    </cfRule>
  </conditionalFormatting>
  <conditionalFormatting sqref="L331:L347">
    <cfRule type="expression" dxfId="658" priority="380" stopIfTrue="1">
      <formula>"esterreur(reference)"</formula>
    </cfRule>
  </conditionalFormatting>
  <conditionalFormatting sqref="L16:L17">
    <cfRule type="expression" dxfId="657" priority="556" stopIfTrue="1">
      <formula>"esterreur(reference)"</formula>
    </cfRule>
  </conditionalFormatting>
  <conditionalFormatting sqref="L20">
    <cfRule type="expression" dxfId="656" priority="551" stopIfTrue="1">
      <formula>"esterreur(reference)"</formula>
    </cfRule>
  </conditionalFormatting>
  <conditionalFormatting sqref="L325">
    <cfRule type="expression" dxfId="655" priority="385" stopIfTrue="1">
      <formula>"esterreur(reference)"</formula>
    </cfRule>
  </conditionalFormatting>
  <conditionalFormatting sqref="L326">
    <cfRule type="expression" dxfId="654" priority="384" stopIfTrue="1">
      <formula>"esterreur(reference)"</formula>
    </cfRule>
  </conditionalFormatting>
  <conditionalFormatting sqref="L327">
    <cfRule type="expression" dxfId="653" priority="383" stopIfTrue="1">
      <formula>"esterreur(reference)"</formula>
    </cfRule>
  </conditionalFormatting>
  <conditionalFormatting sqref="L328">
    <cfRule type="expression" dxfId="652" priority="382" stopIfTrue="1">
      <formula>"esterreur(reference)"</formula>
    </cfRule>
  </conditionalFormatting>
  <conditionalFormatting sqref="L42">
    <cfRule type="expression" dxfId="651" priority="535" stopIfTrue="1">
      <formula>"esterreur(reference)"</formula>
    </cfRule>
  </conditionalFormatting>
  <conditionalFormatting sqref="L43">
    <cfRule type="expression" dxfId="650" priority="534" stopIfTrue="1">
      <formula>"esterreur(reference)"</formula>
    </cfRule>
  </conditionalFormatting>
  <conditionalFormatting sqref="L44">
    <cfRule type="expression" dxfId="649" priority="533" stopIfTrue="1">
      <formula>"esterreur(reference)"</formula>
    </cfRule>
  </conditionalFormatting>
  <conditionalFormatting sqref="L45:L48">
    <cfRule type="expression" dxfId="648" priority="532" stopIfTrue="1">
      <formula>"esterreur(reference)"</formula>
    </cfRule>
  </conditionalFormatting>
  <conditionalFormatting sqref="L55">
    <cfRule type="expression" dxfId="647" priority="526" stopIfTrue="1">
      <formula>"esterreur(reference)"</formula>
    </cfRule>
  </conditionalFormatting>
  <conditionalFormatting sqref="L56">
    <cfRule type="expression" dxfId="646" priority="525" stopIfTrue="1">
      <formula>"esterreur(reference)"</formula>
    </cfRule>
  </conditionalFormatting>
  <conditionalFormatting sqref="L271">
    <cfRule type="expression" dxfId="645" priority="400" stopIfTrue="1">
      <formula>"esterreur(reference)"</formula>
    </cfRule>
  </conditionalFormatting>
  <conditionalFormatting sqref="L58">
    <cfRule type="expression" dxfId="644" priority="523" stopIfTrue="1">
      <formula>"esterreur(reference)"</formula>
    </cfRule>
  </conditionalFormatting>
  <conditionalFormatting sqref="L61">
    <cfRule type="expression" dxfId="643" priority="520" stopIfTrue="1">
      <formula>"esterreur(reference)"</formula>
    </cfRule>
  </conditionalFormatting>
  <conditionalFormatting sqref="L274">
    <cfRule type="expression" dxfId="642" priority="398" stopIfTrue="1">
      <formula>"esterreur(reference)"</formula>
    </cfRule>
  </conditionalFormatting>
  <conditionalFormatting sqref="L63">
    <cfRule type="expression" dxfId="641" priority="519" stopIfTrue="1">
      <formula>"esterreur(reference)"</formula>
    </cfRule>
  </conditionalFormatting>
  <conditionalFormatting sqref="L62">
    <cfRule type="expression" dxfId="640" priority="518" stopIfTrue="1">
      <formula>"esterreur(reference)"</formula>
    </cfRule>
  </conditionalFormatting>
  <conditionalFormatting sqref="L64">
    <cfRule type="expression" dxfId="639" priority="517" stopIfTrue="1">
      <formula>"esterreur(reference)"</formula>
    </cfRule>
  </conditionalFormatting>
  <conditionalFormatting sqref="L65">
    <cfRule type="expression" dxfId="638" priority="516" stopIfTrue="1">
      <formula>"esterreur(reference)"</formula>
    </cfRule>
  </conditionalFormatting>
  <conditionalFormatting sqref="L69 L66:L67">
    <cfRule type="expression" dxfId="637" priority="515" stopIfTrue="1">
      <formula>"esterreur(reference)"</formula>
    </cfRule>
  </conditionalFormatting>
  <conditionalFormatting sqref="L70">
    <cfRule type="expression" dxfId="636" priority="514" stopIfTrue="1">
      <formula>"esterreur(reference)"</formula>
    </cfRule>
  </conditionalFormatting>
  <conditionalFormatting sqref="L76:L77">
    <cfRule type="expression" dxfId="635" priority="510" stopIfTrue="1">
      <formula>"esterreur(reference)"</formula>
    </cfRule>
  </conditionalFormatting>
  <conditionalFormatting sqref="L78:L81">
    <cfRule type="expression" dxfId="634" priority="509" stopIfTrue="1">
      <formula>"esterreur(reference)"</formula>
    </cfRule>
  </conditionalFormatting>
  <conditionalFormatting sqref="L57">
    <cfRule type="expression" dxfId="633" priority="500" stopIfTrue="1">
      <formula>"esterreur(reference)"</formula>
    </cfRule>
  </conditionalFormatting>
  <conditionalFormatting sqref="L94:L95">
    <cfRule type="expression" dxfId="632" priority="498" stopIfTrue="1">
      <formula>"esterreur(reference)"</formula>
    </cfRule>
  </conditionalFormatting>
  <conditionalFormatting sqref="L98">
    <cfRule type="expression" dxfId="631" priority="497" stopIfTrue="1">
      <formula>"esterreur(reference)"</formula>
    </cfRule>
  </conditionalFormatting>
  <conditionalFormatting sqref="L99">
    <cfRule type="expression" dxfId="630" priority="496" stopIfTrue="1">
      <formula>"esterreur(reference)"</formula>
    </cfRule>
  </conditionalFormatting>
  <conditionalFormatting sqref="L101">
    <cfRule type="expression" dxfId="629" priority="495" stopIfTrue="1">
      <formula>"esterreur(reference)"</formula>
    </cfRule>
  </conditionalFormatting>
  <conditionalFormatting sqref="L102">
    <cfRule type="expression" dxfId="628" priority="494" stopIfTrue="1">
      <formula>"esterreur(reference)"</formula>
    </cfRule>
  </conditionalFormatting>
  <conditionalFormatting sqref="L103">
    <cfRule type="expression" dxfId="627" priority="492" stopIfTrue="1">
      <formula>"esterreur(reference)"</formula>
    </cfRule>
  </conditionalFormatting>
  <conditionalFormatting sqref="L111">
    <cfRule type="expression" dxfId="626" priority="491" stopIfTrue="1">
      <formula>"esterreur(reference)"</formula>
    </cfRule>
  </conditionalFormatting>
  <conditionalFormatting sqref="L112">
    <cfRule type="expression" dxfId="625" priority="490" stopIfTrue="1">
      <formula>"esterreur(reference)"</formula>
    </cfRule>
  </conditionalFormatting>
  <conditionalFormatting sqref="L207">
    <cfRule type="expression" dxfId="624" priority="426" stopIfTrue="1">
      <formula>"esterreur(reference)"</formula>
    </cfRule>
  </conditionalFormatting>
  <conditionalFormatting sqref="L114">
    <cfRule type="expression" dxfId="623" priority="488" stopIfTrue="1">
      <formula>"esterreur(reference)"</formula>
    </cfRule>
  </conditionalFormatting>
  <conditionalFormatting sqref="L227">
    <cfRule type="expression" dxfId="622" priority="422" stopIfTrue="1">
      <formula>"esterreur(reference)"</formula>
    </cfRule>
  </conditionalFormatting>
  <conditionalFormatting sqref="L116:L119">
    <cfRule type="expression" dxfId="621" priority="486" stopIfTrue="1">
      <formula>"esterreur(reference)"</formula>
    </cfRule>
  </conditionalFormatting>
  <conditionalFormatting sqref="L120">
    <cfRule type="expression" dxfId="620" priority="485" stopIfTrue="1">
      <formula>"esterreur(reference)"</formula>
    </cfRule>
  </conditionalFormatting>
  <conditionalFormatting sqref="L130">
    <cfRule type="expression" dxfId="619" priority="473" stopIfTrue="1">
      <formula>"esterreur(reference)"</formula>
    </cfRule>
  </conditionalFormatting>
  <conditionalFormatting sqref="L124">
    <cfRule type="expression" dxfId="618" priority="480" stopIfTrue="1">
      <formula>"esterreur(reference)"</formula>
    </cfRule>
  </conditionalFormatting>
  <conditionalFormatting sqref="L123">
    <cfRule type="expression" dxfId="617" priority="478" stopIfTrue="1">
      <formula>"esterreur(reference)"</formula>
    </cfRule>
  </conditionalFormatting>
  <conditionalFormatting sqref="L138">
    <cfRule type="expression" dxfId="616" priority="466" stopIfTrue="1">
      <formula>"esterreur(reference)"</formula>
    </cfRule>
  </conditionalFormatting>
  <conditionalFormatting sqref="L131">
    <cfRule type="expression" dxfId="615" priority="472" stopIfTrue="1">
      <formula>"esterreur(reference)"</formula>
    </cfRule>
  </conditionalFormatting>
  <conditionalFormatting sqref="L132">
    <cfRule type="expression" dxfId="614" priority="471" stopIfTrue="1">
      <formula>"esterreur(reference)"</formula>
    </cfRule>
  </conditionalFormatting>
  <conditionalFormatting sqref="L133">
    <cfRule type="expression" dxfId="613" priority="470" stopIfTrue="1">
      <formula>"esterreur(reference)"</formula>
    </cfRule>
  </conditionalFormatting>
  <conditionalFormatting sqref="L139">
    <cfRule type="expression" dxfId="612" priority="465" stopIfTrue="1">
      <formula>"esterreur(reference)"</formula>
    </cfRule>
  </conditionalFormatting>
  <conditionalFormatting sqref="L136">
    <cfRule type="expression" dxfId="611" priority="468" stopIfTrue="1">
      <formula>"esterreur(reference)"</formula>
    </cfRule>
  </conditionalFormatting>
  <conditionalFormatting sqref="L137">
    <cfRule type="expression" dxfId="610" priority="467" stopIfTrue="1">
      <formula>"esterreur(reference)"</formula>
    </cfRule>
  </conditionalFormatting>
  <conditionalFormatting sqref="L140">
    <cfRule type="expression" dxfId="609" priority="464" stopIfTrue="1">
      <formula>"esterreur(reference)"</formula>
    </cfRule>
  </conditionalFormatting>
  <conditionalFormatting sqref="L141">
    <cfRule type="expression" dxfId="608" priority="463" stopIfTrue="1">
      <formula>"esterreur(reference)"</formula>
    </cfRule>
  </conditionalFormatting>
  <conditionalFormatting sqref="L142">
    <cfRule type="expression" dxfId="607" priority="462" stopIfTrue="1">
      <formula>"esterreur(reference)"</formula>
    </cfRule>
  </conditionalFormatting>
  <conditionalFormatting sqref="L143">
    <cfRule type="expression" dxfId="606" priority="461" stopIfTrue="1">
      <formula>"esterreur(reference)"</formula>
    </cfRule>
  </conditionalFormatting>
  <conditionalFormatting sqref="L144">
    <cfRule type="expression" dxfId="605" priority="460" stopIfTrue="1">
      <formula>"esterreur(reference)"</formula>
    </cfRule>
  </conditionalFormatting>
  <conditionalFormatting sqref="L145">
    <cfRule type="expression" dxfId="604" priority="459" stopIfTrue="1">
      <formula>"esterreur(reference)"</formula>
    </cfRule>
  </conditionalFormatting>
  <conditionalFormatting sqref="L146">
    <cfRule type="expression" dxfId="603" priority="458" stopIfTrue="1">
      <formula>"esterreur(reference)"</formula>
    </cfRule>
  </conditionalFormatting>
  <conditionalFormatting sqref="L147">
    <cfRule type="expression" dxfId="602" priority="457" stopIfTrue="1">
      <formula>"esterreur(reference)"</formula>
    </cfRule>
  </conditionalFormatting>
  <conditionalFormatting sqref="L155">
    <cfRule type="expression" dxfId="601" priority="452" stopIfTrue="1">
      <formula>"esterreur(reference)"</formula>
    </cfRule>
  </conditionalFormatting>
  <conditionalFormatting sqref="L157">
    <cfRule type="expression" dxfId="600" priority="450" stopIfTrue="1">
      <formula>"esterreur(reference)"</formula>
    </cfRule>
  </conditionalFormatting>
  <conditionalFormatting sqref="L156">
    <cfRule type="expression" dxfId="599" priority="451" stopIfTrue="1">
      <formula>"esterreur(reference)"</formula>
    </cfRule>
  </conditionalFormatting>
  <conditionalFormatting sqref="L115">
    <cfRule type="expression" dxfId="598" priority="443" stopIfTrue="1">
      <formula>"esterreur(reference)"</formula>
    </cfRule>
  </conditionalFormatting>
  <conditionalFormatting sqref="L113">
    <cfRule type="expression" dxfId="597" priority="442" stopIfTrue="1">
      <formula>"esterreur(reference)"</formula>
    </cfRule>
  </conditionalFormatting>
  <conditionalFormatting sqref="L171">
    <cfRule type="expression" dxfId="596" priority="441" stopIfTrue="1">
      <formula>"esterreur(reference)"</formula>
    </cfRule>
  </conditionalFormatting>
  <conditionalFormatting sqref="L174">
    <cfRule type="expression" dxfId="595" priority="440" stopIfTrue="1">
      <formula>"esterreur(reference)"</formula>
    </cfRule>
  </conditionalFormatting>
  <conditionalFormatting sqref="L177">
    <cfRule type="expression" dxfId="594" priority="439" stopIfTrue="1">
      <formula>"esterreur(reference)"</formula>
    </cfRule>
  </conditionalFormatting>
  <conditionalFormatting sqref="L187">
    <cfRule type="expression" dxfId="593" priority="436" stopIfTrue="1">
      <formula>"esterreur(reference)"</formula>
    </cfRule>
  </conditionalFormatting>
  <conditionalFormatting sqref="L197">
    <cfRule type="expression" dxfId="592" priority="435" stopIfTrue="1">
      <formula>"esterreur(reference)"</formula>
    </cfRule>
  </conditionalFormatting>
  <conditionalFormatting sqref="L199">
    <cfRule type="expression" dxfId="591" priority="434" stopIfTrue="1">
      <formula>"esterreur(reference)"</formula>
    </cfRule>
  </conditionalFormatting>
  <conditionalFormatting sqref="L198">
    <cfRule type="expression" dxfId="590" priority="433" stopIfTrue="1">
      <formula>"esterreur(reference)"</formula>
    </cfRule>
  </conditionalFormatting>
  <conditionalFormatting sqref="L200">
    <cfRule type="expression" dxfId="589" priority="432" stopIfTrue="1">
      <formula>"esterreur(reference)"</formula>
    </cfRule>
  </conditionalFormatting>
  <conditionalFormatting sqref="L201">
    <cfRule type="expression" dxfId="588" priority="431" stopIfTrue="1">
      <formula>"esterreur(reference)"</formula>
    </cfRule>
  </conditionalFormatting>
  <conditionalFormatting sqref="L202:L204">
    <cfRule type="expression" dxfId="587" priority="430" stopIfTrue="1">
      <formula>"esterreur(reference)"</formula>
    </cfRule>
  </conditionalFormatting>
  <conditionalFormatting sqref="L206">
    <cfRule type="expression" dxfId="586" priority="427" stopIfTrue="1">
      <formula>"esterreur(reference)"</formula>
    </cfRule>
  </conditionalFormatting>
  <conditionalFormatting sqref="L205">
    <cfRule type="expression" dxfId="585" priority="428" stopIfTrue="1">
      <formula>"esterreur(reference)"</formula>
    </cfRule>
  </conditionalFormatting>
  <conditionalFormatting sqref="L208">
    <cfRule type="expression" dxfId="584" priority="425" stopIfTrue="1">
      <formula>"esterreur(reference)"</formula>
    </cfRule>
  </conditionalFormatting>
  <conditionalFormatting sqref="L211:L224">
    <cfRule type="expression" dxfId="583" priority="424" stopIfTrue="1">
      <formula>"esterreur(reference)"</formula>
    </cfRule>
  </conditionalFormatting>
  <conditionalFormatting sqref="L225:L226">
    <cfRule type="expression" dxfId="582" priority="423" stopIfTrue="1">
      <formula>"esterreur(reference)"</formula>
    </cfRule>
  </conditionalFormatting>
  <conditionalFormatting sqref="L180">
    <cfRule type="expression" dxfId="581" priority="420" stopIfTrue="1">
      <formula>"esterreur(reference)"</formula>
    </cfRule>
  </conditionalFormatting>
  <conditionalFormatting sqref="L243">
    <cfRule type="expression" dxfId="580" priority="418" stopIfTrue="1">
      <formula>"esterreur(reference)"</formula>
    </cfRule>
  </conditionalFormatting>
  <conditionalFormatting sqref="L246">
    <cfRule type="expression" dxfId="579" priority="417" stopIfTrue="1">
      <formula>"esterreur(reference)"</formula>
    </cfRule>
  </conditionalFormatting>
  <conditionalFormatting sqref="L253">
    <cfRule type="expression" dxfId="578" priority="416" stopIfTrue="1">
      <formula>"esterreur(reference)"</formula>
    </cfRule>
  </conditionalFormatting>
  <conditionalFormatting sqref="L254">
    <cfRule type="expression" dxfId="577" priority="415" stopIfTrue="1">
      <formula>"esterreur(reference)"</formula>
    </cfRule>
  </conditionalFormatting>
  <conditionalFormatting sqref="L255">
    <cfRule type="expression" dxfId="576" priority="414" stopIfTrue="1">
      <formula>"esterreur(reference)"</formula>
    </cfRule>
  </conditionalFormatting>
  <conditionalFormatting sqref="L256">
    <cfRule type="expression" dxfId="575" priority="413" stopIfTrue="1">
      <formula>"esterreur(reference)"</formula>
    </cfRule>
  </conditionalFormatting>
  <conditionalFormatting sqref="L257">
    <cfRule type="expression" dxfId="574" priority="412" stopIfTrue="1">
      <formula>"esterreur(reference)"</formula>
    </cfRule>
  </conditionalFormatting>
  <conditionalFormatting sqref="L258">
    <cfRule type="expression" dxfId="573" priority="411" stopIfTrue="1">
      <formula>"esterreur(reference)"</formula>
    </cfRule>
  </conditionalFormatting>
  <conditionalFormatting sqref="L259">
    <cfRule type="expression" dxfId="572" priority="410" stopIfTrue="1">
      <formula>"esterreur(reference)"</formula>
    </cfRule>
  </conditionalFormatting>
  <conditionalFormatting sqref="L260">
    <cfRule type="expression" dxfId="571" priority="409" stopIfTrue="1">
      <formula>"esterreur(reference)"</formula>
    </cfRule>
  </conditionalFormatting>
  <conditionalFormatting sqref="L261">
    <cfRule type="expression" dxfId="570" priority="408" stopIfTrue="1">
      <formula>"esterreur(reference)"</formula>
    </cfRule>
  </conditionalFormatting>
  <conditionalFormatting sqref="L262">
    <cfRule type="expression" dxfId="569" priority="407" stopIfTrue="1">
      <formula>"esterreur(reference)"</formula>
    </cfRule>
  </conditionalFormatting>
  <conditionalFormatting sqref="L263:L264">
    <cfRule type="expression" dxfId="568" priority="406" stopIfTrue="1">
      <formula>"esterreur(reference)"</formula>
    </cfRule>
  </conditionalFormatting>
  <conditionalFormatting sqref="L268">
    <cfRule type="expression" dxfId="567" priority="403" stopIfTrue="1">
      <formula>"esterreur(reference)"</formula>
    </cfRule>
  </conditionalFormatting>
  <conditionalFormatting sqref="L267">
    <cfRule type="expression" dxfId="566" priority="404" stopIfTrue="1">
      <formula>"esterreur(reference)"</formula>
    </cfRule>
  </conditionalFormatting>
  <conditionalFormatting sqref="L269">
    <cfRule type="expression" dxfId="565" priority="402" stopIfTrue="1">
      <formula>"esterreur(reference)"</formula>
    </cfRule>
  </conditionalFormatting>
  <conditionalFormatting sqref="L270">
    <cfRule type="expression" dxfId="564" priority="401" stopIfTrue="1">
      <formula>"esterreur(reference)"</formula>
    </cfRule>
  </conditionalFormatting>
  <conditionalFormatting sqref="L272:L273">
    <cfRule type="expression" dxfId="563" priority="399" stopIfTrue="1">
      <formula>"esterreur(reference)"</formula>
    </cfRule>
  </conditionalFormatting>
  <conditionalFormatting sqref="L294:L300">
    <cfRule type="expression" dxfId="562" priority="394" stopIfTrue="1">
      <formula>"esterreur(reference)"</formula>
    </cfRule>
  </conditionalFormatting>
  <conditionalFormatting sqref="L301">
    <cfRule type="expression" dxfId="561" priority="393" stopIfTrue="1">
      <formula>"esterreur(reference)"</formula>
    </cfRule>
  </conditionalFormatting>
  <conditionalFormatting sqref="L302">
    <cfRule type="expression" dxfId="560" priority="392" stopIfTrue="1">
      <formula>"esterreur(reference)"</formula>
    </cfRule>
  </conditionalFormatting>
  <conditionalFormatting sqref="L306">
    <cfRule type="expression" dxfId="559" priority="391" stopIfTrue="1">
      <formula>"esterreur(reference)"</formula>
    </cfRule>
  </conditionalFormatting>
  <conditionalFormatting sqref="L307">
    <cfRule type="expression" dxfId="558" priority="390" stopIfTrue="1">
      <formula>"esterreur(reference)"</formula>
    </cfRule>
  </conditionalFormatting>
  <conditionalFormatting sqref="L311">
    <cfRule type="expression" dxfId="557" priority="389" stopIfTrue="1">
      <formula>"esterreur(reference)"</formula>
    </cfRule>
  </conditionalFormatting>
  <conditionalFormatting sqref="L317">
    <cfRule type="expression" dxfId="556" priority="388" stopIfTrue="1">
      <formula>"esterreur(reference)"</formula>
    </cfRule>
  </conditionalFormatting>
  <conditionalFormatting sqref="L318">
    <cfRule type="expression" dxfId="555" priority="387" stopIfTrue="1">
      <formula>"esterreur(reference)"</formula>
    </cfRule>
  </conditionalFormatting>
  <conditionalFormatting sqref="K5">
    <cfRule type="expression" dxfId="554" priority="378" stopIfTrue="1">
      <formula>"esterreur(reference)"</formula>
    </cfRule>
  </conditionalFormatting>
  <conditionalFormatting sqref="L5">
    <cfRule type="expression" dxfId="553" priority="376" stopIfTrue="1">
      <formula>"esterreur(reference)"</formula>
    </cfRule>
  </conditionalFormatting>
  <conditionalFormatting sqref="K182">
    <cfRule type="expression" dxfId="552" priority="367" stopIfTrue="1">
      <formula>"esterreur(reference)"</formula>
    </cfRule>
  </conditionalFormatting>
  <conditionalFormatting sqref="L93">
    <cfRule type="expression" dxfId="551" priority="348" stopIfTrue="1">
      <formula>"esterreur(reference)"</formula>
    </cfRule>
  </conditionalFormatting>
  <conditionalFormatting sqref="K171">
    <cfRule type="expression" dxfId="550" priority="346" stopIfTrue="1">
      <formula>"esterreur(reference)"</formula>
    </cfRule>
  </conditionalFormatting>
  <conditionalFormatting sqref="K174">
    <cfRule type="expression" dxfId="549" priority="345" stopIfTrue="1">
      <formula>"esterreur(reference)"</formula>
    </cfRule>
  </conditionalFormatting>
  <conditionalFormatting sqref="K177">
    <cfRule type="expression" dxfId="548" priority="344" stopIfTrue="1">
      <formula>"esterreur(reference)"</formula>
    </cfRule>
  </conditionalFormatting>
  <conditionalFormatting sqref="K180">
    <cfRule type="expression" dxfId="547" priority="342" stopIfTrue="1">
      <formula>"esterreur(reference)"</formula>
    </cfRule>
  </conditionalFormatting>
  <conditionalFormatting sqref="K240">
    <cfRule type="expression" dxfId="546" priority="338" stopIfTrue="1">
      <formula>"esterreur(reference)"</formula>
    </cfRule>
  </conditionalFormatting>
  <conditionalFormatting sqref="K243">
    <cfRule type="expression" dxfId="545" priority="337" stopIfTrue="1">
      <formula>"esterreur(reference)"</formula>
    </cfRule>
  </conditionalFormatting>
  <conditionalFormatting sqref="K246">
    <cfRule type="expression" dxfId="544" priority="335" stopIfTrue="1">
      <formula>"esterreur(reference)"</formula>
    </cfRule>
  </conditionalFormatting>
  <conditionalFormatting sqref="J306:J307">
    <cfRule type="expression" dxfId="543" priority="333" stopIfTrue="1">
      <formula>"esterreur(reference)"</formula>
    </cfRule>
  </conditionalFormatting>
  <conditionalFormatting sqref="K187">
    <cfRule type="expression" dxfId="542" priority="329" stopIfTrue="1">
      <formula>"esterreur(reference)"</formula>
    </cfRule>
  </conditionalFormatting>
  <conditionalFormatting sqref="K190">
    <cfRule type="expression" dxfId="541" priority="327" stopIfTrue="1">
      <formula>"esterreur(reference)"</formula>
    </cfRule>
  </conditionalFormatting>
  <conditionalFormatting sqref="J311">
    <cfRule type="expression" dxfId="540" priority="326" stopIfTrue="1">
      <formula>"esterreur(reference)"</formula>
    </cfRule>
  </conditionalFormatting>
  <conditionalFormatting sqref="L364:L375">
    <cfRule type="expression" dxfId="539" priority="320" stopIfTrue="1">
      <formula>"esterreur(reference)"</formula>
    </cfRule>
  </conditionalFormatting>
  <conditionalFormatting sqref="L377:L393">
    <cfRule type="expression" dxfId="538" priority="318" stopIfTrue="1">
      <formula>"esterreur(reference)"</formula>
    </cfRule>
  </conditionalFormatting>
  <conditionalFormatting sqref="K93">
    <cfRule type="expression" dxfId="537" priority="317" stopIfTrue="1">
      <formula>"esterreur(reference)"</formula>
    </cfRule>
  </conditionalFormatting>
  <conditionalFormatting sqref="L240">
    <cfRule type="expression" dxfId="536" priority="314" stopIfTrue="1">
      <formula>"esterreur(reference)"</formula>
    </cfRule>
  </conditionalFormatting>
  <conditionalFormatting sqref="K239">
    <cfRule type="expression" dxfId="535" priority="311" stopIfTrue="1">
      <formula>"esterreur(reference)"</formula>
    </cfRule>
  </conditionalFormatting>
  <conditionalFormatting sqref="L239">
    <cfRule type="expression" dxfId="534" priority="309" stopIfTrue="1">
      <formula>"esterreur(reference)"</formula>
    </cfRule>
  </conditionalFormatting>
  <conditionalFormatting sqref="F183">
    <cfRule type="expression" dxfId="533" priority="308" stopIfTrue="1">
      <formula>"esterreur(reference)"</formula>
    </cfRule>
  </conditionalFormatting>
  <conditionalFormatting sqref="J359">
    <cfRule type="expression" dxfId="532" priority="306" stopIfTrue="1">
      <formula>"esterreur(reference)"</formula>
    </cfRule>
  </conditionalFormatting>
  <conditionalFormatting sqref="L359">
    <cfRule type="expression" dxfId="531" priority="304" stopIfTrue="1">
      <formula>"esterreur(reference)"</formula>
    </cfRule>
  </conditionalFormatting>
  <conditionalFormatting sqref="S185">
    <cfRule type="expression" dxfId="530" priority="302" stopIfTrue="1">
      <formula>"esterreur(reference)"</formula>
    </cfRule>
  </conditionalFormatting>
  <conditionalFormatting sqref="K286">
    <cfRule type="expression" dxfId="529" priority="296" stopIfTrue="1">
      <formula>"esterreur(reference)"</formula>
    </cfRule>
  </conditionalFormatting>
  <conditionalFormatting sqref="AO408:AO413">
    <cfRule type="cellIs" dxfId="528" priority="248" operator="greaterThan">
      <formula>0</formula>
    </cfRule>
  </conditionalFormatting>
  <conditionalFormatting sqref="L71">
    <cfRule type="expression" dxfId="527" priority="247" stopIfTrue="1">
      <formula>"esterreur(reference)"</formula>
    </cfRule>
  </conditionalFormatting>
  <conditionalFormatting sqref="L210">
    <cfRule type="expression" dxfId="526" priority="241" stopIfTrue="1">
      <formula>"esterreur(reference)"</formula>
    </cfRule>
  </conditionalFormatting>
  <conditionalFormatting sqref="L122">
    <cfRule type="expression" dxfId="525" priority="245" stopIfTrue="1">
      <formula>"esterreur(reference)"</formula>
    </cfRule>
  </conditionalFormatting>
  <conditionalFormatting sqref="L266">
    <cfRule type="expression" dxfId="524" priority="239" stopIfTrue="1">
      <formula>"esterreur(reference)"</formula>
    </cfRule>
  </conditionalFormatting>
  <conditionalFormatting sqref="L135">
    <cfRule type="expression" dxfId="523" priority="243" stopIfTrue="1">
      <formula>"esterreur(reference)"</formula>
    </cfRule>
  </conditionalFormatting>
  <conditionalFormatting sqref="L330">
    <cfRule type="expression" dxfId="522" priority="237" stopIfTrue="1">
      <formula>"esterreur(reference)"</formula>
    </cfRule>
  </conditionalFormatting>
  <conditionalFormatting sqref="L75">
    <cfRule type="expression" dxfId="521" priority="235" stopIfTrue="1">
      <formula>"esterreur(reference)"</formula>
    </cfRule>
  </conditionalFormatting>
  <conditionalFormatting sqref="L60">
    <cfRule type="expression" dxfId="520" priority="233" stopIfTrue="1">
      <formula>"esterreur(reference)"</formula>
    </cfRule>
  </conditionalFormatting>
  <conditionalFormatting sqref="L59">
    <cfRule type="expression" dxfId="519" priority="234" stopIfTrue="1">
      <formula>"esterreur(reference)"</formula>
    </cfRule>
  </conditionalFormatting>
  <conditionalFormatting sqref="F5">
    <cfRule type="expression" dxfId="518" priority="232" stopIfTrue="1">
      <formula>"esterreur(reference)"</formula>
    </cfRule>
  </conditionalFormatting>
  <conditionalFormatting sqref="O25:Q30 Q18 O83:Q85 O41:Q41 O72:Q72 Q24 O13:O14 O16 O18:O24 O49:Q54 Q6:Q14 O31:P40 O42:P48">
    <cfRule type="expression" dxfId="517" priority="227" stopIfTrue="1">
      <formula>"esterreur(reference)"</formula>
    </cfRule>
  </conditionalFormatting>
  <conditionalFormatting sqref="P5">
    <cfRule type="expression" dxfId="516" priority="201" stopIfTrue="1">
      <formula>"esterreur(reference)"</formula>
    </cfRule>
  </conditionalFormatting>
  <conditionalFormatting sqref="Q32">
    <cfRule type="expression" dxfId="515" priority="222" stopIfTrue="1">
      <formula>"esterreur(reference)"</formula>
    </cfRule>
  </conditionalFormatting>
  <conditionalFormatting sqref="Q35">
    <cfRule type="expression" dxfId="514" priority="221" stopIfTrue="1">
      <formula>"esterreur(reference)"</formula>
    </cfRule>
  </conditionalFormatting>
  <conditionalFormatting sqref="O55:P56 O71:P71">
    <cfRule type="expression" dxfId="513" priority="228" stopIfTrue="1">
      <formula>"esterreur(reference)"</formula>
    </cfRule>
  </conditionalFormatting>
  <conditionalFormatting sqref="O61:P70">
    <cfRule type="expression" dxfId="512" priority="229" stopIfTrue="1">
      <formula>"esterreur(reference)"</formula>
    </cfRule>
  </conditionalFormatting>
  <conditionalFormatting sqref="O57:P59">
    <cfRule type="expression" dxfId="511" priority="230" stopIfTrue="1">
      <formula>"esterreur(reference)"</formula>
    </cfRule>
  </conditionalFormatting>
  <conditionalFormatting sqref="O60:P60">
    <cfRule type="expression" dxfId="510" priority="231" stopIfTrue="1">
      <formula>"esterreur(reference)"</formula>
    </cfRule>
  </conditionalFormatting>
  <conditionalFormatting sqref="Q19 Q21:Q23">
    <cfRule type="expression" dxfId="509" priority="225" stopIfTrue="1">
      <formula>"esterreur(reference)"</formula>
    </cfRule>
  </conditionalFormatting>
  <conditionalFormatting sqref="Q16:Q17">
    <cfRule type="expression" dxfId="508" priority="226" stopIfTrue="1">
      <formula>"esterreur(reference)"</formula>
    </cfRule>
  </conditionalFormatting>
  <conditionalFormatting sqref="Q20">
    <cfRule type="expression" dxfId="507" priority="224" stopIfTrue="1">
      <formula>"esterreur(reference)"</formula>
    </cfRule>
  </conditionalFormatting>
  <conditionalFormatting sqref="Q31 Q33:Q34">
    <cfRule type="expression" dxfId="506" priority="223" stopIfTrue="1">
      <formula>"esterreur(reference)"</formula>
    </cfRule>
  </conditionalFormatting>
  <conditionalFormatting sqref="Q42">
    <cfRule type="expression" dxfId="505" priority="219" stopIfTrue="1">
      <formula>"esterreur(reference)"</formula>
    </cfRule>
  </conditionalFormatting>
  <conditionalFormatting sqref="Q43">
    <cfRule type="expression" dxfId="504" priority="218" stopIfTrue="1">
      <formula>"esterreur(reference)"</formula>
    </cfRule>
  </conditionalFormatting>
  <conditionalFormatting sqref="Q44">
    <cfRule type="expression" dxfId="503" priority="217" stopIfTrue="1">
      <formula>"esterreur(reference)"</formula>
    </cfRule>
  </conditionalFormatting>
  <conditionalFormatting sqref="Q45:Q48">
    <cfRule type="expression" dxfId="502" priority="216" stopIfTrue="1">
      <formula>"esterreur(reference)"</formula>
    </cfRule>
  </conditionalFormatting>
  <conditionalFormatting sqref="Q55">
    <cfRule type="expression" dxfId="501" priority="215" stopIfTrue="1">
      <formula>"esterreur(reference)"</formula>
    </cfRule>
  </conditionalFormatting>
  <conditionalFormatting sqref="Q56">
    <cfRule type="expression" dxfId="500" priority="214" stopIfTrue="1">
      <formula>"esterreur(reference)"</formula>
    </cfRule>
  </conditionalFormatting>
  <conditionalFormatting sqref="Q58">
    <cfRule type="expression" dxfId="499" priority="213" stopIfTrue="1">
      <formula>"esterreur(reference)"</formula>
    </cfRule>
  </conditionalFormatting>
  <conditionalFormatting sqref="Q61">
    <cfRule type="expression" dxfId="498" priority="212" stopIfTrue="1">
      <formula>"esterreur(reference)"</formula>
    </cfRule>
  </conditionalFormatting>
  <conditionalFormatting sqref="Q63">
    <cfRule type="expression" dxfId="497" priority="211" stopIfTrue="1">
      <formula>"esterreur(reference)"</formula>
    </cfRule>
  </conditionalFormatting>
  <conditionalFormatting sqref="Q62">
    <cfRule type="expression" dxfId="496" priority="210" stopIfTrue="1">
      <formula>"esterreur(reference)"</formula>
    </cfRule>
  </conditionalFormatting>
  <conditionalFormatting sqref="Q64">
    <cfRule type="expression" dxfId="495" priority="209" stopIfTrue="1">
      <formula>"esterreur(reference)"</formula>
    </cfRule>
  </conditionalFormatting>
  <conditionalFormatting sqref="Q65">
    <cfRule type="expression" dxfId="494" priority="208" stopIfTrue="1">
      <formula>"esterreur(reference)"</formula>
    </cfRule>
  </conditionalFormatting>
  <conditionalFormatting sqref="Q66:Q69">
    <cfRule type="expression" dxfId="493" priority="207" stopIfTrue="1">
      <formula>"esterreur(reference)"</formula>
    </cfRule>
  </conditionalFormatting>
  <conditionalFormatting sqref="Q70">
    <cfRule type="expression" dxfId="492" priority="206" stopIfTrue="1">
      <formula>"esterreur(reference)"</formula>
    </cfRule>
  </conditionalFormatting>
  <conditionalFormatting sqref="Q75:Q82">
    <cfRule type="expression" dxfId="491" priority="205" stopIfTrue="1">
      <formula>"esterreur(reference)"</formula>
    </cfRule>
  </conditionalFormatting>
  <conditionalFormatting sqref="Q57">
    <cfRule type="expression" dxfId="490" priority="202" stopIfTrue="1">
      <formula>"esterreur(reference)"</formula>
    </cfRule>
  </conditionalFormatting>
  <conditionalFormatting sqref="Q5">
    <cfRule type="expression" dxfId="489" priority="200" stopIfTrue="1">
      <formula>"esterreur(reference)"</formula>
    </cfRule>
  </conditionalFormatting>
  <conditionalFormatting sqref="Q71">
    <cfRule type="expression" dxfId="488" priority="199" stopIfTrue="1">
      <formula>"esterreur(reference)"</formula>
    </cfRule>
  </conditionalFormatting>
  <conditionalFormatting sqref="Q60">
    <cfRule type="expression" dxfId="487" priority="196" stopIfTrue="1">
      <formula>"esterreur(reference)"</formula>
    </cfRule>
  </conditionalFormatting>
  <conditionalFormatting sqref="P98">
    <cfRule type="expression" dxfId="486" priority="195" stopIfTrue="1">
      <formula>"esterreur(reference)"</formula>
    </cfRule>
  </conditionalFormatting>
  <conditionalFormatting sqref="Q59">
    <cfRule type="expression" dxfId="485" priority="197" stopIfTrue="1">
      <formula>"esterreur(reference)"</formula>
    </cfRule>
  </conditionalFormatting>
  <conditionalFormatting sqref="O163:Q163 O164:P164 O121:Q121 O152:Q152 O96:Q97 O100:Q100 P94:P95 O104:Q110 P99 O134:Q134 O101:P103 O135:P136 O155:P156 O111:P120">
    <cfRule type="expression" dxfId="484" priority="191" stopIfTrue="1">
      <formula>"esterreur(reference)"</formula>
    </cfRule>
  </conditionalFormatting>
  <conditionalFormatting sqref="O141:P147">
    <cfRule type="expression" dxfId="483" priority="192" stopIfTrue="1">
      <formula>"esterreur(reference)"</formula>
    </cfRule>
  </conditionalFormatting>
  <conditionalFormatting sqref="O137:P139">
    <cfRule type="expression" dxfId="482" priority="193" stopIfTrue="1">
      <formula>"esterreur(reference)"</formula>
    </cfRule>
  </conditionalFormatting>
  <conditionalFormatting sqref="O140:P140">
    <cfRule type="expression" dxfId="481" priority="194" stopIfTrue="1">
      <formula>"esterreur(reference)"</formula>
    </cfRule>
  </conditionalFormatting>
  <conditionalFormatting sqref="Q94:Q95">
    <cfRule type="expression" dxfId="480" priority="190" stopIfTrue="1">
      <formula>"esterreur(reference)"</formula>
    </cfRule>
  </conditionalFormatting>
  <conditionalFormatting sqref="Q98">
    <cfRule type="expression" dxfId="479" priority="189" stopIfTrue="1">
      <formula>"esterreur(reference)"</formula>
    </cfRule>
  </conditionalFormatting>
  <conditionalFormatting sqref="Q99">
    <cfRule type="expression" dxfId="478" priority="188" stopIfTrue="1">
      <formula>"esterreur(reference)"</formula>
    </cfRule>
  </conditionalFormatting>
  <conditionalFormatting sqref="Q101">
    <cfRule type="expression" dxfId="477" priority="187" stopIfTrue="1">
      <formula>"esterreur(reference)"</formula>
    </cfRule>
  </conditionalFormatting>
  <conditionalFormatting sqref="Q102">
    <cfRule type="expression" dxfId="476" priority="186" stopIfTrue="1">
      <formula>"esterreur(reference)"</formula>
    </cfRule>
  </conditionalFormatting>
  <conditionalFormatting sqref="Q103">
    <cfRule type="expression" dxfId="475" priority="185" stopIfTrue="1">
      <formula>"esterreur(reference)"</formula>
    </cfRule>
  </conditionalFormatting>
  <conditionalFormatting sqref="Q111">
    <cfRule type="expression" dxfId="474" priority="184" stopIfTrue="1">
      <formula>"esterreur(reference)"</formula>
    </cfRule>
  </conditionalFormatting>
  <conditionalFormatting sqref="Q112">
    <cfRule type="expression" dxfId="473" priority="183" stopIfTrue="1">
      <formula>"esterreur(reference)"</formula>
    </cfRule>
  </conditionalFormatting>
  <conditionalFormatting sqref="Q114">
    <cfRule type="expression" dxfId="472" priority="182" stopIfTrue="1">
      <formula>"esterreur(reference)"</formula>
    </cfRule>
  </conditionalFormatting>
  <conditionalFormatting sqref="Q116:Q119">
    <cfRule type="expression" dxfId="471" priority="181" stopIfTrue="1">
      <formula>"esterreur(reference)"</formula>
    </cfRule>
  </conditionalFormatting>
  <conditionalFormatting sqref="Q120">
    <cfRule type="expression" dxfId="470" priority="180" stopIfTrue="1">
      <formula>"esterreur(reference)"</formula>
    </cfRule>
  </conditionalFormatting>
  <conditionalFormatting sqref="Q130">
    <cfRule type="expression" dxfId="469" priority="175" stopIfTrue="1">
      <formula>"esterreur(reference)"</formula>
    </cfRule>
  </conditionalFormatting>
  <conditionalFormatting sqref="Q124">
    <cfRule type="expression" dxfId="468" priority="179" stopIfTrue="1">
      <formula>"esterreur(reference)"</formula>
    </cfRule>
  </conditionalFormatting>
  <conditionalFormatting sqref="Q123">
    <cfRule type="expression" dxfId="467" priority="177" stopIfTrue="1">
      <formula>"esterreur(reference)"</formula>
    </cfRule>
  </conditionalFormatting>
  <conditionalFormatting sqref="Q139">
    <cfRule type="expression" dxfId="466" priority="168" stopIfTrue="1">
      <formula>"esterreur(reference)"</formula>
    </cfRule>
  </conditionalFormatting>
  <conditionalFormatting sqref="Q131">
    <cfRule type="expression" dxfId="465" priority="174" stopIfTrue="1">
      <formula>"esterreur(reference)"</formula>
    </cfRule>
  </conditionalFormatting>
  <conditionalFormatting sqref="Q132">
    <cfRule type="expression" dxfId="464" priority="173" stopIfTrue="1">
      <formula>"esterreur(reference)"</formula>
    </cfRule>
  </conditionalFormatting>
  <conditionalFormatting sqref="Q133">
    <cfRule type="expression" dxfId="463" priority="172" stopIfTrue="1">
      <formula>"esterreur(reference)"</formula>
    </cfRule>
  </conditionalFormatting>
  <conditionalFormatting sqref="Q141">
    <cfRule type="expression" dxfId="462" priority="166" stopIfTrue="1">
      <formula>"esterreur(reference)"</formula>
    </cfRule>
  </conditionalFormatting>
  <conditionalFormatting sqref="Q136">
    <cfRule type="expression" dxfId="461" priority="171" stopIfTrue="1">
      <formula>"esterreur(reference)"</formula>
    </cfRule>
  </conditionalFormatting>
  <conditionalFormatting sqref="Q137">
    <cfRule type="expression" dxfId="460" priority="170" stopIfTrue="1">
      <formula>"esterreur(reference)"</formula>
    </cfRule>
  </conditionalFormatting>
  <conditionalFormatting sqref="Q138">
    <cfRule type="expression" dxfId="459" priority="169" stopIfTrue="1">
      <formula>"esterreur(reference)"</formula>
    </cfRule>
  </conditionalFormatting>
  <conditionalFormatting sqref="Q143">
    <cfRule type="expression" dxfId="458" priority="164" stopIfTrue="1">
      <formula>"esterreur(reference)"</formula>
    </cfRule>
  </conditionalFormatting>
  <conditionalFormatting sqref="Q140">
    <cfRule type="expression" dxfId="457" priority="167" stopIfTrue="1">
      <formula>"esterreur(reference)"</formula>
    </cfRule>
  </conditionalFormatting>
  <conditionalFormatting sqref="Q142">
    <cfRule type="expression" dxfId="456" priority="165" stopIfTrue="1">
      <formula>"esterreur(reference)"</formula>
    </cfRule>
  </conditionalFormatting>
  <conditionalFormatting sqref="Q144">
    <cfRule type="expression" dxfId="455" priority="163" stopIfTrue="1">
      <formula>"esterreur(reference)"</formula>
    </cfRule>
  </conditionalFormatting>
  <conditionalFormatting sqref="Q145">
    <cfRule type="expression" dxfId="454" priority="162" stopIfTrue="1">
      <formula>"esterreur(reference)"</formula>
    </cfRule>
  </conditionalFormatting>
  <conditionalFormatting sqref="Q146">
    <cfRule type="expression" dxfId="453" priority="161" stopIfTrue="1">
      <formula>"esterreur(reference)"</formula>
    </cfRule>
  </conditionalFormatting>
  <conditionalFormatting sqref="Q147">
    <cfRule type="expression" dxfId="452" priority="160" stopIfTrue="1">
      <formula>"esterreur(reference)"</formula>
    </cfRule>
  </conditionalFormatting>
  <conditionalFormatting sqref="Q113">
    <cfRule type="expression" dxfId="451" priority="153" stopIfTrue="1">
      <formula>"esterreur(reference)"</formula>
    </cfRule>
  </conditionalFormatting>
  <conditionalFormatting sqref="Q155:Q161">
    <cfRule type="expression" dxfId="450" priority="157" stopIfTrue="1">
      <formula>"esterreur(reference)"</formula>
    </cfRule>
  </conditionalFormatting>
  <conditionalFormatting sqref="Q93">
    <cfRule type="expression" dxfId="449" priority="152" stopIfTrue="1">
      <formula>"esterreur(reference)"</formula>
    </cfRule>
  </conditionalFormatting>
  <conditionalFormatting sqref="Q115">
    <cfRule type="expression" dxfId="448" priority="154" stopIfTrue="1">
      <formula>"esterreur(reference)"</formula>
    </cfRule>
  </conditionalFormatting>
  <conditionalFormatting sqref="P93">
    <cfRule type="expression" dxfId="447" priority="151" stopIfTrue="1">
      <formula>"esterreur(reference)"</formula>
    </cfRule>
  </conditionalFormatting>
  <conditionalFormatting sqref="Q122">
    <cfRule type="expression" dxfId="446" priority="150" stopIfTrue="1">
      <formula>"esterreur(reference)"</formula>
    </cfRule>
  </conditionalFormatting>
  <conditionalFormatting sqref="Q135">
    <cfRule type="expression" dxfId="445" priority="149" stopIfTrue="1">
      <formula>"esterreur(reference)"</formula>
    </cfRule>
  </conditionalFormatting>
  <conditionalFormatting sqref="O171:O195 O231:Q231 O232:P232 P172:Q172 P175:Q176 P178:Q179 P181:Q181 P184:Q186 P183 P188:Q189 Q182 P191:Q195 Q190 Q173 O225:P228 O197:P218">
    <cfRule type="expression" dxfId="444" priority="115" stopIfTrue="1">
      <formula>"esterreur(reference)"</formula>
    </cfRule>
  </conditionalFormatting>
  <conditionalFormatting sqref="O219:P224">
    <cfRule type="expression" dxfId="443" priority="116" stopIfTrue="1">
      <formula>"esterreur(reference)"</formula>
    </cfRule>
  </conditionalFormatting>
  <conditionalFormatting sqref="O196:Q196">
    <cfRule type="expression" dxfId="442" priority="117" stopIfTrue="1">
      <formula>"esterreur(reference)"</formula>
    </cfRule>
  </conditionalFormatting>
  <conditionalFormatting sqref="Q207">
    <cfRule type="expression" dxfId="441" priority="100" stopIfTrue="1">
      <formula>"esterreur(reference)"</formula>
    </cfRule>
  </conditionalFormatting>
  <conditionalFormatting sqref="Q227">
    <cfRule type="expression" dxfId="440" priority="96" stopIfTrue="1">
      <formula>"esterreur(reference)"</formula>
    </cfRule>
  </conditionalFormatting>
  <conditionalFormatting sqref="Q171">
    <cfRule type="expression" dxfId="439" priority="114" stopIfTrue="1">
      <formula>"esterreur(reference)"</formula>
    </cfRule>
  </conditionalFormatting>
  <conditionalFormatting sqref="Q174">
    <cfRule type="expression" dxfId="438" priority="113" stopIfTrue="1">
      <formula>"esterreur(reference)"</formula>
    </cfRule>
  </conditionalFormatting>
  <conditionalFormatting sqref="Q177">
    <cfRule type="expression" dxfId="437" priority="112" stopIfTrue="1">
      <formula>"esterreur(reference)"</formula>
    </cfRule>
  </conditionalFormatting>
  <conditionalFormatting sqref="Q183">
    <cfRule type="expression" dxfId="436" priority="111" stopIfTrue="1">
      <formula>"esterreur(reference)"</formula>
    </cfRule>
  </conditionalFormatting>
  <conditionalFormatting sqref="Q187">
    <cfRule type="expression" dxfId="435" priority="110" stopIfTrue="1">
      <formula>"esterreur(reference)"</formula>
    </cfRule>
  </conditionalFormatting>
  <conditionalFormatting sqref="Q197">
    <cfRule type="expression" dxfId="434" priority="109" stopIfTrue="1">
      <formula>"esterreur(reference)"</formula>
    </cfRule>
  </conditionalFormatting>
  <conditionalFormatting sqref="Q199">
    <cfRule type="expression" dxfId="433" priority="108" stopIfTrue="1">
      <formula>"esterreur(reference)"</formula>
    </cfRule>
  </conditionalFormatting>
  <conditionalFormatting sqref="Q198">
    <cfRule type="expression" dxfId="432" priority="107" stopIfTrue="1">
      <formula>"esterreur(reference)"</formula>
    </cfRule>
  </conditionalFormatting>
  <conditionalFormatting sqref="Q200">
    <cfRule type="expression" dxfId="431" priority="106" stopIfTrue="1">
      <formula>"esterreur(reference)"</formula>
    </cfRule>
  </conditionalFormatting>
  <conditionalFormatting sqref="Q201">
    <cfRule type="expression" dxfId="430" priority="105" stopIfTrue="1">
      <formula>"esterreur(reference)"</formula>
    </cfRule>
  </conditionalFormatting>
  <conditionalFormatting sqref="Q202:Q204">
    <cfRule type="expression" dxfId="429" priority="104" stopIfTrue="1">
      <formula>"esterreur(reference)"</formula>
    </cfRule>
  </conditionalFormatting>
  <conditionalFormatting sqref="Q206">
    <cfRule type="expression" dxfId="428" priority="101" stopIfTrue="1">
      <formula>"esterreur(reference)"</formula>
    </cfRule>
  </conditionalFormatting>
  <conditionalFormatting sqref="Q205">
    <cfRule type="expression" dxfId="427" priority="102" stopIfTrue="1">
      <formula>"esterreur(reference)"</formula>
    </cfRule>
  </conditionalFormatting>
  <conditionalFormatting sqref="Q208">
    <cfRule type="expression" dxfId="426" priority="99" stopIfTrue="1">
      <formula>"esterreur(reference)"</formula>
    </cfRule>
  </conditionalFormatting>
  <conditionalFormatting sqref="Q211:Q224">
    <cfRule type="expression" dxfId="425" priority="98" stopIfTrue="1">
      <formula>"esterreur(reference)"</formula>
    </cfRule>
  </conditionalFormatting>
  <conditionalFormatting sqref="Q225:Q226">
    <cfRule type="expression" dxfId="424" priority="97" stopIfTrue="1">
      <formula>"esterreur(reference)"</formula>
    </cfRule>
  </conditionalFormatting>
  <conditionalFormatting sqref="Q180">
    <cfRule type="expression" dxfId="423" priority="95" stopIfTrue="1">
      <formula>"esterreur(reference)"</formula>
    </cfRule>
  </conditionalFormatting>
  <conditionalFormatting sqref="P182">
    <cfRule type="expression" dxfId="422" priority="94" stopIfTrue="1">
      <formula>"esterreur(reference)"</formula>
    </cfRule>
  </conditionalFormatting>
  <conditionalFormatting sqref="P171">
    <cfRule type="expression" dxfId="421" priority="93" stopIfTrue="1">
      <formula>"esterreur(reference)"</formula>
    </cfRule>
  </conditionalFormatting>
  <conditionalFormatting sqref="P174">
    <cfRule type="expression" dxfId="420" priority="92" stopIfTrue="1">
      <formula>"esterreur(reference)"</formula>
    </cfRule>
  </conditionalFormatting>
  <conditionalFormatting sqref="P177">
    <cfRule type="expression" dxfId="419" priority="91" stopIfTrue="1">
      <formula>"esterreur(reference)"</formula>
    </cfRule>
  </conditionalFormatting>
  <conditionalFormatting sqref="P180">
    <cfRule type="expression" dxfId="418" priority="90" stopIfTrue="1">
      <formula>"esterreur(reference)"</formula>
    </cfRule>
  </conditionalFormatting>
  <conditionalFormatting sqref="P187">
    <cfRule type="expression" dxfId="417" priority="89" stopIfTrue="1">
      <formula>"esterreur(reference)"</formula>
    </cfRule>
  </conditionalFormatting>
  <conditionalFormatting sqref="P190">
    <cfRule type="expression" dxfId="416" priority="88" stopIfTrue="1">
      <formula>"esterreur(reference)"</formula>
    </cfRule>
  </conditionalFormatting>
  <conditionalFormatting sqref="Q210">
    <cfRule type="expression" dxfId="415" priority="87" stopIfTrue="1">
      <formula>"esterreur(reference)"</formula>
    </cfRule>
  </conditionalFormatting>
  <conditionalFormatting sqref="O287:Q287 O288:P288 O242:Q242 O251:Q252 O284:Q284 Q275:Q283 O253:P274">
    <cfRule type="expression" dxfId="414" priority="84" stopIfTrue="1">
      <formula>"esterreur(reference)"</formula>
    </cfRule>
  </conditionalFormatting>
  <conditionalFormatting sqref="O275:P280">
    <cfRule type="expression" dxfId="413" priority="85" stopIfTrue="1">
      <formula>"esterreur(reference)"</formula>
    </cfRule>
  </conditionalFormatting>
  <conditionalFormatting sqref="O281:P283">
    <cfRule type="expression" dxfId="412" priority="86" stopIfTrue="1">
      <formula>"esterreur(reference)"</formula>
    </cfRule>
  </conditionalFormatting>
  <conditionalFormatting sqref="Q271">
    <cfRule type="expression" dxfId="411" priority="66" stopIfTrue="1">
      <formula>"esterreur(reference)"</formula>
    </cfRule>
  </conditionalFormatting>
  <conditionalFormatting sqref="Q274">
    <cfRule type="expression" dxfId="410" priority="64" stopIfTrue="1">
      <formula>"esterreur(reference)"</formula>
    </cfRule>
  </conditionalFormatting>
  <conditionalFormatting sqref="Q243">
    <cfRule type="expression" dxfId="409" priority="83" stopIfTrue="1">
      <formula>"esterreur(reference)"</formula>
    </cfRule>
  </conditionalFormatting>
  <conditionalFormatting sqref="Q246">
    <cfRule type="expression" dxfId="408" priority="82" stopIfTrue="1">
      <formula>"esterreur(reference)"</formula>
    </cfRule>
  </conditionalFormatting>
  <conditionalFormatting sqref="Q253">
    <cfRule type="expression" dxfId="407" priority="81" stopIfTrue="1">
      <formula>"esterreur(reference)"</formula>
    </cfRule>
  </conditionalFormatting>
  <conditionalFormatting sqref="Q254">
    <cfRule type="expression" dxfId="406" priority="80" stopIfTrue="1">
      <formula>"esterreur(reference)"</formula>
    </cfRule>
  </conditionalFormatting>
  <conditionalFormatting sqref="Q255">
    <cfRule type="expression" dxfId="405" priority="79" stopIfTrue="1">
      <formula>"esterreur(reference)"</formula>
    </cfRule>
  </conditionalFormatting>
  <conditionalFormatting sqref="Q256">
    <cfRule type="expression" dxfId="404" priority="78" stopIfTrue="1">
      <formula>"esterreur(reference)"</formula>
    </cfRule>
  </conditionalFormatting>
  <conditionalFormatting sqref="Q257">
    <cfRule type="expression" dxfId="403" priority="77" stopIfTrue="1">
      <formula>"esterreur(reference)"</formula>
    </cfRule>
  </conditionalFormatting>
  <conditionalFormatting sqref="Q258">
    <cfRule type="expression" dxfId="402" priority="76" stopIfTrue="1">
      <formula>"esterreur(reference)"</formula>
    </cfRule>
  </conditionalFormatting>
  <conditionalFormatting sqref="Q259">
    <cfRule type="expression" dxfId="401" priority="75" stopIfTrue="1">
      <formula>"esterreur(reference)"</formula>
    </cfRule>
  </conditionalFormatting>
  <conditionalFormatting sqref="Q260">
    <cfRule type="expression" dxfId="400" priority="74" stopIfTrue="1">
      <formula>"esterreur(reference)"</formula>
    </cfRule>
  </conditionalFormatting>
  <conditionalFormatting sqref="Q261">
    <cfRule type="expression" dxfId="399" priority="73" stopIfTrue="1">
      <formula>"esterreur(reference)"</formula>
    </cfRule>
  </conditionalFormatting>
  <conditionalFormatting sqref="Q262">
    <cfRule type="expression" dxfId="398" priority="72" stopIfTrue="1">
      <formula>"esterreur(reference)"</formula>
    </cfRule>
  </conditionalFormatting>
  <conditionalFormatting sqref="Q263:Q264">
    <cfRule type="expression" dxfId="397" priority="71" stopIfTrue="1">
      <formula>"esterreur(reference)"</formula>
    </cfRule>
  </conditionalFormatting>
  <conditionalFormatting sqref="Q268">
    <cfRule type="expression" dxfId="396" priority="69" stopIfTrue="1">
      <formula>"esterreur(reference)"</formula>
    </cfRule>
  </conditionalFormatting>
  <conditionalFormatting sqref="Q267">
    <cfRule type="expression" dxfId="395" priority="70" stopIfTrue="1">
      <formula>"esterreur(reference)"</formula>
    </cfRule>
  </conditionalFormatting>
  <conditionalFormatting sqref="Q269">
    <cfRule type="expression" dxfId="394" priority="68" stopIfTrue="1">
      <formula>"esterreur(reference)"</formula>
    </cfRule>
  </conditionalFormatting>
  <conditionalFormatting sqref="Q270">
    <cfRule type="expression" dxfId="393" priority="67" stopIfTrue="1">
      <formula>"esterreur(reference)"</formula>
    </cfRule>
  </conditionalFormatting>
  <conditionalFormatting sqref="Q272:Q273">
    <cfRule type="expression" dxfId="392" priority="65" stopIfTrue="1">
      <formula>"esterreur(reference)"</formula>
    </cfRule>
  </conditionalFormatting>
  <conditionalFormatting sqref="P240">
    <cfRule type="expression" dxfId="391" priority="63" stopIfTrue="1">
      <formula>"esterreur(reference)"</formula>
    </cfRule>
  </conditionalFormatting>
  <conditionalFormatting sqref="P243">
    <cfRule type="expression" dxfId="390" priority="62" stopIfTrue="1">
      <formula>"esterreur(reference)"</formula>
    </cfRule>
  </conditionalFormatting>
  <conditionalFormatting sqref="P246">
    <cfRule type="expression" dxfId="389" priority="61" stopIfTrue="1">
      <formula>"esterreur(reference)"</formula>
    </cfRule>
  </conditionalFormatting>
  <conditionalFormatting sqref="Q240">
    <cfRule type="expression" dxfId="388" priority="60" stopIfTrue="1">
      <formula>"esterreur(reference)"</formula>
    </cfRule>
  </conditionalFormatting>
  <conditionalFormatting sqref="P286">
    <cfRule type="expression" dxfId="387" priority="59" stopIfTrue="1">
      <formula>"esterreur(reference)"</formula>
    </cfRule>
  </conditionalFormatting>
  <conditionalFormatting sqref="Q266">
    <cfRule type="expression" dxfId="386" priority="58" stopIfTrue="1">
      <formula>"esterreur(reference)"</formula>
    </cfRule>
  </conditionalFormatting>
  <conditionalFormatting sqref="O308:Q310 O303:Q305 O351:Q351 O352:P352 O348:Q348 O312:Q315 P306:P307 P311 O294:P302 Q319:Q324 O317:P347">
    <cfRule type="expression" dxfId="385" priority="56" stopIfTrue="1">
      <formula>"esterreur(reference)"</formula>
    </cfRule>
  </conditionalFormatting>
  <conditionalFormatting sqref="O316:Q316">
    <cfRule type="expression" dxfId="384" priority="57" stopIfTrue="1">
      <formula>"esterreur(reference)"</formula>
    </cfRule>
  </conditionalFormatting>
  <conditionalFormatting sqref="Q331:Q347">
    <cfRule type="expression" dxfId="383" priority="43" stopIfTrue="1">
      <formula>"esterreur(reference)"</formula>
    </cfRule>
  </conditionalFormatting>
  <conditionalFormatting sqref="Q325">
    <cfRule type="expression" dxfId="382" priority="47" stopIfTrue="1">
      <formula>"esterreur(reference)"</formula>
    </cfRule>
  </conditionalFormatting>
  <conditionalFormatting sqref="Q326">
    <cfRule type="expression" dxfId="381" priority="46" stopIfTrue="1">
      <formula>"esterreur(reference)"</formula>
    </cfRule>
  </conditionalFormatting>
  <conditionalFormatting sqref="Q327">
    <cfRule type="expression" dxfId="380" priority="45" stopIfTrue="1">
      <formula>"esterreur(reference)"</formula>
    </cfRule>
  </conditionalFormatting>
  <conditionalFormatting sqref="Q328">
    <cfRule type="expression" dxfId="379" priority="44" stopIfTrue="1">
      <formula>"esterreur(reference)"</formula>
    </cfRule>
  </conditionalFormatting>
  <conditionalFormatting sqref="Q294:Q300">
    <cfRule type="expression" dxfId="378" priority="55" stopIfTrue="1">
      <formula>"esterreur(reference)"</formula>
    </cfRule>
  </conditionalFormatting>
  <conditionalFormatting sqref="Q301">
    <cfRule type="expression" dxfId="377" priority="54" stopIfTrue="1">
      <formula>"esterreur(reference)"</formula>
    </cfRule>
  </conditionalFormatting>
  <conditionalFormatting sqref="Q302">
    <cfRule type="expression" dxfId="376" priority="53" stopIfTrue="1">
      <formula>"esterreur(reference)"</formula>
    </cfRule>
  </conditionalFormatting>
  <conditionalFormatting sqref="Q306">
    <cfRule type="expression" dxfId="375" priority="52" stopIfTrue="1">
      <formula>"esterreur(reference)"</formula>
    </cfRule>
  </conditionalFormatting>
  <conditionalFormatting sqref="Q307">
    <cfRule type="expression" dxfId="374" priority="51" stopIfTrue="1">
      <formula>"esterreur(reference)"</formula>
    </cfRule>
  </conditionalFormatting>
  <conditionalFormatting sqref="Q311">
    <cfRule type="expression" dxfId="373" priority="50" stopIfTrue="1">
      <formula>"esterreur(reference)"</formula>
    </cfRule>
  </conditionalFormatting>
  <conditionalFormatting sqref="Q317">
    <cfRule type="expression" dxfId="372" priority="49" stopIfTrue="1">
      <formula>"esterreur(reference)"</formula>
    </cfRule>
  </conditionalFormatting>
  <conditionalFormatting sqref="Q318">
    <cfRule type="expression" dxfId="371" priority="48" stopIfTrue="1">
      <formula>"esterreur(reference)"</formula>
    </cfRule>
  </conditionalFormatting>
  <conditionalFormatting sqref="O306:O307">
    <cfRule type="expression" dxfId="370" priority="42" stopIfTrue="1">
      <formula>"esterreur(reference)"</formula>
    </cfRule>
  </conditionalFormatting>
  <conditionalFormatting sqref="O311">
    <cfRule type="expression" dxfId="369" priority="41" stopIfTrue="1">
      <formula>"esterreur(reference)"</formula>
    </cfRule>
  </conditionalFormatting>
  <conditionalFormatting sqref="Q330">
    <cfRule type="expression" dxfId="368" priority="40" stopIfTrue="1">
      <formula>"esterreur(reference)"</formula>
    </cfRule>
  </conditionalFormatting>
  <conditionalFormatting sqref="O363:Q363 O364:P375">
    <cfRule type="expression" dxfId="367" priority="34" stopIfTrue="1">
      <formula>"esterreur(reference)"</formula>
    </cfRule>
  </conditionalFormatting>
  <conditionalFormatting sqref="O358:Q358">
    <cfRule type="expression" dxfId="366" priority="35" stopIfTrue="1">
      <formula>"esterreur(reference)"</formula>
    </cfRule>
  </conditionalFormatting>
  <conditionalFormatting sqref="O376:Q376 O377:P392">
    <cfRule type="expression" dxfId="365" priority="36" stopIfTrue="1">
      <formula>"esterreur(reference)"</formula>
    </cfRule>
  </conditionalFormatting>
  <conditionalFormatting sqref="O395:Q398 O393:P393">
    <cfRule type="expression" dxfId="364" priority="37" stopIfTrue="1">
      <formula>"esterreur(reference)"</formula>
    </cfRule>
  </conditionalFormatting>
  <conditionalFormatting sqref="O360:Q362 P359">
    <cfRule type="expression" dxfId="363" priority="38" stopIfTrue="1">
      <formula>"esterreur(reference)"</formula>
    </cfRule>
  </conditionalFormatting>
  <conditionalFormatting sqref="P394">
    <cfRule type="expression" dxfId="362" priority="39" stopIfTrue="1">
      <formula>"esterreur(reference)"</formula>
    </cfRule>
  </conditionalFormatting>
  <conditionalFormatting sqref="Q364:Q375">
    <cfRule type="expression" dxfId="361" priority="33" stopIfTrue="1">
      <formula>"esterreur(reference)"</formula>
    </cfRule>
  </conditionalFormatting>
  <conditionalFormatting sqref="Q377:Q393">
    <cfRule type="expression" dxfId="360" priority="32" stopIfTrue="1">
      <formula>"esterreur(reference)"</formula>
    </cfRule>
  </conditionalFormatting>
  <conditionalFormatting sqref="O359">
    <cfRule type="expression" dxfId="359" priority="31" stopIfTrue="1">
      <formula>"esterreur(reference)"</formula>
    </cfRule>
  </conditionalFormatting>
  <conditionalFormatting sqref="Q359">
    <cfRule type="expression" dxfId="358" priority="30" stopIfTrue="1">
      <formula>"esterreur(reference)"</formula>
    </cfRule>
  </conditionalFormatting>
  <conditionalFormatting sqref="Q36:Q40">
    <cfRule type="expression" dxfId="357" priority="29" stopIfTrue="1">
      <formula>"esterreur(reference)"</formula>
    </cfRule>
  </conditionalFormatting>
  <conditionalFormatting sqref="L68">
    <cfRule type="expression" dxfId="356" priority="28" stopIfTrue="1">
      <formula>"esterreur(reference)"</formula>
    </cfRule>
  </conditionalFormatting>
  <conditionalFormatting sqref="Q149:Q151">
    <cfRule type="expression" dxfId="355" priority="19" stopIfTrue="1">
      <formula>"esterreur(reference)"</formula>
    </cfRule>
  </conditionalFormatting>
  <conditionalFormatting sqref="H148 J148:K148">
    <cfRule type="expression" dxfId="354" priority="26" stopIfTrue="1">
      <formula>"esterreur(reference)"</formula>
    </cfRule>
  </conditionalFormatting>
  <conditionalFormatting sqref="L148">
    <cfRule type="expression" dxfId="353" priority="25" stopIfTrue="1">
      <formula>"esterreur(reference)"</formula>
    </cfRule>
  </conditionalFormatting>
  <conditionalFormatting sqref="O148:P148">
    <cfRule type="expression" dxfId="352" priority="24" stopIfTrue="1">
      <formula>"esterreur(reference)"</formula>
    </cfRule>
  </conditionalFormatting>
  <conditionalFormatting sqref="Q148">
    <cfRule type="expression" dxfId="351" priority="23" stopIfTrue="1">
      <formula>"esterreur(reference)"</formula>
    </cfRule>
  </conditionalFormatting>
  <conditionalFormatting sqref="H149:H151 J149:K151">
    <cfRule type="expression" dxfId="350" priority="22" stopIfTrue="1">
      <formula>"esterreur(reference)"</formula>
    </cfRule>
  </conditionalFormatting>
  <conditionalFormatting sqref="L149:L151">
    <cfRule type="expression" dxfId="349" priority="21" stopIfTrue="1">
      <formula>"esterreur(reference)"</formula>
    </cfRule>
  </conditionalFormatting>
  <conditionalFormatting sqref="O149:P151">
    <cfRule type="expression" dxfId="348" priority="20" stopIfTrue="1">
      <formula>"esterreur(reference)"</formula>
    </cfRule>
  </conditionalFormatting>
  <conditionalFormatting sqref="L158:L161">
    <cfRule type="expression" dxfId="347" priority="18" stopIfTrue="1">
      <formula>"esterreur(reference)"</formula>
    </cfRule>
  </conditionalFormatting>
  <conditionalFormatting sqref="AG414:AI417">
    <cfRule type="cellIs" dxfId="346" priority="16" operator="greaterThan">
      <formula>0</formula>
    </cfRule>
  </conditionalFormatting>
  <conditionalFormatting sqref="AO414:AO417">
    <cfRule type="cellIs" dxfId="345" priority="15" operator="greaterThan">
      <formula>0</formula>
    </cfRule>
  </conditionalFormatting>
  <conditionalFormatting sqref="G31:G32">
    <cfRule type="expression" dxfId="344" priority="1" stopIfTrue="1">
      <formula>"esterreur(reference)"</formula>
    </cfRule>
  </conditionalFormatting>
  <printOptions horizontalCentered="1"/>
  <pageMargins left="0" right="0" top="0.5" bottom="0.25" header="0" footer="0"/>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C1" zoomScale="55" zoomScaleNormal="55" zoomScaleSheetLayoutView="55" workbookViewId="0">
      <selection activeCell="O7" sqref="O7"/>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3.2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18.62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Mars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35" t="s">
        <v>77</v>
      </c>
      <c r="E3" s="1136"/>
      <c r="F3" s="1137"/>
      <c r="G3" s="1138" t="s">
        <v>78</v>
      </c>
      <c r="H3" s="1136"/>
      <c r="I3" s="1137"/>
      <c r="J3" s="1138" t="s">
        <v>79</v>
      </c>
      <c r="K3" s="1136"/>
      <c r="L3" s="1137"/>
      <c r="M3" s="1138" t="s">
        <v>80</v>
      </c>
      <c r="N3" s="1137"/>
      <c r="O3" s="1135" t="s">
        <v>81</v>
      </c>
      <c r="P3" s="1136"/>
      <c r="Q3" s="1137"/>
      <c r="R3" s="1138" t="s">
        <v>82</v>
      </c>
      <c r="S3" s="1139"/>
      <c r="T3" s="25"/>
      <c r="U3" s="25"/>
      <c r="V3" s="969" t="s">
        <v>2883</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2884</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3007127.0993966693</v>
      </c>
      <c r="G5" s="310"/>
      <c r="H5" s="422"/>
      <c r="I5" s="627">
        <f>+SUMPRODUCT(('Budget révisé'!$A$8:$A$496=$A5)*('Budget révisé'!$C$3:$AO$3=I$2),'Budget révisé'!$C$8:$AO$496)</f>
        <v>3007127.0993966693</v>
      </c>
      <c r="J5" s="310"/>
      <c r="K5" s="184"/>
      <c r="L5" s="177">
        <f>-SUMIFS(BV_Data_An_Cour!$P:$P,BV_Data_An_Cour!$X:$X,"Oui",BV_Data_An_Cour!$U:$U,$B5)</f>
        <v>6260698.2200000016</v>
      </c>
      <c r="M5" s="423"/>
      <c r="N5" s="424"/>
      <c r="O5" s="310"/>
      <c r="P5" s="184"/>
      <c r="Q5" s="177">
        <f>-SUMIFS(BV_Data_An_Prec!$P:$P,BV_Data_An_Prec!$X:$X,"Oui",BV_Data_An_Prec!$U:$U,$B5)</f>
        <v>6984757.7400000012</v>
      </c>
      <c r="R5" s="423"/>
      <c r="S5" s="425"/>
      <c r="T5" s="222"/>
      <c r="U5" s="222"/>
      <c r="V5" s="983" t="s">
        <v>2885</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64.566818572560095</v>
      </c>
      <c r="E6" s="179">
        <f>IF(D6=0,0,F6/D6)</f>
        <v>604.29042904290429</v>
      </c>
      <c r="F6" s="179">
        <f>+SUMPRODUCT(('Budget original'!$A$8:$A$496=$A6)*('Budget original'!$C$3:$AO$3=F$2),'Budget original'!$C$8:$AO$496)</f>
        <v>39017.110497147703</v>
      </c>
      <c r="G6" s="182">
        <f>+SUMPRODUCT(('Budget révisé'!$A$8:$A$496=$A6)*('Budget révisé'!$C$3:$AO$3=G$2),'Budget révisé'!$C$8:$AO$496)</f>
        <v>64.566818572560095</v>
      </c>
      <c r="H6" s="179">
        <f>IF(G6=0,0,I6/G6)</f>
        <v>955.05621789951272</v>
      </c>
      <c r="I6" s="179">
        <f>+SUMPRODUCT(('Budget révisé'!$A$8:$A$496=$A6)*('Budget révisé'!$C$3:$AO$3=I$2),'Budget révisé'!$C$8:$AO$496)</f>
        <v>61664.941547713257</v>
      </c>
      <c r="J6" s="182">
        <f>-SUMIFS(BV_Data_An_Cour!$P:$P,BV_Data_An_Cour!$U:$U,$B6,BV_Data_An_Cour!$V:$V,$C6,BV_Data_An_Cour!$W:$W,J$2)</f>
        <v>54</v>
      </c>
      <c r="K6" s="179">
        <f>IF(J6=0,0,L6/J6)</f>
        <v>1123.9203703703718</v>
      </c>
      <c r="L6" s="554">
        <f>-SUMIFS(BV_Data_An_Cour!$P:$P,BV_Data_An_Cour!$U:$U,$B6,BV_Data_An_Cour!$V:$V,$C6,BV_Data_An_Cour!$W:$W,L$2)</f>
        <v>60691.70000000007</v>
      </c>
      <c r="M6" s="182">
        <f t="shared" ref="M6" si="2">J6-G6</f>
        <v>-10.566818572560095</v>
      </c>
      <c r="N6" s="180">
        <f>L6-I6</f>
        <v>-973.24154771318717</v>
      </c>
      <c r="O6" s="1040">
        <f>-SUMIFS(BV_Data_An_Prec!$P:$P,BV_Data_An_Prec!$U:$U,$B6,BV_Data_An_Prec!$V:$V,$C6,BV_Data_An_Prec!$W:$W,O$2)</f>
        <v>107</v>
      </c>
      <c r="P6" s="179">
        <f>IF(O6=0,0,Q6/O6)</f>
        <v>569.63785046729083</v>
      </c>
      <c r="Q6" s="554">
        <f>-SUMIFS(BV_Data_An_Prec!$P:$P,BV_Data_An_Prec!$U:$U,$B6,BV_Data_An_Prec!$V:$V,$C6,BV_Data_An_Prec!$W:$W,Q$2)</f>
        <v>60951.250000000116</v>
      </c>
      <c r="R6" s="182">
        <f t="shared" ref="R6" si="3">J6-O6</f>
        <v>-53</v>
      </c>
      <c r="S6" s="399">
        <f t="shared" ref="S6" si="4">L6-Q6</f>
        <v>-259.55000000004657</v>
      </c>
      <c r="T6" s="222"/>
      <c r="U6" s="222"/>
      <c r="V6" s="983" t="s">
        <v>2886</v>
      </c>
      <c r="W6" s="984">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86.728366861491608</v>
      </c>
      <c r="E7" s="179">
        <f t="shared" ref="E7:E12" si="6">IF(D7=0,0,F7/D7)</f>
        <v>1315.4791154791155</v>
      </c>
      <c r="F7" s="179">
        <f>+SUMPRODUCT(('Budget original'!$A$8:$A$496=$A7)*('Budget original'!$C$3:$AO$3=F$2),'Budget original'!$C$8:$AO$496)</f>
        <v>114089.35532590322</v>
      </c>
      <c r="G7" s="182">
        <f>+SUMPRODUCT(('Budget révisé'!$A$8:$A$496=$A7)*('Budget révisé'!$C$3:$AO$3=G$2),'Budget révisé'!$C$8:$AO$496)</f>
        <v>86.728366861491608</v>
      </c>
      <c r="H7" s="179">
        <f t="shared" ref="H7:H12" si="7">IF(G7=0,0,I7/G7)</f>
        <v>1702.6668817908317</v>
      </c>
      <c r="I7" s="179">
        <f>+SUMPRODUCT(('Budget révisé'!$A$8:$A$496=$A7)*('Budget révisé'!$C$3:$AO$3=I$2),'Budget révisé'!$C$8:$AO$496)</f>
        <v>147669.51796686722</v>
      </c>
      <c r="J7" s="182">
        <f>-SUMIFS(BV_Data_An_Cour!$P:$P,BV_Data_An_Cour!$U:$U,$B7,BV_Data_An_Cour!$V:$V,$C7,BV_Data_An_Cour!$W:$W,J$2)</f>
        <v>71</v>
      </c>
      <c r="K7" s="179">
        <f t="shared" ref="K7:K12" si="8">IF(J7=0,0,L7/J7)</f>
        <v>2030.2205633802871</v>
      </c>
      <c r="L7" s="554">
        <f>-SUMIFS(BV_Data_An_Cour!$P:$P,BV_Data_An_Cour!$U:$U,$B7,BV_Data_An_Cour!$V:$V,$C7,BV_Data_An_Cour!$W:$W,L$2)</f>
        <v>144145.66000000038</v>
      </c>
      <c r="M7" s="182">
        <f t="shared" ref="M7:M12" si="9">J7-G7</f>
        <v>-15.728366861491608</v>
      </c>
      <c r="N7" s="180">
        <f t="shared" ref="N7:N12" si="10">L7-I7</f>
        <v>-3523.857966866839</v>
      </c>
      <c r="O7" s="182">
        <f>-SUMIFS(BV_Data_An_Prec!$P:$P,BV_Data_An_Prec!$U:$U,$B7,BV_Data_An_Prec!$V:$V,$C7,BV_Data_An_Prec!$W:$W,O$2)</f>
        <v>87</v>
      </c>
      <c r="P7" s="179">
        <f t="shared" ref="P7:P12" si="11">IF(O7=0,0,Q7/O7)</f>
        <v>634.41724137930817</v>
      </c>
      <c r="Q7" s="554">
        <f>-SUMIFS(BV_Data_An_Prec!$P:$P,BV_Data_An_Prec!$U:$U,$B7,BV_Data_An_Prec!$V:$V,$C7,BV_Data_An_Prec!$W:$W,Q$2)</f>
        <v>55194.299999999814</v>
      </c>
      <c r="R7" s="182">
        <f t="shared" ref="R7:R12" si="12">J7-O7</f>
        <v>-16</v>
      </c>
      <c r="S7" s="399">
        <f t="shared" ref="S7:S12" si="13">L7-Q7</f>
        <v>88951.360000000568</v>
      </c>
      <c r="T7" s="222"/>
      <c r="U7" s="222"/>
      <c r="V7" s="969" t="s">
        <v>2887</v>
      </c>
      <c r="W7" s="982">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151.29518543405169</v>
      </c>
      <c r="E13" s="401">
        <f>IF(D13&lt;=0,0,F13/D13)</f>
        <v>1011.9718309859157</v>
      </c>
      <c r="F13" s="402">
        <f>+SUM(F6:F12)</f>
        <v>153106.46582305094</v>
      </c>
      <c r="G13" s="403">
        <f>+SUM(G6:G12)</f>
        <v>151.29518543405169</v>
      </c>
      <c r="H13" s="401">
        <f>IF(G13&lt;=0,0,I13/G13)</f>
        <v>1383.6161336794662</v>
      </c>
      <c r="I13" s="402">
        <f>+SUM(I6:I12)</f>
        <v>209334.45951458049</v>
      </c>
      <c r="J13" s="403">
        <f>+SUM(J6:J12)</f>
        <v>125</v>
      </c>
      <c r="K13" s="401">
        <f>IF(J13&lt;=0,0,L13/J13)</f>
        <v>1638.6988800000036</v>
      </c>
      <c r="L13" s="402">
        <f>+SUM(L6:L12)</f>
        <v>204837.36000000045</v>
      </c>
      <c r="M13" s="403">
        <f>+SUM(M6:M12)</f>
        <v>-26.295185434051703</v>
      </c>
      <c r="N13" s="402">
        <f>+SUM(N6:N12)</f>
        <v>-4497.0995145800262</v>
      </c>
      <c r="O13" s="403">
        <f>+SUM(O6:O12)</f>
        <v>194</v>
      </c>
      <c r="P13" s="401">
        <f>IF(O13&lt;=0,0,Q13/O13)</f>
        <v>598.6884020618553</v>
      </c>
      <c r="Q13" s="402">
        <f>+SUM(Q6:Q12)</f>
        <v>116145.54999999993</v>
      </c>
      <c r="R13" s="403">
        <f>+SUM(R6:R12)</f>
        <v>-69</v>
      </c>
      <c r="S13" s="404">
        <f>+SUM(S6:S12)</f>
        <v>88691.810000000522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-0.17380054334586578</v>
      </c>
      <c r="N14" s="332">
        <f>IF(I13=0,0,N13/I13)</f>
        <v>-2.1482843890146982E-2</v>
      </c>
      <c r="O14" s="303"/>
      <c r="P14" s="179"/>
      <c r="Q14" s="312"/>
      <c r="R14" s="362">
        <f>R13/O13</f>
        <v>-0.35567010309278352</v>
      </c>
      <c r="S14" s="333">
        <f>IF(Q13=0,0,(S13/Q13))</f>
        <v>0.76362641530390596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15.768793974816656</v>
      </c>
      <c r="E15" s="184">
        <f t="shared" ref="E15" si="15">IF(D15=0,0,F15/D15)</f>
        <v>400.00000000000006</v>
      </c>
      <c r="F15" s="177">
        <f>+SUMPRODUCT(('Budget original'!$A$8:$A$496=$A15)*('Budget original'!$C$3:$AO$3=F$2),'Budget original'!$C$8:$AO$496)</f>
        <v>6307.5175899266633</v>
      </c>
      <c r="G15" s="183">
        <f>+SUMPRODUCT(('Budget révisé'!$A$8:$A$496=$A15)*('Budget révisé'!$C$3:$AO$3=G$2),'Budget révisé'!$C$8:$AO$496)</f>
        <v>15.768793974816656</v>
      </c>
      <c r="H15" s="407">
        <f t="shared" ref="H15" si="16">IF(G15=0,0,I15/G15)</f>
        <v>790.03378359300473</v>
      </c>
      <c r="I15" s="405">
        <f>+SUMPRODUCT(('Budget révisé'!$A$8:$A$496=$A15)*('Budget révisé'!$C$3:$AO$3=I$2),'Budget révisé'!$C$8:$AO$496)</f>
        <v>12457.879966622979</v>
      </c>
      <c r="J15" s="548">
        <f>-SUMIFS(BV_Data_An_Cour!$P:$P,BV_Data_An_Cour!$U:$U,$B15,BV_Data_An_Cour!$V:$V,$C15,BV_Data_An_Cour!$W:$W,J$2)</f>
        <v>24</v>
      </c>
      <c r="K15" s="549">
        <f>IF(J15=0,0,L15/J15)</f>
        <v>789.10458333333372</v>
      </c>
      <c r="L15" s="549">
        <f>-SUMIFS(BV_Data_An_Cour!$P:$P,BV_Data_An_Cour!$U:$U,$B15,BV_Data_An_Cour!$V:$V,$C15,BV_Data_An_Cour!$W:$W,L$2)</f>
        <v>18938.510000000009</v>
      </c>
      <c r="M15" s="406">
        <f>J15-G15</f>
        <v>8.2312060251833437</v>
      </c>
      <c r="N15" s="405">
        <f>L15-I15</f>
        <v>6480.6300333770305</v>
      </c>
      <c r="O15" s="548">
        <f>-SUMIFS(BV_Data_An_Prec!$P:$P,BV_Data_An_Prec!$U:$U,$B15,BV_Data_An_Prec!$V:$V,$C15,BV_Data_An_Prec!$W:$W,O$2)</f>
        <v>0</v>
      </c>
      <c r="P15" s="549">
        <f>IF(O15=0,0,Q15/O15)</f>
        <v>0</v>
      </c>
      <c r="Q15" s="549">
        <f>-SUMIFS(BV_Data_An_Prec!$P:$P,BV_Data_An_Prec!$U:$U,$B15,BV_Data_An_Prec!$V:$V,$C15,BV_Data_An_Prec!$W:$W,Q$2)</f>
        <v>0</v>
      </c>
      <c r="R15" s="406">
        <f>J15-O15</f>
        <v>24</v>
      </c>
      <c r="S15" s="427">
        <f>L15-Q15</f>
        <v>18938.510000000009</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0</v>
      </c>
      <c r="E17" s="179">
        <f t="shared" ref="E17" si="17">IF(D17=0,0,F17/D17)</f>
        <v>0</v>
      </c>
      <c r="F17" s="179">
        <f>+SUMPRODUCT(('Budget original'!$A$8:$A$496=$A17)*('Budget original'!$C$3:$AO$3=F$2),'Budget original'!$C$8:$AO$496)</f>
        <v>0</v>
      </c>
      <c r="G17" s="182">
        <f>+SUMPRODUCT(('Budget révisé'!$A$8:$A$496=$A17)*('Budget révisé'!$C$3:$AO$3=G$2),'Budget révisé'!$C$8:$AO$496)</f>
        <v>3.6650647158284415</v>
      </c>
      <c r="H17" s="179">
        <f t="shared" ref="H17" si="18">IF(G17=0,0,I17/G17)</f>
        <v>800</v>
      </c>
      <c r="I17" s="179">
        <f>+SUMPRODUCT(('Budget révisé'!$A$8:$A$496=$A17)*('Budget révisé'!$C$3:$AO$3=I$2),'Budget révisé'!$C$8:$AO$496)</f>
        <v>2932.0517726627531</v>
      </c>
      <c r="J17" s="406">
        <f>-SUMIFS(BV_Data_An_Cour!$P:$P,BV_Data_An_Cour!$U:$U,$B17,BV_Data_An_Cour!$V:$V,$C17,BV_Data_An_Cour!$W:$W,J$2)</f>
        <v>8</v>
      </c>
      <c r="K17" s="179">
        <f>IF(J17=0,0,L17/J17)</f>
        <v>1008.28125</v>
      </c>
      <c r="L17" s="180">
        <f>-SUMIFS(BV_Data_An_Cour!$P:$P,BV_Data_An_Cour!$U:$U,$B17,BV_Data_An_Cour!$V:$V,$C17,BV_Data_An_Cour!$W:$W,L$2)</f>
        <v>8066.25</v>
      </c>
      <c r="M17" s="406">
        <f>J17-G17</f>
        <v>4.3349352841715589</v>
      </c>
      <c r="N17" s="180">
        <f>L17-I17</f>
        <v>5134.1982273372469</v>
      </c>
      <c r="O17" s="406">
        <f>-SUMIFS(BV_Data_An_Prec!$P:$P,BV_Data_An_Prec!$U:$U,$B17,BV_Data_An_Prec!$V:$V,$C17,BV_Data_An_Prec!$W:$W,O$2)</f>
        <v>0</v>
      </c>
      <c r="P17" s="179">
        <f>IF(O17=0,0,Q17/O17)</f>
        <v>0</v>
      </c>
      <c r="Q17" s="180">
        <f>-SUMIFS(BV_Data_An_Prec!$P:$P,BV_Data_An_Prec!$U:$U,$B17,BV_Data_An_Prec!$V:$V,$C17,BV_Data_An_Prec!$W:$W,Q$2)</f>
        <v>0</v>
      </c>
      <c r="R17" s="182">
        <f>J17-O17</f>
        <v>8</v>
      </c>
      <c r="S17" s="399">
        <f>L17-Q17</f>
        <v>8066.25</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15000</v>
      </c>
      <c r="G19" s="182">
        <f>+SUMPRODUCT(('Budget révisé'!$A$8:$A$496=$A19)*('Budget révisé'!$C$3:$AO$3=G$2),'Budget révisé'!$C$8:$AO$496)</f>
        <v>0</v>
      </c>
      <c r="H19" s="179">
        <f t="shared" ref="H19" si="20">IF(G19=0,0,I19/G19)</f>
        <v>0</v>
      </c>
      <c r="I19" s="179">
        <f>+SUMPRODUCT(('Budget révisé'!$A$8:$A$496=$A19)*('Budget révisé'!$C$3:$AO$3=I$2),'Budget révisé'!$C$8:$AO$496)</f>
        <v>15000</v>
      </c>
      <c r="J19" s="183"/>
      <c r="K19" s="179"/>
      <c r="L19" s="180">
        <f>-SUMIFS(BV_Data_An_Cour!$P:$P,BV_Data_An_Cour!$U:$U,$B19,BV_Data_An_Cour!$V:$V,$C19,BV_Data_An_Cour!$W:$W,L$2)</f>
        <v>8770.7700000000186</v>
      </c>
      <c r="M19" s="182"/>
      <c r="N19" s="180">
        <f>L19-I19</f>
        <v>-6229.2299999999814</v>
      </c>
      <c r="O19" s="183"/>
      <c r="P19" s="179"/>
      <c r="Q19" s="180">
        <f>-SUMIFS(BV_Data_An_Prec!$P:$P,BV_Data_An_Prec!$U:$U,$B19,BV_Data_An_Prec!$V:$V,$C19,BV_Data_An_Prec!$W:$W,Q$2)</f>
        <v>16477.660000000003</v>
      </c>
      <c r="R19" s="182">
        <f>O19-K19</f>
        <v>0</v>
      </c>
      <c r="S19" s="399">
        <f>L19-Q19</f>
        <v>-7706.8899999999849</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15717.344780937296</v>
      </c>
      <c r="G21" s="303">
        <f>+SUMPRODUCT(('Budget révisé'!$A$8:$A$496=$A21)*('Budget révisé'!$C$3:$AO$3=G$2),'Budget révisé'!$C$8:$AO$496)</f>
        <v>0</v>
      </c>
      <c r="H21" s="179">
        <f t="shared" ref="H21:H23" si="22">IF(G21=0,0,I21/G21)</f>
        <v>0</v>
      </c>
      <c r="I21" s="179">
        <f>+SUMPRODUCT(('Budget révisé'!$A$8:$A$496=$A21)*('Budget révisé'!$C$3:$AO$3=I$2),'Budget révisé'!$C$8:$AO$496)</f>
        <v>15717.344780937296</v>
      </c>
      <c r="J21" s="182"/>
      <c r="K21" s="179">
        <f>IF(J13=0,0,L21/(J13+J15))</f>
        <v>-7.2820134228187916</v>
      </c>
      <c r="L21" s="180">
        <f>-SUMIFS(BV_Data_An_Cour!$P:$P,BV_Data_An_Cour!$U:$U,$B21,BV_Data_An_Cour!$V:$V,$C21,BV_Data_An_Cour!$W:$W,L$2)</f>
        <v>-1085.02</v>
      </c>
      <c r="M21" s="182"/>
      <c r="N21" s="180">
        <f t="shared" ref="N21:N24" si="23">L21-I21</f>
        <v>-16802.364780937296</v>
      </c>
      <c r="O21" s="182"/>
      <c r="P21" s="179">
        <f>IF(O13=0,0,Q21/(O13+O15))</f>
        <v>129.60927835051547</v>
      </c>
      <c r="Q21" s="180">
        <f>-SUMIFS(BV_Data_An_Prec!$P:$P,BV_Data_An_Prec!$U:$U,$B21,BV_Data_An_Prec!$V:$V,$C21,BV_Data_An_Prec!$W:$W,Q$2)</f>
        <v>25144.2</v>
      </c>
      <c r="R21" s="182">
        <f t="shared" ref="R21:R23" si="24">O21-K21</f>
        <v>7.2820134228187916</v>
      </c>
      <c r="S21" s="399">
        <f t="shared" ref="S21:S24" si="25">L21-Q21</f>
        <v>-26229.22</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123180.12072502017</v>
      </c>
      <c r="G22" s="303">
        <f>+SUMPRODUCT(('Budget révisé'!$A$8:$A$496=$A22)*('Budget révisé'!$C$3:$AO$3=G$2),'Budget révisé'!$C$8:$AO$496)</f>
        <v>0</v>
      </c>
      <c r="H22" s="179">
        <f t="shared" si="22"/>
        <v>0</v>
      </c>
      <c r="I22" s="179">
        <f>+SUMPRODUCT(('Budget révisé'!$A$8:$A$496=$A22)*('Budget révisé'!$C$3:$AO$3=I$2),'Budget révisé'!$C$8:$AO$496)</f>
        <v>123180.12072502017</v>
      </c>
      <c r="J22" s="182"/>
      <c r="K22" s="179">
        <f>IF(J13=0,0,L22/(J13+J15))</f>
        <v>672.32328859060397</v>
      </c>
      <c r="L22" s="180">
        <f>-SUMIFS(BV_Data_An_Cour!$P:$P,BV_Data_An_Cour!$U:$U,$B22,BV_Data_An_Cour!$V:$V,$C22,BV_Data_An_Cour!$W:$W,L$2)</f>
        <v>100176.17</v>
      </c>
      <c r="M22" s="182"/>
      <c r="N22" s="180">
        <f t="shared" si="23"/>
        <v>-23003.950725020171</v>
      </c>
      <c r="O22" s="182"/>
      <c r="P22" s="179">
        <f>IF(O13=0,0,Q22/(O13+O15))</f>
        <v>521.92618556701029</v>
      </c>
      <c r="Q22" s="180">
        <f>-SUMIFS(BV_Data_An_Prec!$P:$P,BV_Data_An_Prec!$U:$U,$B22,BV_Data_An_Prec!$V:$V,$C22,BV_Data_An_Prec!$W:$W,Q$2)</f>
        <v>101253.68</v>
      </c>
      <c r="R22" s="182">
        <f t="shared" si="24"/>
        <v>-672.32328859060397</v>
      </c>
      <c r="S22" s="399">
        <f t="shared" si="25"/>
        <v>-1077.5099999999948</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3106.9169915806278</v>
      </c>
      <c r="G23" s="303">
        <f>+SUMPRODUCT(('Budget révisé'!$A$8:$A$496=$A23)*('Budget révisé'!$C$3:$AO$3=G$2),'Budget révisé'!$C$8:$AO$496)</f>
        <v>0</v>
      </c>
      <c r="H23" s="179">
        <f t="shared" si="22"/>
        <v>0</v>
      </c>
      <c r="I23" s="179">
        <f>+SUMPRODUCT(('Budget révisé'!$A$8:$A$496=$A23)*('Budget révisé'!$C$3:$AO$3=I$2),'Budget révisé'!$C$8:$AO$496)</f>
        <v>3106.9169915806278</v>
      </c>
      <c r="J23" s="182"/>
      <c r="K23" s="179">
        <f>IF(J13=0,0,L23/(J13+J15))</f>
        <v>25.743489932885907</v>
      </c>
      <c r="L23" s="180">
        <f>-SUMIFS(BV_Data_An_Cour!$P:$P,BV_Data_An_Cour!$U:$U,$B23,BV_Data_An_Cour!$V:$V,$C23,BV_Data_An_Cour!$W:$W,L$2)</f>
        <v>3835.78</v>
      </c>
      <c r="M23" s="406"/>
      <c r="N23" s="180">
        <f t="shared" si="23"/>
        <v>728.86300841937236</v>
      </c>
      <c r="O23" s="182"/>
      <c r="P23" s="179">
        <f>IF(O13=0,0,Q23/(O13+O15))</f>
        <v>39.346804123711337</v>
      </c>
      <c r="Q23" s="180">
        <f>-SUMIFS(BV_Data_An_Prec!$P:$P,BV_Data_An_Prec!$U:$U,$B23,BV_Data_An_Prec!$V:$V,$C23,BV_Data_An_Prec!$W:$W,Q$2)</f>
        <v>7633.28</v>
      </c>
      <c r="R23" s="182">
        <f t="shared" si="24"/>
        <v>-25.743489932885907</v>
      </c>
      <c r="S23" s="399">
        <f t="shared" si="25"/>
        <v>-3797.4999999999995</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167.06397940886833</v>
      </c>
      <c r="E24" s="401">
        <f>IF(D24&lt;=0,0,F24/D24)</f>
        <v>850</v>
      </c>
      <c r="F24" s="402">
        <f>F21+F22+F23</f>
        <v>142004.38249753808</v>
      </c>
      <c r="G24" s="403">
        <f>+G15+G13</f>
        <v>167.06397940886833</v>
      </c>
      <c r="H24" s="401">
        <f>IF(G24&lt;=0,0,I24/G24)</f>
        <v>850</v>
      </c>
      <c r="I24" s="402">
        <f>I21+I22+I23</f>
        <v>142004.38249753808</v>
      </c>
      <c r="J24" s="403">
        <f>+J15+J13</f>
        <v>149</v>
      </c>
      <c r="K24" s="401">
        <f>IF(J24&lt;=0,0,L24/J24)</f>
        <v>690.78476510067105</v>
      </c>
      <c r="L24" s="402">
        <f>L21+L22+L23</f>
        <v>102926.93</v>
      </c>
      <c r="M24" s="431">
        <f>J24-G24</f>
        <v>-18.063979408868335</v>
      </c>
      <c r="N24" s="402">
        <f t="shared" si="23"/>
        <v>-39077.452497538092</v>
      </c>
      <c r="O24" s="403">
        <f>+O15+O13</f>
        <v>194</v>
      </c>
      <c r="P24" s="401">
        <f>IF(O24&lt;=0,0,Q24/O24)</f>
        <v>690.88226804123713</v>
      </c>
      <c r="Q24" s="402">
        <f>Q21+Q22+Q23</f>
        <v>134031.16</v>
      </c>
      <c r="R24" s="411"/>
      <c r="S24" s="404">
        <f t="shared" si="25"/>
        <v>-31104.23000000001</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-0.27518483451181919</v>
      </c>
      <c r="O25" s="303"/>
      <c r="P25" s="178"/>
      <c r="Q25" s="304"/>
      <c r="R25" s="325"/>
      <c r="S25" s="333">
        <f>IF(Q24=0,0,(S24/Q24))</f>
        <v>-0.23206715513019516</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167.06397940886833</v>
      </c>
      <c r="E27" s="27">
        <f>IF(D27&lt;=0,0,F27/D27)</f>
        <v>1893.9951450343528</v>
      </c>
      <c r="F27" s="28">
        <f>F13+F17+F24+F19+F15</f>
        <v>316418.36591051571</v>
      </c>
      <c r="G27" s="29">
        <f>+G13+G15+G17</f>
        <v>170.72904412469677</v>
      </c>
      <c r="H27" s="30">
        <f>IF(G27&lt;=0,0,I27/G27)</f>
        <v>2235.8748372807495</v>
      </c>
      <c r="I27" s="28">
        <f>I13+I17+I24+I19+I15</f>
        <v>381728.77375140431</v>
      </c>
      <c r="J27" s="29">
        <f>+J13+J15+J17</f>
        <v>157</v>
      </c>
      <c r="K27" s="30">
        <f>IF(J27&lt;=0,0,L27/J27)</f>
        <v>2188.1517197452258</v>
      </c>
      <c r="L27" s="28">
        <f>L13+L17+L24+L19+L15</f>
        <v>343539.82000000047</v>
      </c>
      <c r="M27" s="29">
        <f>J27-G27</f>
        <v>-13.72904412469677</v>
      </c>
      <c r="N27" s="28">
        <f>L27-I27</f>
        <v>-38188.953751403838</v>
      </c>
      <c r="O27" s="29">
        <f>+O13+O15+O17</f>
        <v>194</v>
      </c>
      <c r="P27" s="30">
        <f>IF(O27&lt;=0,0,Q27/O27)</f>
        <v>1374.5070618556697</v>
      </c>
      <c r="Q27" s="28">
        <f>Q13+Q17+Q24+Q19+Q15</f>
        <v>266654.36999999994</v>
      </c>
      <c r="R27" s="29">
        <f>J27-O27</f>
        <v>-37</v>
      </c>
      <c r="S27" s="363">
        <f>L27-Q27</f>
        <v>76885.450000000536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-8.0414227087626494E-2</v>
      </c>
      <c r="N28" s="34">
        <f>N27/I27</f>
        <v>-0.10004211465671141</v>
      </c>
      <c r="O28" s="31"/>
      <c r="P28" s="365"/>
      <c r="Q28" s="32"/>
      <c r="R28" s="33">
        <f>R27/O27</f>
        <v>-0.19072164948453607</v>
      </c>
      <c r="S28" s="272">
        <f>IF(Q27=0,0,S27/Q27)</f>
        <v>0.28833373328927836</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396.86864442981664</v>
      </c>
      <c r="F31" s="179">
        <f>+SUMPRODUCT(('Budget original'!$A$8:$A$496=$A31)*('Budget original'!$C$3:$AO$3=F$2),'Budget original'!$C$8:$AO$496)</f>
        <v>66302.455041048379</v>
      </c>
      <c r="G31" s="302"/>
      <c r="H31" s="197">
        <f t="shared" ref="H31:H36" si="27">I31/G$24</f>
        <v>401.79395102154245</v>
      </c>
      <c r="I31" s="179">
        <f>+SUMPRODUCT(('Budget révisé'!$A$8:$A$496=$A31)*('Budget révisé'!$C$3:$AO$3=I$2),'Budget révisé'!$C$8:$AO$496)</f>
        <v>67125.296360070817</v>
      </c>
      <c r="J31" s="976">
        <f>L31/(L13+L15+L17)</f>
        <v>0.38654744875521246</v>
      </c>
      <c r="K31" s="197">
        <f t="shared" ref="K31:K36" si="28">IF(L31=0,0,L31/J$24)</f>
        <v>601.46295302013425</v>
      </c>
      <c r="L31" s="179">
        <f>SUMIFS(BV_Data_An_Cour!$P:$P,BV_Data_An_Cour!$U:$U,$B31,BV_Data_An_Cour!$V:$V,$C31,BV_Data_An_Cour!$W:$W,L$2)</f>
        <v>89617.98</v>
      </c>
      <c r="M31" s="303"/>
      <c r="N31" s="304">
        <f t="shared" ref="N31:N53" si="29">L31-I31</f>
        <v>22492.683639929179</v>
      </c>
      <c r="O31" s="303"/>
      <c r="P31" s="197">
        <f t="shared" ref="P31:P36" si="30">IF(Q31=0,0,Q31/O$24)</f>
        <v>458.77376288659792</v>
      </c>
      <c r="Q31" s="180">
        <f>SUMIFS(BV_Data_An_Prec!$P:$P,BV_Data_An_Prec!$U:$U,$B31,BV_Data_An_Prec!$V:$V,$C31,BV_Data_An_Prec!$W:$W,Q$2)</f>
        <v>89002.11</v>
      </c>
      <c r="R31" s="303"/>
      <c r="S31" s="199">
        <f t="shared" ref="S31:S41" si="31">L31-Q31</f>
        <v>615.86999999999534</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+SUMPRODUCT(('Budget original'!$A$8:$A$496=$A32)*('Budget original'!$C$3:$AO$3=F$2),'Budget original'!$C$8:$AO$496)</f>
        <v>42601.314749261423</v>
      </c>
      <c r="G32" s="309"/>
      <c r="H32" s="190">
        <f t="shared" si="27"/>
        <v>254.99999999999997</v>
      </c>
      <c r="I32" s="177">
        <f>+SUMPRODUCT(('Budget révisé'!$A$8:$A$496=$A32)*('Budget révisé'!$C$3:$AO$3=I$2),'Budget révisé'!$C$8:$AO$496)</f>
        <v>42601.314749261423</v>
      </c>
      <c r="J32" s="977">
        <f>L32/L24</f>
        <v>0.29362519604927495</v>
      </c>
      <c r="K32" s="413">
        <f t="shared" si="28"/>
        <v>202.83181208053691</v>
      </c>
      <c r="L32" s="177">
        <f>SUMIFS(BV_Data_An_Cour!$P:$P,BV_Data_An_Cour!$U:$U,$B32,BV_Data_An_Cour!$V:$V,$C32,BV_Data_An_Cour!$W:$W,L$2)</f>
        <v>30221.94</v>
      </c>
      <c r="M32" s="310"/>
      <c r="N32" s="311">
        <f t="shared" si="29"/>
        <v>-12379.374749261424</v>
      </c>
      <c r="O32" s="310"/>
      <c r="P32" s="413">
        <f t="shared" si="30"/>
        <v>231.34726804123713</v>
      </c>
      <c r="Q32" s="177">
        <f>SUMIFS(BV_Data_An_Prec!$P:$P,BV_Data_An_Prec!$U:$U,$B32,BV_Data_An_Prec!$V:$V,$C32,BV_Data_An_Prec!$W:$W,Q$2)</f>
        <v>44881.37</v>
      </c>
      <c r="R32" s="310"/>
      <c r="S32" s="202">
        <f t="shared" si="31"/>
        <v>-14659.430000000004</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197.00000000000003</v>
      </c>
      <c r="F33" s="179">
        <f>+SUMPRODUCT(('Budget original'!$A$8:$A$496=$A33)*('Budget original'!$C$3:$AO$3=F$2),'Budget original'!$C$8:$AO$496)</f>
        <v>32911.603943547067</v>
      </c>
      <c r="G33" s="302"/>
      <c r="H33" s="197">
        <f t="shared" si="27"/>
        <v>197.00000000000003</v>
      </c>
      <c r="I33" s="179">
        <f>+SUMPRODUCT(('Budget révisé'!$A$8:$A$496=$A33)*('Budget révisé'!$C$3:$AO$3=I$2),'Budget révisé'!$C$8:$AO$496)</f>
        <v>32911.603943547067</v>
      </c>
      <c r="J33" s="303"/>
      <c r="K33" s="197">
        <f t="shared" si="28"/>
        <v>149.02536912751677</v>
      </c>
      <c r="L33" s="179">
        <f>SUMIFS(BV_Data_An_Cour!$P:$P,BV_Data_An_Cour!$U:$U,$B33,BV_Data_An_Cour!$V:$V,$C33,BV_Data_An_Cour!$W:$W,L$2)</f>
        <v>22204.78</v>
      </c>
      <c r="M33" s="303"/>
      <c r="N33" s="304">
        <f t="shared" si="29"/>
        <v>-10706.823943547068</v>
      </c>
      <c r="O33" s="303"/>
      <c r="P33" s="197">
        <f t="shared" si="30"/>
        <v>156.30159793814431</v>
      </c>
      <c r="Q33" s="180">
        <f>SUMIFS(BV_Data_An_Prec!$P:$P,BV_Data_An_Prec!$U:$U,$B33,BV_Data_An_Prec!$V:$V,$C33,BV_Data_An_Prec!$W:$W,Q$2)</f>
        <v>30322.51</v>
      </c>
      <c r="R33" s="303"/>
      <c r="S33" s="199">
        <f t="shared" si="31"/>
        <v>-8117.73</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6.0000000000000009</v>
      </c>
      <c r="F34" s="179">
        <f>+SUMPRODUCT(('Budget original'!$A$8:$A$496=$A34)*('Budget original'!$C$3:$AO$3=F$2),'Budget original'!$C$8:$AO$496)</f>
        <v>1002.3838764532102</v>
      </c>
      <c r="G34" s="302"/>
      <c r="H34" s="197">
        <f t="shared" si="27"/>
        <v>6.0000000000000009</v>
      </c>
      <c r="I34" s="179">
        <f>+SUMPRODUCT(('Budget révisé'!$A$8:$A$496=$A34)*('Budget révisé'!$C$3:$AO$3=I$2),'Budget révisé'!$C$8:$AO$496)</f>
        <v>1002.3838764532102</v>
      </c>
      <c r="J34" s="303"/>
      <c r="K34" s="197">
        <f t="shared" si="28"/>
        <v>3.2724161073825502</v>
      </c>
      <c r="L34" s="179">
        <f>SUMIFS(BV_Data_An_Cour!$P:$P,BV_Data_An_Cour!$U:$U,$B34,BV_Data_An_Cour!$V:$V,$C34,BV_Data_An_Cour!$W:$W,L$2)</f>
        <v>487.59</v>
      </c>
      <c r="M34" s="303"/>
      <c r="N34" s="304">
        <f t="shared" si="29"/>
        <v>-514.79387645321026</v>
      </c>
      <c r="O34" s="303"/>
      <c r="P34" s="197">
        <f t="shared" si="30"/>
        <v>9.4121649484536078</v>
      </c>
      <c r="Q34" s="180">
        <f>SUMIFS(BV_Data_An_Prec!$P:$P,BV_Data_An_Prec!$U:$U,$B34,BV_Data_An_Prec!$V:$V,$C34,BV_Data_An_Prec!$W:$W,Q$2)</f>
        <v>1825.96</v>
      </c>
      <c r="R34" s="303"/>
      <c r="S34" s="199">
        <f t="shared" si="31"/>
        <v>-1338.3700000000001</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5680.1752999015234</v>
      </c>
      <c r="G35" s="309"/>
      <c r="H35" s="190">
        <f t="shared" si="27"/>
        <v>34</v>
      </c>
      <c r="I35" s="177">
        <f>+SUMPRODUCT(('Budget révisé'!$A$8:$A$496=$A35)*('Budget révisé'!$C$3:$AO$3=I$2),'Budget révisé'!$C$8:$AO$496)</f>
        <v>5680.1752999015234</v>
      </c>
      <c r="J35" s="310"/>
      <c r="K35" s="413">
        <f t="shared" si="28"/>
        <v>8.6006711409395979</v>
      </c>
      <c r="L35" s="177">
        <f>SUMIFS(BV_Data_An_Cour!$P:$P,BV_Data_An_Cour!$U:$U,$B35,BV_Data_An_Cour!$V:$V,$C35,BV_Data_An_Cour!$W:$W,L$2)</f>
        <v>1281.5</v>
      </c>
      <c r="M35" s="310"/>
      <c r="N35" s="311">
        <f t="shared" si="29"/>
        <v>-4398.6752999015234</v>
      </c>
      <c r="O35" s="310"/>
      <c r="P35" s="413">
        <f t="shared" si="30"/>
        <v>43.6779381443299</v>
      </c>
      <c r="Q35" s="180">
        <f>SUMIFS(BV_Data_An_Prec!$P:$P,BV_Data_An_Prec!$U:$U,$B35,BV_Data_An_Prec!$V:$V,$C35,BV_Data_An_Prec!$W:$W,Q$2)</f>
        <v>8473.52</v>
      </c>
      <c r="R35" s="310"/>
      <c r="S35" s="202">
        <f t="shared" si="31"/>
        <v>-7192.02</v>
      </c>
      <c r="T35" s="222"/>
      <c r="U35" s="222"/>
      <c r="V35" s="514"/>
      <c r="W35" s="978"/>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180.66964285714286</v>
      </c>
      <c r="F36" s="179">
        <f>+SUMPRODUCT(('Budget original'!$A$8:$A$496=$A36)*('Budget original'!$C$3:$AO$3=F$2),'Budget original'!$C$8:$AO$496)</f>
        <v>30183.38949409331</v>
      </c>
      <c r="G36" s="302"/>
      <c r="H36" s="197">
        <f t="shared" si="27"/>
        <v>180.66964285714286</v>
      </c>
      <c r="I36" s="179">
        <f>+SUMPRODUCT(('Budget révisé'!$A$8:$A$496=$A36)*('Budget révisé'!$C$3:$AO$3=I$2),'Budget révisé'!$C$8:$AO$496)</f>
        <v>30183.38949409331</v>
      </c>
      <c r="J36" s="303"/>
      <c r="K36" s="197">
        <f t="shared" si="28"/>
        <v>161.26805369127518</v>
      </c>
      <c r="L36" s="630">
        <f>SUMIFS(BV_Data_An_Cour!$P:$P,BV_Data_An_Cour!$U:$U,$B36,BV_Data_An_Cour!$V:$V,$C36,BV_Data_An_Cour!$W:$W,L$2)</f>
        <v>24028.940000000002</v>
      </c>
      <c r="M36" s="178"/>
      <c r="N36" s="304">
        <f t="shared" si="29"/>
        <v>-6154.4494940933073</v>
      </c>
      <c r="O36" s="303"/>
      <c r="P36" s="197">
        <f t="shared" si="30"/>
        <v>81.391752577319593</v>
      </c>
      <c r="Q36" s="429">
        <f>SUMIFS(BV_Data_An_Prec!$P:$P,BV_Data_An_Prec!$U:$U,$B36,BV_Data_An_Prec!$V:$V,$C36,BV_Data_An_Prec!$W:$W,Q$2)</f>
        <v>15790</v>
      </c>
      <c r="R36" s="303"/>
      <c r="S36" s="199">
        <f t="shared" si="31"/>
        <v>8238.9400000000023</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253.7318425246379</v>
      </c>
      <c r="F37" s="179">
        <f>+SUMPRODUCT(('Budget original'!$A$8:$A$496=$A37)*('Budget original'!$C$3:$AO$3=F$2),'Budget original'!$C$8:$AO$496)</f>
        <v>42389.45131491033</v>
      </c>
      <c r="G37" s="302"/>
      <c r="H37" s="197">
        <f t="shared" ref="H37:H40" si="34">I37/G$24</f>
        <v>255.27525388995036</v>
      </c>
      <c r="I37" s="179">
        <f>+SUMPRODUCT(('Budget révisé'!$A$8:$A$496=$A37)*('Budget révisé'!$C$3:$AO$3=I$2),'Budget révisé'!$C$8:$AO$496)</f>
        <v>42647.299759464302</v>
      </c>
      <c r="J37" s="303"/>
      <c r="K37" s="197">
        <f t="shared" ref="K37:K40" si="35">IF(L37=0,0,L37/J$24)</f>
        <v>246.25033557046982</v>
      </c>
      <c r="L37" s="631">
        <f>SUMIFS(BV_Data_An_Cour!$P:$P,BV_Data_An_Cour!$U:$U,$B37,BV_Data_An_Cour!$V:$V,$C37,BV_Data_An_Cour!$W:$W,L$2)</f>
        <v>36691.300000000003</v>
      </c>
      <c r="M37" s="178"/>
      <c r="N37" s="304">
        <f t="shared" ref="N37:N40" si="36">L37-I37</f>
        <v>-5955.9997594642991</v>
      </c>
      <c r="O37" s="303"/>
      <c r="P37" s="197">
        <f t="shared" ref="P37:P40" si="37">IF(Q37=0,0,Q37/O$24)</f>
        <v>284.82180412371133</v>
      </c>
      <c r="Q37" s="180">
        <f>SUMIFS(BV_Data_An_Prec!$P:$P,BV_Data_An_Prec!$U:$U,$B37,BV_Data_An_Prec!$V:$V,$C37,BV_Data_An_Prec!$W:$W,Q$2)</f>
        <v>55255.43</v>
      </c>
      <c r="R37" s="303"/>
      <c r="S37" s="199">
        <f t="shared" ref="S37:S40" si="38">L37-Q37</f>
        <v>-18564.129999999997</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1">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1">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2">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0.6986660622023908</v>
      </c>
      <c r="F41" s="41">
        <f>SUM(F31:F40)</f>
        <v>221070.77371921524</v>
      </c>
      <c r="G41" s="42" t="s">
        <v>111</v>
      </c>
      <c r="H41" s="40">
        <f>I41/I$27</f>
        <v>0.58196153593458155</v>
      </c>
      <c r="I41" s="41">
        <f>SUM(I31:I40)</f>
        <v>222151.46348279165</v>
      </c>
      <c r="J41" s="42" t="s">
        <v>111</v>
      </c>
      <c r="K41" s="40">
        <f>L41/L$27</f>
        <v>0.59537211727013117</v>
      </c>
      <c r="L41" s="41">
        <f>SUM(L31:L40)</f>
        <v>204534.03000000003</v>
      </c>
      <c r="M41" s="583"/>
      <c r="N41" s="41">
        <f t="shared" si="29"/>
        <v>-17617.433482791617</v>
      </c>
      <c r="O41" s="42" t="s">
        <v>111</v>
      </c>
      <c r="P41" s="40">
        <f>Q41/Q$27</f>
        <v>0.92085833808011497</v>
      </c>
      <c r="Q41" s="582">
        <f>SUM(Q31:Q40)</f>
        <v>245550.9</v>
      </c>
      <c r="R41" s="44"/>
      <c r="S41" s="316">
        <f t="shared" si="31"/>
        <v>-41016.869999999966</v>
      </c>
      <c r="T41" s="222"/>
      <c r="U41" s="1119">
        <f>H41/K41</f>
        <v>0.97747529495160257</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73881.563793103443</v>
      </c>
      <c r="G42" s="303"/>
      <c r="H42" s="178"/>
      <c r="I42" s="179">
        <f>+SUMPRODUCT(('Budget révisé'!$A$8:$A$496=$A42)*('Budget révisé'!$C$3:$AO$3=I$2),'Budget révisé'!$C$8:$AO$496)</f>
        <v>73881.563793103443</v>
      </c>
      <c r="J42" s="303"/>
      <c r="K42" s="178"/>
      <c r="L42" s="281">
        <f>SUMIFS(BV_Data_An_Cour!$P:$P,BV_Data_An_Cour!$U:$U,$B42,BV_Data_An_Cour!$V:$V,$C42,BV_Data_An_Cour!$W:$W,L$2)</f>
        <v>60808.84</v>
      </c>
      <c r="M42" s="303"/>
      <c r="N42" s="304">
        <f t="shared" si="29"/>
        <v>-13072.723793103447</v>
      </c>
      <c r="O42" s="303"/>
      <c r="P42" s="178"/>
      <c r="Q42" s="180">
        <f>SUMIFS(BV_Data_An_Prec!$P:$P,BV_Data_An_Prec!$U:$U,$B42,BV_Data_An_Prec!$V:$V,$C42,BV_Data_An_Prec!$W:$W,Q$2)</f>
        <v>71774.44</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29176.321571310345</v>
      </c>
      <c r="G43" s="302"/>
      <c r="H43" s="178"/>
      <c r="I43" s="177">
        <f>+SUMPRODUCT(('Budget révisé'!$A$8:$A$496=$A43)*('Budget révisé'!$C$3:$AO$3=I$2),'Budget révisé'!$C$8:$AO$496)</f>
        <v>29176.321571310345</v>
      </c>
      <c r="J43" s="303"/>
      <c r="K43" s="1117"/>
      <c r="L43" s="281">
        <f>SUMIFS(BV_Data_An_Cour!$P:$P,BV_Data_An_Cour!$U:$U,$B43,BV_Data_An_Cour!$V:$V,$C43,BV_Data_An_Cour!$W:$W,L$2)</f>
        <v>22061.19</v>
      </c>
      <c r="M43" s="303"/>
      <c r="N43" s="304">
        <f t="shared" si="29"/>
        <v>-7115.1315713103468</v>
      </c>
      <c r="O43" s="303"/>
      <c r="P43" s="178"/>
      <c r="Q43" s="180">
        <f>SUMIFS(BV_Data_An_Prec!$P:$P,BV_Data_An_Prec!$U:$U,$B43,BV_Data_An_Prec!$V:$V,$C43,BV_Data_An_Prec!$W:$W,Q$2)</f>
        <v>27402.400000000001</v>
      </c>
      <c r="R43" s="303"/>
      <c r="S43" s="199">
        <f t="shared" ref="S43:S53" si="39">L43-Q43</f>
        <v>-5341.2100000000028</v>
      </c>
      <c r="T43" s="222"/>
      <c r="U43" s="1118"/>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18385.271612616092</v>
      </c>
      <c r="G44" s="393"/>
      <c r="H44" s="352"/>
      <c r="I44" s="179">
        <f>+SUMPRODUCT(('Budget révisé'!$A$8:$A$496=$A44)*('Budget révisé'!$C$3:$AO$3=I$2),'Budget révisé'!$C$8:$AO$496)</f>
        <v>18385.271612616092</v>
      </c>
      <c r="J44" s="368"/>
      <c r="K44" s="352"/>
      <c r="L44" s="181">
        <f>SUMIFS(BV_Data_An_Cour!$P:$P,BV_Data_An_Cour!$U:$U,$B44,BV_Data_An_Cour!$V:$V,$C44,BV_Data_An_Cour!$W:$W,L$2)</f>
        <v>18679.11</v>
      </c>
      <c r="M44" s="368"/>
      <c r="N44" s="356">
        <f t="shared" si="29"/>
        <v>293.83838738390841</v>
      </c>
      <c r="O44" s="368"/>
      <c r="P44" s="352"/>
      <c r="Q44" s="181">
        <f>SUMIFS(BV_Data_An_Prec!$P:$P,BV_Data_An_Prec!$U:$U,$B44,BV_Data_An_Prec!$V:$V,$C44,BV_Data_An_Prec!$W:$W,Q$2)</f>
        <v>17645.34</v>
      </c>
      <c r="R44" s="368"/>
      <c r="S44" s="201">
        <f t="shared" si="39"/>
        <v>1033.7700000000004</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27641.631212080763</v>
      </c>
      <c r="G49" s="302"/>
      <c r="H49" s="178"/>
      <c r="I49" s="177">
        <f>+SUMPRODUCT(('Budget révisé'!$A$8:$A$496=$A49)*('Budget révisé'!$C$3:$AO$3=I$2),'Budget révisé'!$C$8:$AO$496)</f>
        <v>27740.372170363451</v>
      </c>
      <c r="J49" s="303"/>
      <c r="K49" s="178"/>
      <c r="L49" s="177">
        <f>SUMIFS(BV_Data_An_Cour!$P:$P,BV_Data_An_Cour!$U:$U,$B49,BV_Data_An_Cour!$V:$V,$C49,BV_Data_An_Cour!$W:$W,L$2)</f>
        <v>27937.68</v>
      </c>
      <c r="M49" s="303"/>
      <c r="N49" s="304">
        <f t="shared" si="29"/>
        <v>197.30782963654929</v>
      </c>
      <c r="O49" s="303"/>
      <c r="P49" s="178"/>
      <c r="Q49" s="177">
        <f>SUMIFS(BV_Data_An_Prec!$P:$P,BV_Data_An_Prec!$U:$U,$B49,BV_Data_An_Prec!$V:$V,$C49,BV_Data_An_Prec!$W:$W,Q$2)</f>
        <v>38168.839999999997</v>
      </c>
      <c r="R49" s="303"/>
      <c r="S49" s="199">
        <f t="shared" si="39"/>
        <v>-10231.159999999996</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27641.631212080763</v>
      </c>
      <c r="G50" s="393"/>
      <c r="H50" s="352"/>
      <c r="I50" s="179">
        <f>+SUMPRODUCT(('Budget révisé'!$A$8:$A$496=$A50)*('Budget révisé'!$C$3:$AO$3=I$2),'Budget révisé'!$C$8:$AO$496)</f>
        <v>27740.372170363451</v>
      </c>
      <c r="J50" s="368"/>
      <c r="K50" s="352"/>
      <c r="L50" s="180">
        <f>SUMIFS(BV_Data_An_Cour!$P:$P,BV_Data_An_Cour!$U:$U,$B50,BV_Data_An_Cour!$V:$V,$C50,BV_Data_An_Cour!$W:$W,L$2)</f>
        <v>27472.54</v>
      </c>
      <c r="M50" s="368"/>
      <c r="N50" s="356">
        <f t="shared" si="29"/>
        <v>-267.83217036345013</v>
      </c>
      <c r="O50" s="368"/>
      <c r="P50" s="352"/>
      <c r="Q50" s="180">
        <f>SUMIFS(BV_Data_An_Prec!$P:$P,BV_Data_An_Prec!$U:$U,$B50,BV_Data_An_Prec!$V:$V,$C50,BV_Data_An_Prec!$W:$W,Q$2)</f>
        <v>33734.81</v>
      </c>
      <c r="R50" s="368"/>
      <c r="S50" s="201">
        <f t="shared" si="39"/>
        <v>-6262.2699999999968</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19809.835701991211</v>
      </c>
      <c r="G51" s="302"/>
      <c r="H51" s="178"/>
      <c r="I51" s="179">
        <f>+SUMPRODUCT(('Budget révisé'!$A$8:$A$496=$A51)*('Budget révisé'!$C$3:$AO$3=I$2),'Budget révisé'!$C$8:$AO$496)</f>
        <v>19880.600055427141</v>
      </c>
      <c r="J51" s="303"/>
      <c r="K51" s="178"/>
      <c r="L51" s="180">
        <f>SUMIFS(BV_Data_An_Cour!$P:$P,BV_Data_An_Cour!$U:$U,$B51,BV_Data_An_Cour!$V:$V,$C51,BV_Data_An_Cour!$W:$W,L$2)</f>
        <v>19688.650000000001</v>
      </c>
      <c r="M51" s="303"/>
      <c r="N51" s="304">
        <f t="shared" si="29"/>
        <v>-191.95005542713989</v>
      </c>
      <c r="O51" s="303"/>
      <c r="P51" s="178"/>
      <c r="Q51" s="180">
        <f>SUMIFS(BV_Data_An_Prec!$P:$P,BV_Data_An_Prec!$U:$U,$B51,BV_Data_An_Prec!$V:$V,$C51,BV_Data_An_Prec!$W:$W,Q$2)</f>
        <v>23268.86</v>
      </c>
      <c r="R51" s="303"/>
      <c r="S51" s="199">
        <f t="shared" si="39"/>
        <v>-3580.2099999999991</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4606.9385353467942</v>
      </c>
      <c r="G52" s="302"/>
      <c r="H52" s="178"/>
      <c r="I52" s="179">
        <f>+SUMPRODUCT(('Budget révisé'!$A$8:$A$496=$A52)*('Budget révisé'!$C$3:$AO$3=I$2),'Budget révisé'!$C$8:$AO$496)</f>
        <v>4623.3953617272418</v>
      </c>
      <c r="J52" s="303"/>
      <c r="K52" s="178"/>
      <c r="L52" s="180">
        <f>SUMIFS(BV_Data_An_Cour!$P:$P,BV_Data_An_Cour!$U:$U,$B52,BV_Data_An_Cour!$V:$V,$C52,BV_Data_An_Cour!$W:$W,L$2)</f>
        <v>13578.76</v>
      </c>
      <c r="M52" s="303"/>
      <c r="N52" s="304">
        <f t="shared" si="29"/>
        <v>8955.3646382727584</v>
      </c>
      <c r="O52" s="303"/>
      <c r="P52" s="178"/>
      <c r="Q52" s="180">
        <f>SUMIFS(BV_Data_An_Prec!$P:$P,BV_Data_An_Prec!$U:$U,$B52,BV_Data_An_Prec!$V:$V,$C52,BV_Data_An_Prec!$W:$W,Q$2)</f>
        <v>8938.9599999999991</v>
      </c>
      <c r="R52" s="303"/>
      <c r="S52" s="199">
        <f t="shared" si="39"/>
        <v>4639.8000000000011</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0.63568747995940744</v>
      </c>
      <c r="F54" s="41">
        <f>+SUM(F42:F53)</f>
        <v>201143.19363852942</v>
      </c>
      <c r="G54" s="42" t="s">
        <v>111</v>
      </c>
      <c r="H54" s="40">
        <f>I54/I$27</f>
        <v>0.52767281532224342</v>
      </c>
      <c r="I54" s="41">
        <f>+SUM(I42:I53)</f>
        <v>201427.89673491119</v>
      </c>
      <c r="J54" s="42" t="s">
        <v>111</v>
      </c>
      <c r="K54" s="40">
        <f>L54/L$27</f>
        <v>0.55372553318564277</v>
      </c>
      <c r="L54" s="41">
        <f>+SUM(L42:L53)</f>
        <v>190226.77000000002</v>
      </c>
      <c r="M54" s="44"/>
      <c r="N54" s="41">
        <f>+SUM(N42:N53)</f>
        <v>-11201.126734911168</v>
      </c>
      <c r="O54" s="42" t="s">
        <v>111</v>
      </c>
      <c r="P54" s="40">
        <f>Q54/Q$27</f>
        <v>0.82853939352278394</v>
      </c>
      <c r="Q54" s="41">
        <f>+SUM(Q42:Q53)</f>
        <v>220933.65</v>
      </c>
      <c r="R54" s="44"/>
      <c r="S54" s="316">
        <f>+SUM(S42:S53)</f>
        <v>-19741.279999999992</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27266.6325</v>
      </c>
      <c r="G57" s="309"/>
      <c r="H57" s="308"/>
      <c r="I57" s="177">
        <f>+SUMPRODUCT(('Budget révisé'!$A$8:$A$496=$A57)*('Budget révisé'!$C$3:$AO$3=I$2),'Budget révisé'!$C$8:$AO$496)</f>
        <v>27266.6325</v>
      </c>
      <c r="J57" s="310"/>
      <c r="K57" s="308"/>
      <c r="L57" s="177">
        <f>SUMIFS(BV_Data_An_Cour!$P:$P,BV_Data_An_Cour!$U:$U,$B57,BV_Data_An_Cour!$V:$V,$C57,BV_Data_An_Cour!$W:$W,L$2)</f>
        <v>16182.8</v>
      </c>
      <c r="M57" s="310"/>
      <c r="N57" s="434">
        <f t="shared" si="43"/>
        <v>-11083.8325</v>
      </c>
      <c r="O57" s="310"/>
      <c r="P57" s="308"/>
      <c r="Q57" s="177">
        <f>SUMIFS(BV_Data_An_Prec!$P:$P,BV_Data_An_Prec!$U:$U,$B57,BV_Data_An_Prec!$V:$V,$C57,BV_Data_An_Prec!$W:$W,Q$2)</f>
        <v>39357.03</v>
      </c>
      <c r="R57" s="310"/>
      <c r="S57" s="202">
        <f t="shared" si="44"/>
        <v>-23174.23</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20032.188800000004</v>
      </c>
      <c r="G58" s="302"/>
      <c r="H58" s="178"/>
      <c r="I58" s="179">
        <f>+SUMPRODUCT(('Budget révisé'!$A$8:$A$496=$A58)*('Budget révisé'!$C$3:$AO$3=I$2),'Budget révisé'!$C$8:$AO$496)</f>
        <v>20032.188800000004</v>
      </c>
      <c r="J58" s="303"/>
      <c r="K58" s="178"/>
      <c r="L58" s="180">
        <f>SUMIFS(BV_Data_An_Cour!$P:$P,BV_Data_An_Cour!$U:$U,$B58,BV_Data_An_Cour!$V:$V,$C58,BV_Data_An_Cour!$W:$W,L$2)</f>
        <v>17512.37</v>
      </c>
      <c r="M58" s="303"/>
      <c r="N58" s="304">
        <f t="shared" si="43"/>
        <v>-2519.8188000000046</v>
      </c>
      <c r="O58" s="303"/>
      <c r="P58" s="178"/>
      <c r="Q58" s="180">
        <f>SUMIFS(BV_Data_An_Prec!$P:$P,BV_Data_An_Prec!$U:$U,$B58,BV_Data_An_Prec!$V:$V,$C58,BV_Data_An_Prec!$W:$W,Q$2)</f>
        <v>20491.79</v>
      </c>
      <c r="R58" s="303"/>
      <c r="S58" s="199">
        <f t="shared" si="44"/>
        <v>-2979.4200000000019</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4789.4903999999997</v>
      </c>
      <c r="G59" s="302"/>
      <c r="H59" s="178"/>
      <c r="I59" s="179">
        <f>+SUMPRODUCT(('Budget révisé'!$A$8:$A$496=$A59)*('Budget révisé'!$C$3:$AO$3=I$2),'Budget révisé'!$C$8:$AO$496)</f>
        <v>4789.4903999999997</v>
      </c>
      <c r="J59" s="303"/>
      <c r="K59" s="178"/>
      <c r="L59" s="180">
        <f>SUMIFS(BV_Data_An_Cour!$P:$P,BV_Data_An_Cour!$U:$U,$B59,BV_Data_An_Cour!$V:$V,$C59,BV_Data_An_Cour!$W:$W,L$2)</f>
        <v>758.41</v>
      </c>
      <c r="M59" s="303"/>
      <c r="N59" s="304">
        <f t="shared" si="43"/>
        <v>-4031.0803999999998</v>
      </c>
      <c r="O59" s="303"/>
      <c r="P59" s="178"/>
      <c r="Q59" s="180">
        <f>SUMIFS(BV_Data_An_Prec!$P:$P,BV_Data_An_Prec!$U:$U,$B59,BV_Data_An_Prec!$V:$V,$C59,BV_Data_An_Prec!$W:$W,Q$2)</f>
        <v>5833.92</v>
      </c>
      <c r="R59" s="303"/>
      <c r="S59" s="199">
        <f t="shared" si="44"/>
        <v>-5075.51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28229.684000000001</v>
      </c>
      <c r="G60" s="309"/>
      <c r="H60" s="308"/>
      <c r="I60" s="177">
        <f>+SUMPRODUCT(('Budget révisé'!$A$8:$A$496=$A60)*('Budget révisé'!$C$3:$AO$3=I$2),'Budget révisé'!$C$8:$AO$496)</f>
        <v>28229.684000000001</v>
      </c>
      <c r="J60" s="310"/>
      <c r="K60" s="308"/>
      <c r="L60" s="177">
        <f>SUMIFS(BV_Data_An_Cour!$P:$P,BV_Data_An_Cour!$U:$U,$B60,BV_Data_An_Cour!$V:$V,$C60,BV_Data_An_Cour!$W:$W,L$2)</f>
        <v>21531.87</v>
      </c>
      <c r="M60" s="310"/>
      <c r="N60" s="311">
        <f t="shared" si="43"/>
        <v>-6697.8140000000021</v>
      </c>
      <c r="O60" s="310"/>
      <c r="P60" s="308"/>
      <c r="Q60" s="177">
        <f>SUMIFS(BV_Data_An_Prec!$P:$P,BV_Data_An_Prec!$U:$U,$B60,BV_Data_An_Prec!$V:$V,$C60,BV_Data_An_Prec!$W:$W,Q$2)</f>
        <v>24050.52</v>
      </c>
      <c r="R60" s="310"/>
      <c r="S60" s="202">
        <f t="shared" si="44"/>
        <v>-2518.6500000000015</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668.25591763547345</v>
      </c>
      <c r="G61" s="302"/>
      <c r="H61" s="178"/>
      <c r="I61" s="179">
        <f>+SUMPRODUCT(('Budget révisé'!$A$8:$A$496=$A61)*('Budget révisé'!$C$3:$AO$3=I$2),'Budget révisé'!$C$8:$AO$496)</f>
        <v>668.25591763547345</v>
      </c>
      <c r="J61" s="303"/>
      <c r="K61" s="178"/>
      <c r="L61" s="180">
        <f>SUMIFS(BV_Data_An_Cour!$P:$P,BV_Data_An_Cour!$U:$U,$B61,BV_Data_An_Cour!$V:$V,$C61,BV_Data_An_Cour!$W:$W,L$2)</f>
        <v>0</v>
      </c>
      <c r="M61" s="303"/>
      <c r="N61" s="304">
        <f t="shared" si="43"/>
        <v>-668.25591763547345</v>
      </c>
      <c r="O61" s="303"/>
      <c r="P61" s="178"/>
      <c r="Q61" s="180">
        <f>SUMIFS(BV_Data_An_Prec!$P:$P,BV_Data_An_Prec!$U:$U,$B61,BV_Data_An_Prec!$V:$V,$C61,BV_Data_An_Prec!$W:$W,Q$2)</f>
        <v>621</v>
      </c>
      <c r="R61" s="303"/>
      <c r="S61" s="199">
        <f t="shared" si="44"/>
        <v>-621</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105</v>
      </c>
      <c r="G62" s="302"/>
      <c r="H62" s="178"/>
      <c r="I62" s="179">
        <f>+SUMPRODUCT(('Budget révisé'!$A$8:$A$496=$A62)*('Budget révisé'!$C$3:$AO$3=I$2),'Budget révisé'!$C$8:$AO$496)</f>
        <v>105</v>
      </c>
      <c r="J62" s="303"/>
      <c r="K62" s="178"/>
      <c r="L62" s="180">
        <f>SUMIFS(BV_Data_An_Cour!$P:$P,BV_Data_An_Cour!$U:$U,$B62,BV_Data_An_Cour!$V:$V,$C62,BV_Data_An_Cour!$W:$W,L$2)</f>
        <v>0</v>
      </c>
      <c r="M62" s="303"/>
      <c r="N62" s="304">
        <f t="shared" si="43"/>
        <v>-105</v>
      </c>
      <c r="O62" s="303"/>
      <c r="P62" s="178"/>
      <c r="Q62" s="180">
        <f>SUMIFS(BV_Data_An_Prec!$P:$P,BV_Data_An_Prec!$U:$U,$B62,BV_Data_An_Prec!$V:$V,$C62,BV_Data_An_Prec!$W:$W,Q$2)</f>
        <v>105</v>
      </c>
      <c r="R62" s="303"/>
      <c r="S62" s="199">
        <f t="shared" si="44"/>
        <v>-105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2092.8000000000002</v>
      </c>
      <c r="G63" s="302"/>
      <c r="H63" s="178"/>
      <c r="I63" s="179">
        <f>+SUMPRODUCT(('Budget révisé'!$A$8:$A$496=$A63)*('Budget révisé'!$C$3:$AO$3=I$2),'Budget révisé'!$C$8:$AO$496)</f>
        <v>2092.8000000000002</v>
      </c>
      <c r="J63" s="303"/>
      <c r="K63" s="178"/>
      <c r="L63" s="554">
        <f>SUMIFS(BV_Data_An_Cour!$P:$P,BV_Data_An_Cour!$U:$U,$B63,BV_Data_An_Cour!$V:$V,$C63,BV_Data_An_Cour!$W:$W,L$2)</f>
        <v>1424.5</v>
      </c>
      <c r="M63" s="303"/>
      <c r="N63" s="304">
        <f t="shared" si="43"/>
        <v>-668.30000000000018</v>
      </c>
      <c r="O63" s="303"/>
      <c r="P63" s="178"/>
      <c r="Q63" s="554">
        <f>SUMIFS(BV_Data_An_Prec!$P:$P,BV_Data_An_Prec!$U:$U,$B63,BV_Data_An_Prec!$V:$V,$C63,BV_Data_An_Prec!$W:$W,Q$2)</f>
        <v>1776</v>
      </c>
      <c r="R63" s="303"/>
      <c r="S63" s="199">
        <f t="shared" si="44"/>
        <v>-351.5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1769.7360000000001</v>
      </c>
      <c r="G64" s="302"/>
      <c r="H64" s="178"/>
      <c r="I64" s="179">
        <f>+SUMPRODUCT(('Budget révisé'!$A$8:$A$496=$A64)*('Budget révisé'!$C$3:$AO$3=I$2),'Budget révisé'!$C$8:$AO$496)</f>
        <v>1769.7360000000001</v>
      </c>
      <c r="J64" s="303"/>
      <c r="K64" s="178"/>
      <c r="L64" s="180">
        <f>SUMIFS(BV_Data_An_Cour!$P:$P,BV_Data_An_Cour!$U:$U,$B64,BV_Data_An_Cour!$V:$V,$C64,BV_Data_An_Cour!$W:$W,L$2)</f>
        <v>1156.99</v>
      </c>
      <c r="M64" s="303"/>
      <c r="N64" s="304">
        <f t="shared" si="43"/>
        <v>-612.74600000000009</v>
      </c>
      <c r="O64" s="303"/>
      <c r="P64" s="178"/>
      <c r="Q64" s="180">
        <f>SUMIFS(BV_Data_An_Prec!$P:$P,BV_Data_An_Prec!$U:$U,$B64,BV_Data_An_Prec!$V:$V,$C64,BV_Data_An_Prec!$W:$W,Q$2)</f>
        <v>1629.3</v>
      </c>
      <c r="R64" s="303"/>
      <c r="S64" s="199">
        <f t="shared" si="44"/>
        <v>-472.30999999999995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830.40000000000009</v>
      </c>
      <c r="G65" s="302"/>
      <c r="H65" s="178"/>
      <c r="I65" s="179">
        <f>+SUMPRODUCT(('Budget révisé'!$A$8:$A$496=$A65)*('Budget révisé'!$C$3:$AO$3=I$2),'Budget révisé'!$C$8:$AO$496)</f>
        <v>830.40000000000009</v>
      </c>
      <c r="J65" s="303"/>
      <c r="K65" s="178"/>
      <c r="L65" s="281">
        <f>SUMIFS(BV_Data_An_Cour!$P:$P,BV_Data_An_Cour!$U:$U,$B65,BV_Data_An_Cour!$V:$V,$C65,BV_Data_An_Cour!$W:$W,L$2)</f>
        <v>280.31</v>
      </c>
      <c r="M65" s="303"/>
      <c r="N65" s="304">
        <f t="shared" si="43"/>
        <v>-550.09000000000015</v>
      </c>
      <c r="O65" s="303"/>
      <c r="P65" s="178"/>
      <c r="Q65" s="180">
        <f>SUMIFS(BV_Data_An_Prec!$P:$P,BV_Data_An_Prec!$U:$U,$B65,BV_Data_An_Prec!$V:$V,$C65,BV_Data_An_Prec!$W:$W,Q$2)</f>
        <v>383.73</v>
      </c>
      <c r="R65" s="303"/>
      <c r="S65" s="199">
        <f t="shared" si="44"/>
        <v>-103.42000000000002</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4047.3600000000006</v>
      </c>
      <c r="G66" s="302"/>
      <c r="H66" s="178"/>
      <c r="I66" s="179">
        <f>+SUMPRODUCT(('Budget révisé'!$A$8:$A$496=$A66)*('Budget révisé'!$C$3:$AO$3=I$2),'Budget révisé'!$C$8:$AO$496)</f>
        <v>4047.3600000000006</v>
      </c>
      <c r="J66" s="303"/>
      <c r="K66" s="178"/>
      <c r="L66" s="281">
        <f>SUMIFS(BV_Data_An_Cour!$P:$P,BV_Data_An_Cour!$U:$U,$B66,BV_Data_An_Cour!$V:$V,$C66,BV_Data_An_Cour!$W:$W,L$2)</f>
        <v>4079.84</v>
      </c>
      <c r="M66" s="303"/>
      <c r="N66" s="304">
        <f t="shared" si="43"/>
        <v>32.479999999999563</v>
      </c>
      <c r="O66" s="303"/>
      <c r="P66" s="178"/>
      <c r="Q66" s="180">
        <f>SUMIFS(BV_Data_An_Prec!$P:$P,BV_Data_An_Prec!$U:$U,$B66,BV_Data_An_Prec!$V:$V,$C66,BV_Data_An_Prec!$W:$W,Q$2)</f>
        <v>5169.83</v>
      </c>
      <c r="R66" s="303"/>
      <c r="S66" s="199">
        <f t="shared" si="44"/>
        <v>-1089.9899999999998</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4315.0400000000009</v>
      </c>
      <c r="G67" s="302"/>
      <c r="H67" s="178"/>
      <c r="I67" s="179">
        <f>+SUMPRODUCT(('Budget révisé'!$A$8:$A$496=$A67)*('Budget révisé'!$C$3:$AO$3=I$2),'Budget révisé'!$C$8:$AO$496)</f>
        <v>4315.0400000000009</v>
      </c>
      <c r="J67" s="303"/>
      <c r="K67" s="178"/>
      <c r="L67" s="281">
        <f>SUMIFS(BV_Data_An_Cour!$P:$P,BV_Data_An_Cour!$U:$U,$B67,BV_Data_An_Cour!$V:$V,$C67,BV_Data_An_Cour!$W:$W,L$2)</f>
        <v>1569.99</v>
      </c>
      <c r="M67" s="303"/>
      <c r="N67" s="304">
        <f t="shared" ref="N67" si="46">L67-I67</f>
        <v>-2745.0500000000011</v>
      </c>
      <c r="O67" s="303"/>
      <c r="P67" s="178"/>
      <c r="Q67" s="180">
        <f>SUMIFS(BV_Data_An_Prec!$P:$P,BV_Data_An_Prec!$U:$U,$B67,BV_Data_An_Prec!$V:$V,$C67,BV_Data_An_Prec!$W:$W,Q$2)</f>
        <v>13667.49</v>
      </c>
      <c r="R67" s="303"/>
      <c r="S67" s="199">
        <f t="shared" ref="S67" si="47">L67-Q67</f>
        <v>-12097.5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5971.7353738502752</v>
      </c>
      <c r="G68" s="302"/>
      <c r="H68" s="178"/>
      <c r="I68" s="179">
        <f>+SUMPRODUCT(('Budget révisé'!$A$8:$A$496=$A68)*('Budget révisé'!$C$3:$AO$3=I$2),'Budget révisé'!$C$8:$AO$496)</f>
        <v>5971.7353738502752</v>
      </c>
      <c r="J68" s="303"/>
      <c r="K68" s="178"/>
      <c r="L68" s="985">
        <f>AF447*W3</f>
        <v>7310.3985000000002</v>
      </c>
      <c r="M68" s="303"/>
      <c r="N68" s="304">
        <f t="shared" ref="N68:N69" si="48">L68-I68</f>
        <v>1338.663126149725</v>
      </c>
      <c r="O68" s="303"/>
      <c r="P68" s="178"/>
      <c r="Q68" s="180">
        <f>AL447*W3</f>
        <v>6940.0934999999999</v>
      </c>
      <c r="R68" s="303"/>
      <c r="S68" s="199">
        <f t="shared" ref="S68:S69" si="49">L68-Q68</f>
        <v>370.30500000000029</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0.31641122569920471</v>
      </c>
      <c r="F72" s="41">
        <f>+SUM(F55:F71)</f>
        <v>100118.32299148574</v>
      </c>
      <c r="G72" s="42" t="s">
        <v>111</v>
      </c>
      <c r="H72" s="40">
        <f>I72/I$27</f>
        <v>0.26227607106370882</v>
      </c>
      <c r="I72" s="41">
        <f>+SUM(I55:I71)</f>
        <v>100118.32299148574</v>
      </c>
      <c r="J72" s="42" t="s">
        <v>111</v>
      </c>
      <c r="K72" s="40">
        <f>L72/L$27</f>
        <v>0.20902228597546538</v>
      </c>
      <c r="L72" s="41">
        <f>+SUM(L55:L71)</f>
        <v>71807.478499999997</v>
      </c>
      <c r="M72" s="44"/>
      <c r="N72" s="41">
        <f>+SUM(N55:N71)</f>
        <v>-28310.844491485754</v>
      </c>
      <c r="O72" s="42" t="s">
        <v>111</v>
      </c>
      <c r="P72" s="40">
        <f>Q72/Q$27</f>
        <v>0.45011714415180987</v>
      </c>
      <c r="Q72" s="41">
        <f>+SUM(Q55:Q71)</f>
        <v>120025.70350000002</v>
      </c>
      <c r="R72" s="44"/>
      <c r="S72" s="316">
        <f>+SUM(S55:S71)</f>
        <v>-48218.224999999999</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1.6507647678610031</v>
      </c>
      <c r="F74" s="41">
        <f>F41+F54+F72</f>
        <v>522332.2903492304</v>
      </c>
      <c r="G74" s="42" t="s">
        <v>111</v>
      </c>
      <c r="H74" s="40">
        <f>I74/I$27</f>
        <v>1.3719104223205336</v>
      </c>
      <c r="I74" s="41">
        <f>I41+I54+I72</f>
        <v>523697.68320918852</v>
      </c>
      <c r="J74" s="42" t="s">
        <v>111</v>
      </c>
      <c r="K74" s="40">
        <f>L74/L$27</f>
        <v>1.3581199364312393</v>
      </c>
      <c r="L74" s="41">
        <f>L41+L54+L72</f>
        <v>466568.27850000001</v>
      </c>
      <c r="M74" s="44"/>
      <c r="N74" s="46">
        <f>L74-I74</f>
        <v>-57129.4047091885</v>
      </c>
      <c r="O74" s="42" t="s">
        <v>111</v>
      </c>
      <c r="P74" s="40">
        <f>Q74/Q$27</f>
        <v>2.1995148757547089</v>
      </c>
      <c r="Q74" s="41">
        <f>Q41+Q54+Q72</f>
        <v>586510.25349999999</v>
      </c>
      <c r="R74" s="44"/>
      <c r="S74" s="299">
        <f>L74-Q74</f>
        <v>-119941.97499999998</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90715.275000000023</v>
      </c>
      <c r="G75" s="302"/>
      <c r="H75" s="178"/>
      <c r="I75" s="179">
        <f>+SUMPRODUCT(('Budget révisé'!$A$8:$A$496=$A75)*('Budget révisé'!$C$3:$AO$3=I$2),'Budget révisé'!$C$8:$AO$496)</f>
        <v>21787.551410622465</v>
      </c>
      <c r="J75" s="303"/>
      <c r="K75" s="178"/>
      <c r="L75" s="554">
        <f>-SUMIFS(BV_Data_An_Cour!$P:$P,BV_Data_An_Cour!$U:$U,$B75,BV_Data_An_Cour!$V:$V,$C75,BV_Data_An_Cour!$W:$W,L$2)-L155</f>
        <v>57276.520000000004</v>
      </c>
      <c r="M75" s="303"/>
      <c r="N75" s="304"/>
      <c r="O75" s="303"/>
      <c r="P75" s="178"/>
      <c r="Q75" s="554">
        <f>-SUMIFS(BV_Data_An_Prec!$P:$P,BV_Data_An_Prec!$U:$U,$B75,BV_Data_An_Prec!$V:$V,$C75,BV_Data_An_Prec!$W:$W,Q$2)-Q155</f>
        <v>26080</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5">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5">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145551.13500000001</v>
      </c>
      <c r="G78" s="302"/>
      <c r="H78" s="178"/>
      <c r="I78" s="179">
        <f>+SUMPRODUCT(('Budget révisé'!$A$8:$A$496=$A78)*('Budget révisé'!$C$3:$AO$3=I$2),'Budget révisé'!$C$8:$AO$496)</f>
        <v>147852.33871541501</v>
      </c>
      <c r="J78" s="303"/>
      <c r="K78" s="178"/>
      <c r="L78" s="281">
        <f>-SUMIFS(BV_Data_An_Cour!$P:$P,BV_Data_An_Cour!$U:$U,$B78,BV_Data_An_Cour!$V:$V,$C78,BV_Data_An_Cour!$W:$W,L$2)</f>
        <v>229570</v>
      </c>
      <c r="M78" s="303"/>
      <c r="N78" s="304">
        <f t="shared" si="50"/>
        <v>81717.661284584989</v>
      </c>
      <c r="O78" s="303"/>
      <c r="P78" s="178"/>
      <c r="Q78" s="554">
        <f>-SUMIFS(BV_Data_An_Prec!$P:$P,BV_Data_An_Prec!$U:$U,$B78,BV_Data_An_Prec!$V:$V,$C78,BV_Data_An_Prec!$W:$W,Q$2)</f>
        <v>240979.1</v>
      </c>
      <c r="R78" s="303"/>
      <c r="S78" s="199">
        <f t="shared" si="51"/>
        <v>-11409.100000000006</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52474.795932325549</v>
      </c>
      <c r="G82" s="302"/>
      <c r="H82" s="178"/>
      <c r="I82" s="179">
        <f>+SUMPRODUCT(('Budget révisé'!$A$8:$A$496=$A82)*('Budget révisé'!$C$3:$AO$3=I$2),'Budget révisé'!$C$8:$AO$496)</f>
        <v>52474.795932325556</v>
      </c>
      <c r="J82" s="303"/>
      <c r="K82" s="178"/>
      <c r="L82" s="985">
        <f>-SUMIFS(BV_Data_An_Cour!$P:$P,BV_Data_An_Cour!$U:$U,$B82,BV_Data_An_Cour!$V:$V,$C82,BV_Data_An_Cour!$W:$W,L$2)-L158</f>
        <v>42351.7</v>
      </c>
      <c r="M82" s="303"/>
      <c r="N82" s="304">
        <f t="shared" si="50"/>
        <v>-10123.095932325559</v>
      </c>
      <c r="O82" s="303"/>
      <c r="P82" s="178"/>
      <c r="Q82" s="554">
        <f>-SUMIFS(BV_Data_An_Prec!$P:$P,BV_Data_An_Prec!$U:$U,$B82,BV_Data_An_Prec!$V:$V,$C82,BV_Data_An_Prec!$W:$W,Q$2)-Q158</f>
        <v>55129.25</v>
      </c>
      <c r="R82" s="303"/>
      <c r="S82" s="199">
        <f t="shared" si="51"/>
        <v>-12777.550000000003</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288741.20593232557</v>
      </c>
      <c r="G83" s="42"/>
      <c r="H83" s="40"/>
      <c r="I83" s="41">
        <f>+SUM(I75:I82)</f>
        <v>222114.68605836303</v>
      </c>
      <c r="J83" s="42"/>
      <c r="K83" s="40"/>
      <c r="L83" s="41">
        <f>+SUM(L75:L82)</f>
        <v>329198.22000000003</v>
      </c>
      <c r="M83" s="44"/>
      <c r="N83" s="41">
        <f>+SUM(N75:N82)</f>
        <v>71594.565352259437</v>
      </c>
      <c r="O83" s="42"/>
      <c r="P83" s="40"/>
      <c r="Q83" s="41">
        <f>+SUM(Q75:Q82)</f>
        <v>322188.34999999998</v>
      </c>
      <c r="R83" s="44"/>
      <c r="S83" s="316">
        <f>+SUM(S75:S82)</f>
        <v>-24186.650000000009</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82827.281493610877</v>
      </c>
      <c r="G85" s="436"/>
      <c r="H85" s="346"/>
      <c r="I85" s="343">
        <f>I27-I74+I83</f>
        <v>80145.776600578829</v>
      </c>
      <c r="J85" s="436"/>
      <c r="K85" s="342"/>
      <c r="L85" s="343">
        <f>L27-L74+L83</f>
        <v>206169.76150000049</v>
      </c>
      <c r="M85" s="436"/>
      <c r="N85" s="343">
        <f>N27-N41-N54-N72+N83</f>
        <v>90535.016310044128</v>
      </c>
      <c r="O85" s="436"/>
      <c r="P85" s="342"/>
      <c r="Q85" s="343">
        <f>Q27-Q74+Q83</f>
        <v>2332.4664999999222</v>
      </c>
      <c r="R85" s="436"/>
      <c r="S85" s="347">
        <f>S27-S41-S54-S72+S83</f>
        <v>161675.17500000051</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Mars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35" t="s">
        <v>77</v>
      </c>
      <c r="E91" s="1136"/>
      <c r="F91" s="1137"/>
      <c r="G91" s="1138" t="s">
        <v>145</v>
      </c>
      <c r="H91" s="1136"/>
      <c r="I91" s="1137"/>
      <c r="J91" s="1138" t="s">
        <v>79</v>
      </c>
      <c r="K91" s="1136"/>
      <c r="L91" s="1137"/>
      <c r="M91" s="1138" t="s">
        <v>80</v>
      </c>
      <c r="N91" s="1137"/>
      <c r="O91" s="1135" t="s">
        <v>81</v>
      </c>
      <c r="P91" s="1136"/>
      <c r="Q91" s="1137"/>
      <c r="R91" s="1138" t="s">
        <v>82</v>
      </c>
      <c r="S91" s="1139"/>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2210171.0403027656</v>
      </c>
      <c r="G93" s="183"/>
      <c r="H93" s="184"/>
      <c r="I93" s="177">
        <f>+SUMPRODUCT(('Budget révisé'!$A$8:$A$496=$A93)*('Budget révisé'!$C$3:$AO$3=I$2),'Budget révisé'!$C$8:$AO$496)</f>
        <v>2210171.0403027656</v>
      </c>
      <c r="J93" s="568"/>
      <c r="K93" s="184"/>
      <c r="L93" s="177">
        <f>-SUMIFS(BV_Data_An_Cour!$P:$P,BV_Data_An_Cour!$X:$X,"Oui",BV_Data_An_Cour!$U:$U,$B93)</f>
        <v>2988597.4800000004</v>
      </c>
      <c r="M93" s="395"/>
      <c r="N93" s="396"/>
      <c r="O93" s="568"/>
      <c r="P93" s="184"/>
      <c r="Q93" s="177">
        <f>-SUMIFS(BV_Data_An_Prec!$P:$P,BV_Data_An_Prec!$X:$X,"Oui",BV_Data_An_Prec!$U:$U,$B93)</f>
        <v>2018974.9999999998</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66.332738982659336</v>
      </c>
      <c r="E94" s="179">
        <f>IF(D94=0,0,F94/D94)</f>
        <v>750</v>
      </c>
      <c r="F94" s="179">
        <f>+SUMPRODUCT(('Budget original'!$A$8:$A$496=$A94)*('Budget original'!$C$3:$AO$3=F$2),'Budget original'!$C$8:$AO$496)</f>
        <v>49749.554236994503</v>
      </c>
      <c r="G94" s="182">
        <f>+SUMPRODUCT(('Budget révisé'!$A$8:$A$496=$A94)*('Budget révisé'!$C$3:$AO$3=G$2),'Budget révisé'!$C$8:$AO$496)</f>
        <v>66.332738982659336</v>
      </c>
      <c r="H94" s="179">
        <f>IF(G94=0,0,I94/G94)</f>
        <v>750</v>
      </c>
      <c r="I94" s="179">
        <f>+SUMPRODUCT(('Budget révisé'!$A$8:$A$496=$A94)*('Budget révisé'!$C$3:$AO$3=I$2),'Budget révisé'!$C$8:$AO$496)</f>
        <v>49749.554236994503</v>
      </c>
      <c r="J94" s="569">
        <f>-SUMIFS(BV_Data_An_Cour!$P:$P,BV_Data_An_Cour!$U:$U,$B94,BV_Data_An_Cour!$V:$V,$C94,BV_Data_An_Cour!$W:$W,J$2)</f>
        <v>86</v>
      </c>
      <c r="K94" s="179">
        <f t="shared" ref="K94:K95" si="56">IF(J94=0,0,L94/J94)</f>
        <v>887.39534883721069</v>
      </c>
      <c r="L94" s="180">
        <f>-SUMIFS(BV_Data_An_Cour!$P:$P,BV_Data_An_Cour!$U:$U,$B94,BV_Data_An_Cour!$V:$V,$C94,BV_Data_An_Cour!$W:$W,$L2)</f>
        <v>76316.000000000116</v>
      </c>
      <c r="M94" s="182">
        <f>J94-G94</f>
        <v>19.667261017340664</v>
      </c>
      <c r="N94" s="180">
        <f>L94-I94</f>
        <v>26566.445763005613</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86</v>
      </c>
      <c r="S94" s="399">
        <f t="shared" ref="S94:S95" si="59">L94-Q94</f>
        <v>76316.000000000116</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3.7832360636497722</v>
      </c>
      <c r="E95" s="184">
        <f t="shared" ref="E95:E104" si="60">IF(D95=0,0,F95/D95)</f>
        <v>749.99999999999989</v>
      </c>
      <c r="F95" s="179">
        <f>+SUMPRODUCT(('Budget original'!$A$8:$A$496=$A95)*('Budget original'!$C$3:$AO$3=F$2),'Budget original'!$C$8:$AO$496)</f>
        <v>2837.4270477373288</v>
      </c>
      <c r="G95" s="182">
        <f>+SUMPRODUCT(('Budget révisé'!$A$8:$A$496=$A95)*('Budget révisé'!$C$3:$AO$3=G$2),'Budget révisé'!$C$8:$AO$496)</f>
        <v>3.7832360636497722</v>
      </c>
      <c r="H95" s="179">
        <f t="shared" ref="H95:H104" si="61">IF(G95=0,0,I95/G95)</f>
        <v>749.99999999999989</v>
      </c>
      <c r="I95" s="179">
        <f>+SUMPRODUCT(('Budget révisé'!$A$8:$A$496=$A95)*('Budget révisé'!$C$3:$AO$3=I$2),'Budget révisé'!$C$8:$AO$496)</f>
        <v>2837.4270477373288</v>
      </c>
      <c r="J95" s="182">
        <f>-SUMIFS(BV_Data_An_Cour!$P:$P,BV_Data_An_Cour!$U:$U,$B95,BV_Data_An_Cour!$V:$V,$C95,BV_Data_An_Cour!$W:$W,J$2)</f>
        <v>1</v>
      </c>
      <c r="K95" s="179">
        <f t="shared" si="56"/>
        <v>715</v>
      </c>
      <c r="L95" s="554">
        <f>-SUMIFS(BV_Data_An_Cour!$P:$P,BV_Data_An_Cour!$U:$U,$B95,BV_Data_An_Cour!$V:$V,$C95,BV_Data_An_Cour!$W:$W,$L2)</f>
        <v>715</v>
      </c>
      <c r="M95" s="182"/>
      <c r="N95" s="180"/>
      <c r="O95" s="182">
        <f>-SUMIFS(BV_Data_An_Prec!$P:$P,BV_Data_An_Prec!$U:$U,$B95,BV_Data_An_Prec!$V:$V,$C95,BV_Data_An_Prec!$W:$W,O$2)</f>
        <v>79</v>
      </c>
      <c r="P95" s="179">
        <f t="shared" si="57"/>
        <v>381.39354430379342</v>
      </c>
      <c r="Q95" s="554">
        <f>-SUMIFS(BV_Data_An_Prec!$P:$P,BV_Data_An_Prec!$U:$U,$B95,BV_Data_An_Prec!$V:$V,$C95,BV_Data_An_Prec!$W:$W,$L2)</f>
        <v>30130.08999999968</v>
      </c>
      <c r="R95" s="182">
        <f t="shared" si="58"/>
        <v>-78</v>
      </c>
      <c r="S95" s="399">
        <f t="shared" si="59"/>
        <v>-29415.08999999968</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70.115975046309103</v>
      </c>
      <c r="E96" s="179">
        <f t="shared" si="60"/>
        <v>750.00000000000011</v>
      </c>
      <c r="F96" s="402">
        <f t="shared" ref="F96" si="62">+F94+F95</f>
        <v>52586.981284731832</v>
      </c>
      <c r="G96" s="403">
        <f>+G95+G94</f>
        <v>70.115975046309103</v>
      </c>
      <c r="H96" s="401">
        <f t="shared" si="61"/>
        <v>750.00000000000011</v>
      </c>
      <c r="I96" s="402">
        <f t="shared" ref="I96" si="63">+I94+I95</f>
        <v>52586.981284731832</v>
      </c>
      <c r="J96" s="403">
        <f t="shared" ref="J96" si="64">+J94+J95</f>
        <v>87</v>
      </c>
      <c r="K96" s="401">
        <f>IF(J96&lt;=0,0,L96/J96)</f>
        <v>885.41379310344962</v>
      </c>
      <c r="L96" s="402">
        <f>+L94+L95</f>
        <v>77031.000000000116</v>
      </c>
      <c r="M96" s="403">
        <f>J96-G96</f>
        <v>16.884024953690897</v>
      </c>
      <c r="N96" s="402">
        <f>L96-I96</f>
        <v>24444.018715268285</v>
      </c>
      <c r="O96" s="403">
        <f t="shared" ref="O96" si="65">+O94+O95</f>
        <v>79</v>
      </c>
      <c r="P96" s="401">
        <f>IF(O96&lt;=0,0,Q96/O96)</f>
        <v>381.39354430379342</v>
      </c>
      <c r="Q96" s="402">
        <f>+Q94+Q95</f>
        <v>30130.08999999968</v>
      </c>
      <c r="R96" s="403">
        <f t="shared" ref="R96:S96" si="66">R94+R95</f>
        <v>8</v>
      </c>
      <c r="S96" s="404">
        <f t="shared" si="66"/>
        <v>46900.91000000044</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0.24080140000249017</v>
      </c>
      <c r="N97" s="332">
        <f>N96/I96</f>
        <v>0.46483023208570046</v>
      </c>
      <c r="O97" s="303"/>
      <c r="P97" s="178"/>
      <c r="Q97" s="312"/>
      <c r="R97" s="362">
        <f>R96/O96</f>
        <v>0.10126582278481013</v>
      </c>
      <c r="S97" s="333">
        <f>IF(Q96=0,0,(S96/Q96))</f>
        <v>1.5566136709183722</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59.414063065556668</v>
      </c>
      <c r="E99" s="179">
        <f t="shared" si="60"/>
        <v>120</v>
      </c>
      <c r="F99" s="179">
        <f>+SUMPRODUCT(('Budget original'!$A$8:$A$496=$A99)*('Budget original'!$C$3:$AO$3=F$2),'Budget original'!$C$8:$AO$496)</f>
        <v>7129.6875678668002</v>
      </c>
      <c r="G99" s="303">
        <f>+SUMPRODUCT(('Budget révisé'!$A$8:$A$496=$A99)*('Budget révisé'!$C$3:$AO$3=G$2),'Budget révisé'!$C$8:$AO$496)</f>
        <v>59.414063065556668</v>
      </c>
      <c r="H99" s="179">
        <f t="shared" si="61"/>
        <v>120</v>
      </c>
      <c r="I99" s="179">
        <f>+SUMPRODUCT(('Budget révisé'!$A$8:$A$496=$A99)*('Budget révisé'!$C$3:$AO$3=I$2),'Budget révisé'!$C$8:$AO$496)</f>
        <v>7129.6875678668002</v>
      </c>
      <c r="J99" s="182">
        <f>-SUMIFS(BV_Data_An_Cour!$P:$P,BV_Data_An_Cour!$U:$U,$B99,BV_Data_An_Cour!$V:$V,$C99,BV_Data_An_Cour!$W:$W,J$2)</f>
        <v>92</v>
      </c>
      <c r="K99" s="179">
        <f t="shared" si="67"/>
        <v>85.000326086956832</v>
      </c>
      <c r="L99" s="180">
        <f>-SUMIFS(BV_Data_An_Cour!$P:$P,BV_Data_An_Cour!$U:$U,$B99,BV_Data_An_Cour!$V:$V,$C99,BV_Data_An_Cour!$W:$W,L$2)</f>
        <v>7820.0300000000279</v>
      </c>
      <c r="M99" s="182">
        <f t="shared" si="68"/>
        <v>32.585936934443332</v>
      </c>
      <c r="N99" s="180">
        <f t="shared" si="69"/>
        <v>690.3424321332277</v>
      </c>
      <c r="O99" s="182">
        <f>-SUMIFS(BV_Data_An_Prec!$P:$P,BV_Data_An_Prec!$U:$U,$B99,BV_Data_An_Prec!$V:$V,$C99,BV_Data_An_Prec!$W:$W,O$2)</f>
        <v>51</v>
      </c>
      <c r="P99" s="179">
        <f t="shared" si="70"/>
        <v>102.0568627450985</v>
      </c>
      <c r="Q99" s="180">
        <f>-SUMIFS(BV_Data_An_Prec!$P:$P,BV_Data_An_Prec!$U:$U,$B99,BV_Data_An_Prec!$V:$V,$C99,BV_Data_An_Prec!$W:$W,Q$2)</f>
        <v>5204.9000000000233</v>
      </c>
      <c r="R99" s="182">
        <f t="shared" si="71"/>
        <v>41</v>
      </c>
      <c r="S99" s="399">
        <f t="shared" si="72"/>
        <v>2615.1300000000047</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56379.804496301193</v>
      </c>
      <c r="G101" s="182">
        <f>+SUMPRODUCT(('Budget révisé'!$A$8:$A$496=$A101)*('Budget révisé'!$C$3:$AO$3=G$2),'Budget révisé'!$C$8:$AO$496)</f>
        <v>0</v>
      </c>
      <c r="H101" s="179">
        <f t="shared" si="61"/>
        <v>0</v>
      </c>
      <c r="I101" s="179">
        <f>+SUMPRODUCT(('Budget révisé'!$A$8:$A$496=$A101)*('Budget révisé'!$C$3:$AO$3=I$2),'Budget révisé'!$C$8:$AO$496)</f>
        <v>56379.804496301193</v>
      </c>
      <c r="J101" s="182"/>
      <c r="K101" s="179">
        <f>IF(J96=0,0,L101/J96)</f>
        <v>507.25229885057468</v>
      </c>
      <c r="L101" s="180">
        <f>-SUMIFS(BV_Data_An_Cour!$P:$P,BV_Data_An_Cour!$U:$U,$B101,BV_Data_An_Cour!$V:$V,$C101,BV_Data_An_Cour!$W:$W,$L2)</f>
        <v>44130.95</v>
      </c>
      <c r="M101" s="182"/>
      <c r="N101" s="180">
        <f t="shared" ref="N101:N104" si="73">L101-I101</f>
        <v>-12248.854496301195</v>
      </c>
      <c r="O101" s="182"/>
      <c r="P101" s="179">
        <f>IF(O96=0,0,Q101/O96)</f>
        <v>475.90835443037975</v>
      </c>
      <c r="Q101" s="180">
        <f>-SUMIFS(BV_Data_An_Prec!$P:$P,BV_Data_An_Prec!$U:$U,$B101,BV_Data_An_Prec!$V:$V,$C101,BV_Data_An_Prec!$W:$W,$L2)</f>
        <v>37596.76</v>
      </c>
      <c r="R101" s="182">
        <f t="shared" ref="R101:R103" si="74">O101-K101</f>
        <v>-507.25229885057468</v>
      </c>
      <c r="S101" s="399">
        <f t="shared" ref="S101:S104" si="75">L101-Q101</f>
        <v>6534.1899999999951</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63897.111762474684</v>
      </c>
      <c r="G102" s="182">
        <f>+SUMPRODUCT(('Budget révisé'!$A$8:$A$496=$A102)*('Budget révisé'!$C$3:$AO$3=G$2),'Budget révisé'!$C$8:$AO$496)</f>
        <v>0</v>
      </c>
      <c r="H102" s="179">
        <f t="shared" si="61"/>
        <v>0</v>
      </c>
      <c r="I102" s="179">
        <f>+SUMPRODUCT(('Budget révisé'!$A$8:$A$496=$A102)*('Budget révisé'!$C$3:$AO$3=I$2),'Budget révisé'!$C$8:$AO$496)</f>
        <v>63897.111762474684</v>
      </c>
      <c r="J102" s="182"/>
      <c r="K102" s="179">
        <f>IF(J96=0,0,L102/J96)</f>
        <v>1096.3785057471264</v>
      </c>
      <c r="L102" s="180">
        <f>-SUMIFS(BV_Data_An_Cour!$P:$P,BV_Data_An_Cour!$U:$U,$B102,BV_Data_An_Cour!$V:$V,$C102,BV_Data_An_Cour!$W:$W,$L2)</f>
        <v>95384.93</v>
      </c>
      <c r="M102" s="182"/>
      <c r="N102" s="180">
        <f t="shared" si="73"/>
        <v>31487.818237525309</v>
      </c>
      <c r="O102" s="182"/>
      <c r="P102" s="179">
        <f>IF(O96=0,0,Q102/O96)</f>
        <v>574.34658227848104</v>
      </c>
      <c r="Q102" s="180">
        <f>-SUMIFS(BV_Data_An_Prec!$P:$P,BV_Data_An_Prec!$U:$U,$B102,BV_Data_An_Prec!$V:$V,$C102,BV_Data_An_Prec!$W:$W,$L2)</f>
        <v>45373.380000000005</v>
      </c>
      <c r="R102" s="182">
        <f t="shared" si="74"/>
        <v>-1096.3785057471264</v>
      </c>
      <c r="S102" s="399">
        <f t="shared" si="75"/>
        <v>50011.549999999988</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54.568850574712641</v>
      </c>
      <c r="L103" s="180">
        <f>-SUMIFS(BV_Data_An_Cour!$P:$P,BV_Data_An_Cour!$U:$U,$B103,BV_Data_An_Cour!$V:$V,$C103,BV_Data_An_Cour!$W:$W,$L$2)</f>
        <v>4747.49</v>
      </c>
      <c r="M103" s="406"/>
      <c r="N103" s="180">
        <f t="shared" si="73"/>
        <v>4747.49</v>
      </c>
      <c r="O103" s="182"/>
      <c r="P103" s="407">
        <f>IF(O96=0,0,Q103/O96)</f>
        <v>10.486582278481013</v>
      </c>
      <c r="Q103" s="180">
        <f>-SUMIFS(BV_Data_An_Prec!$P:$P,BV_Data_An_Prec!$U:$U,$B103,BV_Data_An_Prec!$V:$V,$C103,BV_Data_An_Prec!$W:$W,$L$2)</f>
        <v>828.44</v>
      </c>
      <c r="R103" s="182">
        <f t="shared" si="74"/>
        <v>-54.568850574712641</v>
      </c>
      <c r="S103" s="399">
        <f t="shared" si="75"/>
        <v>3919.0499999999997</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70.115975046309103</v>
      </c>
      <c r="E104" s="179">
        <f t="shared" si="60"/>
        <v>1715.3996101364526</v>
      </c>
      <c r="F104" s="402">
        <f>F101+F102+F103</f>
        <v>120276.91625877588</v>
      </c>
      <c r="G104" s="403">
        <f>G96</f>
        <v>70.115975046309103</v>
      </c>
      <c r="H104" s="401">
        <f t="shared" si="61"/>
        <v>1715.3996101364526</v>
      </c>
      <c r="I104" s="402">
        <f>I101+I102+I103</f>
        <v>120276.91625877588</v>
      </c>
      <c r="J104" s="403">
        <f>J96</f>
        <v>87</v>
      </c>
      <c r="K104" s="401">
        <f>IF(J104&lt;=0,0,L104/J104)</f>
        <v>1658.1996551724137</v>
      </c>
      <c r="L104" s="402">
        <f>L101+L102+L103</f>
        <v>144263.37</v>
      </c>
      <c r="M104" s="182">
        <f>J104-G104</f>
        <v>16.884024953690897</v>
      </c>
      <c r="N104" s="402">
        <f t="shared" si="73"/>
        <v>23986.453741224119</v>
      </c>
      <c r="O104" s="403">
        <f>O96</f>
        <v>79</v>
      </c>
      <c r="P104" s="401">
        <f>IF(O104&lt;=0,0,Q104/O104)</f>
        <v>1060.741518987342</v>
      </c>
      <c r="Q104" s="402">
        <f>Q101+Q102+Q103</f>
        <v>83798.580000000016</v>
      </c>
      <c r="R104" s="411"/>
      <c r="S104" s="404">
        <f t="shared" si="75"/>
        <v>60464.789999999979</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0.19942690989530565</v>
      </c>
      <c r="O105" s="303"/>
      <c r="P105" s="178"/>
      <c r="Q105" s="304"/>
      <c r="R105" s="325"/>
      <c r="S105" s="333">
        <f>IF(Q104=0,0,(S104/Q104))</f>
        <v>0.72154910023534968</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129.53003811186576</v>
      </c>
      <c r="E107" s="30">
        <f>IF(D107&lt;=0,0,F107/D107)</f>
        <v>1389.5895325524957</v>
      </c>
      <c r="F107" s="28">
        <f>F96+F104+F99</f>
        <v>179993.5851113745</v>
      </c>
      <c r="G107" s="29">
        <f>G96+G99</f>
        <v>129.53003811186576</v>
      </c>
      <c r="H107" s="30">
        <f>IF(G107&lt;=0,0,I107/G107)</f>
        <v>1389.5895325524957</v>
      </c>
      <c r="I107" s="28">
        <f>I96+I104+I99</f>
        <v>179993.5851113745</v>
      </c>
      <c r="J107" s="29">
        <f>J96+J99</f>
        <v>179</v>
      </c>
      <c r="K107" s="30">
        <f>IF(J107&lt;=0,0,L107/J107)</f>
        <v>1279.9687150837997</v>
      </c>
      <c r="L107" s="28">
        <f>L96+L104+L99</f>
        <v>229114.40000000014</v>
      </c>
      <c r="M107" s="29">
        <f>J107-G107</f>
        <v>49.469961888134236</v>
      </c>
      <c r="N107" s="28">
        <f>L107-I107</f>
        <v>49120.814888625639</v>
      </c>
      <c r="O107" s="29">
        <f>O96+O99</f>
        <v>130</v>
      </c>
      <c r="P107" s="30">
        <f>IF(O107&lt;=0,0,Q107/O107)</f>
        <v>916.41207692307478</v>
      </c>
      <c r="Q107" s="28">
        <f>Q96+Q104+Q99</f>
        <v>119133.56999999972</v>
      </c>
      <c r="R107" s="29">
        <f>J107-O107</f>
        <v>49</v>
      </c>
      <c r="S107" s="363">
        <f>L107-Q107</f>
        <v>109980.83000000042</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0.38191883990191211</v>
      </c>
      <c r="N108" s="34">
        <f>N107/I107</f>
        <v>0.27290314184381176</v>
      </c>
      <c r="O108" s="31"/>
      <c r="P108" s="365"/>
      <c r="Q108" s="32"/>
      <c r="R108" s="33">
        <f>O107/R107</f>
        <v>2.6530612244897958</v>
      </c>
      <c r="S108" s="412">
        <f>IF(Q107=0,0,(S107/Q107))</f>
        <v>0.92317245256732161</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498.32264805563824</v>
      </c>
      <c r="F111" s="179">
        <f>+SUMPRODUCT(('Budget original'!$A$8:$A$496=$A111)*('Budget original'!$C$3:$AO$3=F$2),'Budget original'!$C$8:$AO$496)</f>
        <v>34940.378356079804</v>
      </c>
      <c r="G111" s="302"/>
      <c r="H111" s="197">
        <f t="shared" ref="H111:H116" si="77">I111/G$96</f>
        <v>498.32264805563824</v>
      </c>
      <c r="I111" s="179">
        <f>+SUMPRODUCT(('Budget révisé'!$A$8:$A$496=$A111)*('Budget révisé'!$C$3:$AO$3=I$2),'Budget révisé'!$C$8:$AO$496)</f>
        <v>34940.378356079804</v>
      </c>
      <c r="J111" s="976"/>
      <c r="K111" s="197">
        <f t="shared" ref="K111:K116" si="78">IF($J$96=0,0,L111/(J$94+J$95))</f>
        <v>447.81804597701148</v>
      </c>
      <c r="L111" s="180">
        <f>SUMIFS(BV_Data_An_Cour!$P:$P,BV_Data_An_Cour!$U:$U,$B111,BV_Data_An_Cour!$V:$V,$C111,BV_Data_An_Cour!$W:$W,$L$2)</f>
        <v>38960.17</v>
      </c>
      <c r="M111" s="303"/>
      <c r="N111" s="304">
        <f t="shared" ref="N111:N121" si="79">L111-I111</f>
        <v>4019.7916439201945</v>
      </c>
      <c r="O111" s="303"/>
      <c r="P111" s="197">
        <f t="shared" ref="P111:P116" si="80">IF($J$96=0,0,Q111/(O$94+O$95))</f>
        <v>557.5582278481013</v>
      </c>
      <c r="Q111" s="180">
        <f>SUMIFS(BV_Data_An_Prec!$P:$P,BV_Data_An_Prec!$U:$U,$B111,BV_Data_An_Prec!$V:$V,$C111,BV_Data_An_Prec!$W:$W,$L$2)</f>
        <v>44047.1</v>
      </c>
      <c r="R111" s="303"/>
      <c r="S111" s="199">
        <f t="shared" ref="S111:S121" si="81">L111-Q111</f>
        <v>-5086.93</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514.61988304093575</v>
      </c>
      <c r="F112" s="177">
        <f>+SUMPRODUCT(('Budget original'!$A$8:$A$496=$A112)*('Budget original'!$C$3:$AO$3=F$2),'Budget original'!$C$8:$AO$496)</f>
        <v>36083.07487763276</v>
      </c>
      <c r="G112" s="309"/>
      <c r="H112" s="413">
        <f t="shared" si="77"/>
        <v>514.61988304093575</v>
      </c>
      <c r="I112" s="177">
        <f>+SUMPRODUCT(('Budget révisé'!$A$8:$A$496=$A112)*('Budget révisé'!$C$3:$AO$3=I$2),'Budget révisé'!$C$8:$AO$496)</f>
        <v>36083.07487763276</v>
      </c>
      <c r="J112" s="977"/>
      <c r="K112" s="413">
        <f t="shared" si="78"/>
        <v>499.22850574712641</v>
      </c>
      <c r="L112" s="180">
        <f>SUMIFS(BV_Data_An_Cour!$P:$P,BV_Data_An_Cour!$U:$U,$B112,BV_Data_An_Cour!$V:$V,$C112,BV_Data_An_Cour!$W:$W,$L$2)</f>
        <v>43432.88</v>
      </c>
      <c r="M112" s="310"/>
      <c r="N112" s="311">
        <f t="shared" si="79"/>
        <v>7349.8051223672373</v>
      </c>
      <c r="O112" s="310"/>
      <c r="P112" s="413">
        <f t="shared" si="80"/>
        <v>206.91848101265822</v>
      </c>
      <c r="Q112" s="180">
        <f>SUMIFS(BV_Data_An_Prec!$P:$P,BV_Data_An_Prec!$U:$U,$B112,BV_Data_An_Prec!$V:$V,$C112,BV_Data_An_Prec!$W:$W,$L$2)</f>
        <v>16346.56</v>
      </c>
      <c r="R112" s="310"/>
      <c r="S112" s="202">
        <f t="shared" si="81"/>
        <v>27086.32</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54.000000000000007</v>
      </c>
      <c r="F113" s="179">
        <f>+SUMPRODUCT(('Budget original'!$A$8:$A$496=$A113)*('Budget original'!$C$3:$AO$3=F$2),'Budget original'!$C$8:$AO$496)</f>
        <v>3786.2626525006922</v>
      </c>
      <c r="G113" s="302"/>
      <c r="H113" s="197">
        <f t="shared" si="77"/>
        <v>54.000000000000007</v>
      </c>
      <c r="I113" s="179">
        <f>+SUMPRODUCT(('Budget révisé'!$A$8:$A$496=$A113)*('Budget révisé'!$C$3:$AO$3=I$2),'Budget révisé'!$C$8:$AO$496)</f>
        <v>3786.2626525006922</v>
      </c>
      <c r="J113" s="303"/>
      <c r="K113" s="197">
        <f t="shared" si="78"/>
        <v>53.579540229885062</v>
      </c>
      <c r="L113" s="181">
        <f>SUMIFS(BV_Data_An_Cour!$P:$P,BV_Data_An_Cour!$U:$U,$B113,BV_Data_An_Cour!$V:$V,$C113,BV_Data_An_Cour!$W:$W,$L$2)</f>
        <v>4661.42</v>
      </c>
      <c r="M113" s="303"/>
      <c r="N113" s="304">
        <f t="shared" si="79"/>
        <v>875.15734749930789</v>
      </c>
      <c r="O113" s="303"/>
      <c r="P113" s="197">
        <f t="shared" si="80"/>
        <v>75.290126582278475</v>
      </c>
      <c r="Q113" s="181">
        <f>SUMIFS(BV_Data_An_Prec!$P:$P,BV_Data_An_Prec!$U:$U,$B113,BV_Data_An_Prec!$V:$V,$C113,BV_Data_An_Prec!$W:$W,$L$2)</f>
        <v>5947.92</v>
      </c>
      <c r="R113" s="303"/>
      <c r="S113" s="199">
        <f t="shared" si="81"/>
        <v>-1286.5</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7362.1773798624563</v>
      </c>
      <c r="G114" s="302"/>
      <c r="H114" s="197">
        <f t="shared" si="77"/>
        <v>105</v>
      </c>
      <c r="I114" s="179">
        <f>+SUMPRODUCT(('Budget révisé'!$A$8:$A$496=$A114)*('Budget révisé'!$C$3:$AO$3=I$2),'Budget révisé'!$C$8:$AO$496)</f>
        <v>7362.1773798624563</v>
      </c>
      <c r="J114" s="303"/>
      <c r="K114" s="197">
        <f t="shared" si="78"/>
        <v>29.148620689655171</v>
      </c>
      <c r="L114" s="180">
        <f>SUMIFS(BV_Data_An_Cour!$P:$P,BV_Data_An_Cour!$U:$U,$B114,BV_Data_An_Cour!$V:$V,$C114,BV_Data_An_Cour!$W:$W,$L$2)</f>
        <v>2535.9299999999998</v>
      </c>
      <c r="M114" s="303"/>
      <c r="N114" s="304">
        <f t="shared" si="79"/>
        <v>-4826.247379862456</v>
      </c>
      <c r="O114" s="303"/>
      <c r="P114" s="197">
        <f t="shared" si="80"/>
        <v>3.2278481012658227</v>
      </c>
      <c r="Q114" s="180">
        <f>SUMIFS(BV_Data_An_Prec!$P:$P,BV_Data_An_Prec!$U:$U,$B114,BV_Data_An_Prec!$V:$V,$C114,BV_Data_An_Prec!$W:$W,$L$2)</f>
        <v>255</v>
      </c>
      <c r="R114" s="303"/>
      <c r="S114" s="199">
        <f t="shared" si="81"/>
        <v>2280.9299999999998</v>
      </c>
      <c r="T114" s="222"/>
      <c r="U114" s="222"/>
      <c r="V114" s="222"/>
      <c r="W114" s="979"/>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4277.0744778248554</v>
      </c>
      <c r="G115" s="309"/>
      <c r="H115" s="413">
        <f t="shared" si="77"/>
        <v>61</v>
      </c>
      <c r="I115" s="177">
        <f>+SUMPRODUCT(('Budget révisé'!$A$8:$A$496=$A115)*('Budget révisé'!$C$3:$AO$3=I$2),'Budget révisé'!$C$8:$AO$496)</f>
        <v>4277.0744778248554</v>
      </c>
      <c r="J115" s="310"/>
      <c r="K115" s="413">
        <f t="shared" si="78"/>
        <v>85.120689655172413</v>
      </c>
      <c r="L115" s="405">
        <f>SUMIFS(BV_Data_An_Cour!$P:$P,BV_Data_An_Cour!$U:$U,$B115,BV_Data_An_Cour!$V:$V,$C115,BV_Data_An_Cour!$W:$W,$L$2)</f>
        <v>7405.5</v>
      </c>
      <c r="M115" s="310"/>
      <c r="N115" s="311">
        <f t="shared" si="79"/>
        <v>3128.4255221751446</v>
      </c>
      <c r="O115" s="310"/>
      <c r="P115" s="413">
        <f t="shared" si="80"/>
        <v>55.251518987341768</v>
      </c>
      <c r="Q115" s="405">
        <f>SUMIFS(BV_Data_An_Prec!$P:$P,BV_Data_An_Prec!$U:$U,$B115,BV_Data_An_Prec!$V:$V,$C115,BV_Data_An_Prec!$W:$W,$L$2)</f>
        <v>4364.87</v>
      </c>
      <c r="R115" s="310"/>
      <c r="S115" s="202">
        <f t="shared" si="81"/>
        <v>3040.63</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27.410526315789458</v>
      </c>
      <c r="F116" s="179">
        <f>+SUMPRODUCT(('Budget original'!$A$8:$A$496=$A116)*('Budget original'!$C$3:$AO$3=F$2),'Budget original'!$C$8:$AO$496)</f>
        <v>1921.9157791640926</v>
      </c>
      <c r="G116" s="302"/>
      <c r="H116" s="197">
        <f t="shared" si="77"/>
        <v>27.410526315789458</v>
      </c>
      <c r="I116" s="179">
        <f>+SUMPRODUCT(('Budget révisé'!$A$8:$A$496=$A116)*('Budget révisé'!$C$3:$AO$3=I$2),'Budget révisé'!$C$8:$AO$496)</f>
        <v>1921.9157791640926</v>
      </c>
      <c r="J116" s="303"/>
      <c r="K116" s="197">
        <f t="shared" si="78"/>
        <v>162.04597701149424</v>
      </c>
      <c r="L116" s="180">
        <f>SUMIFS(BV_Data_An_Cour!$P:$P,BV_Data_An_Cour!$U:$U,$B116,BV_Data_An_Cour!$V:$V,$C116,BV_Data_An_Cour!$W:$W,$L$2)</f>
        <v>14098</v>
      </c>
      <c r="M116" s="303"/>
      <c r="N116" s="304">
        <f t="shared" si="79"/>
        <v>12176.084220835908</v>
      </c>
      <c r="O116" s="303"/>
      <c r="P116" s="197">
        <f t="shared" si="80"/>
        <v>201.01265822784811</v>
      </c>
      <c r="Q116" s="180">
        <f>SUMIFS(BV_Data_An_Prec!$P:$P,BV_Data_An_Prec!$U:$U,$B116,BV_Data_An_Prec!$V:$V,$C116,BV_Data_An_Prec!$W:$W,$L$2)</f>
        <v>15880</v>
      </c>
      <c r="R116" s="303"/>
      <c r="S116" s="199">
        <f t="shared" si="81"/>
        <v>-1782</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48.235224118870185</v>
      </c>
      <c r="F117" s="179">
        <f>+SUMPRODUCT(('Budget original'!$A$8:$A$496=$A117)*('Budget original'!$C$3:$AO$3=F$2),'Budget original'!$C$8:$AO$496)</f>
        <v>3382.059770671829</v>
      </c>
      <c r="G117" s="302"/>
      <c r="H117" s="197">
        <f t="shared" ref="H117:H119" si="84">I117/G$96</f>
        <v>48.235224118870185</v>
      </c>
      <c r="I117" s="179">
        <f>+SUMPRODUCT(('Budget révisé'!$A$8:$A$496=$A117)*('Budget révisé'!$C$3:$AO$3=I$2),'Budget révisé'!$C$8:$AO$496)</f>
        <v>3382.059770671829</v>
      </c>
      <c r="J117" s="303"/>
      <c r="K117" s="197">
        <f t="shared" ref="K117:K119" si="85">IF($J$96=0,0,L117/(J$94+J$95))</f>
        <v>20.563793103448276</v>
      </c>
      <c r="L117" s="180">
        <f>SUMIFS(BV_Data_An_Cour!$P:$P,BV_Data_An_Cour!$U:$U,$B117,BV_Data_An_Cour!$V:$V,$C117,BV_Data_An_Cour!$W:$W,$L$2)</f>
        <v>1789.05</v>
      </c>
      <c r="M117" s="303"/>
      <c r="N117" s="304">
        <f t="shared" ref="N117:N119" si="86">L117-I117</f>
        <v>-1593.0097706718291</v>
      </c>
      <c r="O117" s="303"/>
      <c r="P117" s="197">
        <f t="shared" ref="P117:P119" si="87">IF($J$96=0,0,Q117/(O$94+O$95))</f>
        <v>1.6572151898734175</v>
      </c>
      <c r="Q117" s="180">
        <f>SUMIFS(BV_Data_An_Prec!$P:$P,BV_Data_An_Prec!$U:$U,$B117,BV_Data_An_Prec!$V:$V,$C117,BV_Data_An_Prec!$W:$W,$L$2)</f>
        <v>130.91999999999999</v>
      </c>
      <c r="R117" s="303"/>
      <c r="S117" s="199">
        <f t="shared" ref="S117:S119" si="88">L117-Q117</f>
        <v>1658.1299999999999</v>
      </c>
      <c r="T117" s="222"/>
      <c r="U117" s="222"/>
      <c r="V117" s="222"/>
      <c r="W117" s="979"/>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0.50975674070252319</v>
      </c>
      <c r="F121" s="41">
        <f>SUM(F111:F120)</f>
        <v>91752.943293736462</v>
      </c>
      <c r="G121" s="42" t="s">
        <v>111</v>
      </c>
      <c r="H121" s="40">
        <f>I121/I$107</f>
        <v>0.50975674070252319</v>
      </c>
      <c r="I121" s="41">
        <f>SUM(I111:I120)</f>
        <v>91752.943293736462</v>
      </c>
      <c r="J121" s="42" t="s">
        <v>111</v>
      </c>
      <c r="K121" s="40">
        <f>L121/L$107</f>
        <v>0.49269251518018908</v>
      </c>
      <c r="L121" s="41">
        <f>SUM(L111:L120)</f>
        <v>112882.94999999998</v>
      </c>
      <c r="M121" s="44"/>
      <c r="N121" s="41">
        <f t="shared" si="79"/>
        <v>21130.006706263521</v>
      </c>
      <c r="O121" s="42" t="s">
        <v>111</v>
      </c>
      <c r="P121" s="40">
        <f>Q121/Q$107</f>
        <v>0.73004082728319319</v>
      </c>
      <c r="Q121" s="41">
        <f>SUM(Q111:Q120)</f>
        <v>86972.37</v>
      </c>
      <c r="R121" s="44"/>
      <c r="S121" s="316">
        <f t="shared" si="81"/>
        <v>25910.579999999987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19255.986398467434</v>
      </c>
      <c r="G122" s="303"/>
      <c r="H122" s="178"/>
      <c r="I122" s="179">
        <f>+SUMPRODUCT(('Budget révisé'!$A$8:$A$496=$A122)*('Budget révisé'!$C$3:$AO$3=I$2),'Budget révisé'!$C$8:$AO$496)</f>
        <v>19255.986398467434</v>
      </c>
      <c r="J122" s="303"/>
      <c r="K122" s="178"/>
      <c r="L122" s="281">
        <f>SUMIFS(BV_Data_An_Cour!$P:$P,BV_Data_An_Cour!$U:$U,$B122,BV_Data_An_Cour!$V:$V,$C122,BV_Data_An_Cour!$W:$W,$L$2)</f>
        <v>32846.269999999997</v>
      </c>
      <c r="M122" s="303"/>
      <c r="N122" s="304"/>
      <c r="O122" s="303"/>
      <c r="P122" s="178"/>
      <c r="Q122" s="180">
        <f>SUMIFS(BV_Data_An_Prec!$P:$P,BV_Data_An_Prec!$U:$U,$B122,BV_Data_An_Prec!$V:$V,$C122,BV_Data_An_Prec!$W:$W,$L$2)</f>
        <v>19737.830000000002</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6483.6270158467451</v>
      </c>
      <c r="G123" s="302"/>
      <c r="H123" s="178"/>
      <c r="I123" s="177">
        <f>+SUMPRODUCT(('Budget révisé'!$A$8:$A$496=$A123)*('Budget révisé'!$C$3:$AO$3=I$2),'Budget révisé'!$C$8:$AO$496)</f>
        <v>6483.6270158467451</v>
      </c>
      <c r="J123" s="303"/>
      <c r="K123" s="178"/>
      <c r="L123" s="177">
        <f>SUMIFS(BV_Data_An_Cour!$P:$P,BV_Data_An_Cour!$U:$U,$B123,BV_Data_An_Cour!$V:$V,$C123,BV_Data_An_Cour!$W:$W,$L$2)</f>
        <v>5756.45</v>
      </c>
      <c r="M123" s="303"/>
      <c r="N123" s="304">
        <f t="shared" ref="N123:N152" si="89">L123-I123</f>
        <v>-727.17701584674523</v>
      </c>
      <c r="O123" s="303"/>
      <c r="P123" s="178"/>
      <c r="Q123" s="177">
        <f>SUMIFS(BV_Data_An_Prec!$P:$P,BV_Data_An_Prec!$U:$U,$B123,BV_Data_An_Prec!$V:$V,$C123,BV_Data_An_Prec!$W:$W,$L$2)</f>
        <v>9024.15</v>
      </c>
      <c r="R123" s="303"/>
      <c r="S123" s="199">
        <f t="shared" ref="S123:S152" si="90">L123-Q123</f>
        <v>-3267.7</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20443.925412193104</v>
      </c>
      <c r="G124" s="393"/>
      <c r="H124" s="352"/>
      <c r="I124" s="179">
        <f>+SUMPRODUCT(('Budget révisé'!$A$8:$A$496=$A124)*('Budget révisé'!$C$3:$AO$3=I$2),'Budget révisé'!$C$8:$AO$496)</f>
        <v>20443.925412193104</v>
      </c>
      <c r="J124" s="368"/>
      <c r="K124" s="352"/>
      <c r="L124" s="281">
        <f>SUMIFS(BV_Data_An_Cour!$P:$P,BV_Data_An_Cour!$U:$U,$B124,BV_Data_An_Cour!$V:$V,$C124,BV_Data_An_Cour!$W:$W,$L$2)</f>
        <v>18871.830000000002</v>
      </c>
      <c r="M124" s="368"/>
      <c r="N124" s="356">
        <f t="shared" si="89"/>
        <v>-1572.0954121931027</v>
      </c>
      <c r="O124" s="368"/>
      <c r="P124" s="352"/>
      <c r="Q124" s="180">
        <f>SUMIFS(BV_Data_An_Prec!$P:$P,BV_Data_An_Prec!$U:$U,$B124,BV_Data_An_Prec!$V:$V,$C124,BV_Data_An_Prec!$W:$W,$L$2)</f>
        <v>29561.34</v>
      </c>
      <c r="R124" s="368"/>
      <c r="S124" s="201">
        <f t="shared" si="90"/>
        <v>-10689.509999999998</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14064.839047226382</v>
      </c>
      <c r="G129" s="302"/>
      <c r="H129" s="178"/>
      <c r="I129" s="179">
        <f>+SUMPRODUCT(('Budget révisé'!$A$8:$A$496=$A129)*('Budget révisé'!$C$3:$AO$3=I$2),'Budget révisé'!$C$8:$AO$496)</f>
        <v>14064.839047226382</v>
      </c>
      <c r="J129" s="303"/>
      <c r="K129" s="178"/>
      <c r="L129" s="180">
        <f>SUMIFS(BV_Data_An_Cour!$P:$P,BV_Data_An_Cour!$U:$U,$B129,BV_Data_An_Cour!$V:$V,$C129,BV_Data_An_Cour!$W:$W,$L$2)</f>
        <v>10585.99</v>
      </c>
      <c r="M129" s="303"/>
      <c r="N129" s="304">
        <f t="shared" si="92"/>
        <v>-3478.849047226382</v>
      </c>
      <c r="O129" s="303"/>
      <c r="P129" s="178"/>
      <c r="Q129" s="180">
        <f>SUMIFS(BV_Data_An_Prec!$P:$P,BV_Data_An_Prec!$U:$U,$B129,BV_Data_An_Prec!$V:$V,$C129,BV_Data_An_Prec!$W:$W,$L$2)</f>
        <v>16150.18</v>
      </c>
      <c r="R129" s="303"/>
      <c r="S129" s="199">
        <f t="shared" si="93"/>
        <v>-5564.1900000000005</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+SUMPRODUCT(('Budget original'!$A$8:$A$496=$A130)*('Budget original'!$C$3:$AO$3=F$2),'Budget original'!$C$8:$AO$496)</f>
        <v>14064.839047226382</v>
      </c>
      <c r="G130" s="287"/>
      <c r="H130" s="286"/>
      <c r="I130" s="633">
        <f>+SUMPRODUCT(('Budget révisé'!$A$8:$A$496=$A130)*('Budget révisé'!$C$3:$AO$3=I$2),'Budget révisé'!$C$8:$AO$496)</f>
        <v>14064.839047226382</v>
      </c>
      <c r="J130" s="288"/>
      <c r="K130" s="286"/>
      <c r="L130" s="634">
        <f>SUMIFS(BV_Data_An_Cour!$P:$P,BV_Data_An_Cour!$U:$U,$B130,BV_Data_An_Cour!$V:$V,$C130,BV_Data_An_Cour!$W:$W,$L$2)</f>
        <v>11608.21</v>
      </c>
      <c r="M130" s="288"/>
      <c r="N130" s="356">
        <f t="shared" si="89"/>
        <v>-2456.6290472263827</v>
      </c>
      <c r="O130" s="288"/>
      <c r="P130" s="286"/>
      <c r="Q130" s="634">
        <f>SUMIFS(BV_Data_An_Prec!$P:$P,BV_Data_An_Prec!$U:$U,$B130,BV_Data_An_Prec!$V:$V,$C130,BV_Data_An_Prec!$W:$W,$L$2)</f>
        <v>16693.89</v>
      </c>
      <c r="R130" s="288"/>
      <c r="S130" s="290">
        <f t="shared" si="90"/>
        <v>-5085.68</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10079.801317178906</v>
      </c>
      <c r="G131" s="283"/>
      <c r="H131" s="233"/>
      <c r="I131" s="231">
        <f>+SUMPRODUCT(('Budget révisé'!$A$8:$A$496=$A131)*('Budget révisé'!$C$3:$AO$3=I$2),'Budget révisé'!$C$8:$AO$496)</f>
        <v>10079.801317178906</v>
      </c>
      <c r="J131" s="227"/>
      <c r="K131" s="233"/>
      <c r="L131" s="281">
        <f>SUMIFS(BV_Data_An_Cour!$P:$P,BV_Data_An_Cour!$U:$U,$B131,BV_Data_An_Cour!$V:$V,$C131,BV_Data_An_Cour!$W:$W,$L$2)</f>
        <v>8319.2199999999993</v>
      </c>
      <c r="M131" s="227"/>
      <c r="N131" s="304">
        <f t="shared" si="89"/>
        <v>-1760.5813171789068</v>
      </c>
      <c r="O131" s="227"/>
      <c r="P131" s="233"/>
      <c r="Q131" s="281">
        <f>SUMIFS(BV_Data_An_Prec!$P:$P,BV_Data_An_Prec!$U:$U,$B131,BV_Data_An_Prec!$V:$V,$C131,BV_Data_An_Prec!$W:$W,$L$2)</f>
        <v>10611.02</v>
      </c>
      <c r="R131" s="227"/>
      <c r="S131" s="284">
        <f t="shared" si="90"/>
        <v>-2291.8000000000011</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2344.1398412043973</v>
      </c>
      <c r="G132" s="283"/>
      <c r="H132" s="233"/>
      <c r="I132" s="231">
        <f>+SUMPRODUCT(('Budget révisé'!$A$8:$A$496=$A132)*('Budget révisé'!$C$3:$AO$3=I$2),'Budget révisé'!$C$8:$AO$496)</f>
        <v>2344.1398412043973</v>
      </c>
      <c r="J132" s="227"/>
      <c r="K132" s="233"/>
      <c r="L132" s="281">
        <f>SUMIFS(BV_Data_An_Cour!$P:$P,BV_Data_An_Cour!$U:$U,$B132,BV_Data_An_Cour!$V:$V,$C132,BV_Data_An_Cour!$W:$W,$L$2)</f>
        <v>1934.7</v>
      </c>
      <c r="M132" s="227"/>
      <c r="N132" s="304">
        <f t="shared" si="89"/>
        <v>-409.43984120439723</v>
      </c>
      <c r="O132" s="227"/>
      <c r="P132" s="233"/>
      <c r="Q132" s="281">
        <f>SUMIFS(BV_Data_An_Prec!$P:$P,BV_Data_An_Prec!$U:$U,$B132,BV_Data_An_Prec!$V:$V,$C132,BV_Data_An_Prec!$W:$W,$L$2)</f>
        <v>4444.5200000000004</v>
      </c>
      <c r="R132" s="227"/>
      <c r="S132" s="284">
        <f t="shared" si="90"/>
        <v>-2509.8200000000006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0.48189027417656616</v>
      </c>
      <c r="F134" s="41">
        <f>+SUM(F122:F133)</f>
        <v>86737.158079343353</v>
      </c>
      <c r="G134" s="42" t="s">
        <v>111</v>
      </c>
      <c r="H134" s="40">
        <f>I134/I$107</f>
        <v>0.48189027417656616</v>
      </c>
      <c r="I134" s="41">
        <f>+SUM(I122:I133)</f>
        <v>86737.158079343353</v>
      </c>
      <c r="J134" s="42" t="s">
        <v>111</v>
      </c>
      <c r="K134" s="40">
        <f>L134/L$107</f>
        <v>0.39247934656224115</v>
      </c>
      <c r="L134" s="41">
        <f>SUM(L122:L133)</f>
        <v>89922.67</v>
      </c>
      <c r="M134" s="43"/>
      <c r="N134" s="46">
        <f t="shared" si="89"/>
        <v>3185.5119206566451</v>
      </c>
      <c r="O134" s="42" t="s">
        <v>111</v>
      </c>
      <c r="P134" s="40">
        <f>Q134/Q$107</f>
        <v>0.89162886665782159</v>
      </c>
      <c r="Q134" s="41">
        <f>SUM(Q122:Q133)</f>
        <v>106222.93000000001</v>
      </c>
      <c r="R134" s="43"/>
      <c r="S134" s="299">
        <f t="shared" si="90"/>
        <v>-16300.260000000009</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645.12</v>
      </c>
      <c r="G137" s="309"/>
      <c r="H137" s="308"/>
      <c r="I137" s="177">
        <f>+SUMPRODUCT(('Budget révisé'!$A$8:$A$496=$A137)*('Budget révisé'!$C$3:$AO$3=I$2),'Budget révisé'!$C$8:$AO$496)</f>
        <v>645.12</v>
      </c>
      <c r="J137" s="310"/>
      <c r="K137" s="308"/>
      <c r="L137" s="244">
        <f>SUMIFS(BV_Data_An_Cour!$P:$P,BV_Data_An_Cour!$U:$U,$B137,BV_Data_An_Cour!$V:$V,$C137,BV_Data_An_Cour!$W:$W,$L$2)</f>
        <v>-1133.23</v>
      </c>
      <c r="M137" s="310"/>
      <c r="N137" s="311">
        <f t="shared" si="89"/>
        <v>-1778.35</v>
      </c>
      <c r="O137" s="310"/>
      <c r="P137" s="308"/>
      <c r="Q137" s="177">
        <f>SUMIFS(BV_Data_An_Prec!$P:$P,BV_Data_An_Prec!$U:$U,$B137,BV_Data_An_Prec!$V:$V,$C137,BV_Data_An_Prec!$W:$W,$L$2)</f>
        <v>2801.98</v>
      </c>
      <c r="R137" s="310"/>
      <c r="S137" s="202">
        <f t="shared" si="90"/>
        <v>-3935.21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7988.3207999999995</v>
      </c>
      <c r="G138" s="302"/>
      <c r="H138" s="178"/>
      <c r="I138" s="179">
        <f>+SUMPRODUCT(('Budget révisé'!$A$8:$A$496=$A138)*('Budget révisé'!$C$3:$AO$3=I$2),'Budget révisé'!$C$8:$AO$496)</f>
        <v>7988.3207999999995</v>
      </c>
      <c r="J138" s="303"/>
      <c r="K138" s="178"/>
      <c r="L138" s="281">
        <f>SUMIFS(BV_Data_An_Cour!$P:$P,BV_Data_An_Cour!$U:$U,$B138,BV_Data_An_Cour!$V:$V,$C138,BV_Data_An_Cour!$W:$W,$L$2)</f>
        <v>6093.1</v>
      </c>
      <c r="M138" s="303"/>
      <c r="N138" s="304">
        <f t="shared" si="89"/>
        <v>-1895.2207999999991</v>
      </c>
      <c r="O138" s="303"/>
      <c r="P138" s="178"/>
      <c r="Q138" s="180">
        <f>SUMIFS(BV_Data_An_Prec!$P:$P,BV_Data_An_Prec!$U:$U,$B138,BV_Data_An_Prec!$V:$V,$C138,BV_Data_An_Prec!$W:$W,$L$2)</f>
        <v>7187.31</v>
      </c>
      <c r="R138" s="303"/>
      <c r="S138" s="199">
        <f t="shared" si="90"/>
        <v>-1094.21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1796.0589</v>
      </c>
      <c r="G139" s="302"/>
      <c r="H139" s="178"/>
      <c r="I139" s="179">
        <f>+SUMPRODUCT(('Budget révisé'!$A$8:$A$496=$A139)*('Budget révisé'!$C$3:$AO$3=I$2),'Budget révisé'!$C$8:$AO$496)</f>
        <v>1796.0589</v>
      </c>
      <c r="J139" s="303"/>
      <c r="K139" s="178"/>
      <c r="L139" s="281">
        <f>SUMIFS(BV_Data_An_Cour!$P:$P,BV_Data_An_Cour!$U:$U,$B139,BV_Data_An_Cour!$V:$V,$C139,BV_Data_An_Cour!$W:$W,$L$2)</f>
        <v>270.81</v>
      </c>
      <c r="M139" s="303"/>
      <c r="N139" s="304">
        <f t="shared" si="89"/>
        <v>-1525.2489</v>
      </c>
      <c r="O139" s="303"/>
      <c r="P139" s="178"/>
      <c r="Q139" s="180">
        <f>SUMIFS(BV_Data_An_Prec!$P:$P,BV_Data_An_Prec!$U:$U,$B139,BV_Data_An_Prec!$V:$V,$C139,BV_Data_An_Prec!$W:$W,$L$2)</f>
        <v>2187.7199999999998</v>
      </c>
      <c r="R139" s="303"/>
      <c r="S139" s="199">
        <f t="shared" si="90"/>
        <v>-1916.9099999999999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8299.6814999999988</v>
      </c>
      <c r="G140" s="309"/>
      <c r="H140" s="308"/>
      <c r="I140" s="177">
        <f>+SUMPRODUCT(('Budget révisé'!$A$8:$A$496=$A140)*('Budget révisé'!$C$3:$AO$3=I$2),'Budget révisé'!$C$8:$AO$496)</f>
        <v>8299.6814999999988</v>
      </c>
      <c r="J140" s="310"/>
      <c r="K140" s="308"/>
      <c r="L140" s="244">
        <f>SUMIFS(BV_Data_An_Cour!$P:$P,BV_Data_An_Cour!$U:$U,$B140,BV_Data_An_Cour!$V:$V,$C140,BV_Data_An_Cour!$W:$W,$L$2)</f>
        <v>2531.08</v>
      </c>
      <c r="M140" s="310"/>
      <c r="N140" s="311">
        <f t="shared" si="89"/>
        <v>-5768.6014999999989</v>
      </c>
      <c r="O140" s="310"/>
      <c r="P140" s="308"/>
      <c r="Q140" s="177">
        <f>SUMIFS(BV_Data_An_Prec!$P:$P,BV_Data_An_Prec!$U:$U,$B140,BV_Data_An_Prec!$V:$V,$C140,BV_Data_An_Prec!$W:$W,$L$2)</f>
        <v>5933.9</v>
      </c>
      <c r="R140" s="310"/>
      <c r="S140" s="202">
        <f t="shared" si="90"/>
        <v>-3402.8199999999997</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280.46390018523647</v>
      </c>
      <c r="G141" s="302"/>
      <c r="H141" s="178"/>
      <c r="I141" s="179">
        <f>+SUMPRODUCT(('Budget révisé'!$A$8:$A$496=$A141)*('Budget révisé'!$C$3:$AO$3=I$2),'Budget révisé'!$C$8:$AO$496)</f>
        <v>280.46390018523647</v>
      </c>
      <c r="J141" s="303"/>
      <c r="K141" s="178"/>
      <c r="L141" s="281">
        <f>SUMIFS(BV_Data_An_Cour!$P:$P,BV_Data_An_Cour!$U:$U,$B141,BV_Data_An_Cour!$V:$V,$C141,BV_Data_An_Cour!$W:$W,$L$2)</f>
        <v>0</v>
      </c>
      <c r="M141" s="303"/>
      <c r="N141" s="304">
        <f t="shared" si="89"/>
        <v>-280.46390018523647</v>
      </c>
      <c r="O141" s="303"/>
      <c r="P141" s="178"/>
      <c r="Q141" s="180">
        <f>SUMIFS(BV_Data_An_Prec!$P:$P,BV_Data_An_Prec!$U:$U,$B141,BV_Data_An_Prec!$V:$V,$C141,BV_Data_An_Prec!$W:$W,$L$2)</f>
        <v>285</v>
      </c>
      <c r="R141" s="303"/>
      <c r="S141" s="199">
        <f t="shared" si="90"/>
        <v>-285</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30</v>
      </c>
      <c r="G142" s="302"/>
      <c r="H142" s="178"/>
      <c r="I142" s="179">
        <f>+SUMPRODUCT(('Budget révisé'!$A$8:$A$496=$A142)*('Budget révisé'!$C$3:$AO$3=I$2),'Budget révisé'!$C$8:$AO$496)</f>
        <v>30</v>
      </c>
      <c r="J142" s="303"/>
      <c r="K142" s="178"/>
      <c r="L142" s="281">
        <f>SUMIFS(BV_Data_An_Cour!$P:$P,BV_Data_An_Cour!$U:$U,$B142,BV_Data_An_Cour!$V:$V,$C142,BV_Data_An_Cour!$W:$W,$L$2)</f>
        <v>0</v>
      </c>
      <c r="M142" s="303"/>
      <c r="N142" s="304">
        <f t="shared" si="89"/>
        <v>-30</v>
      </c>
      <c r="O142" s="303"/>
      <c r="P142" s="178"/>
      <c r="Q142" s="180">
        <f>SUMIFS(BV_Data_An_Prec!$P:$P,BV_Data_An_Prec!$U:$U,$B142,BV_Data_An_Prec!$V:$V,$C142,BV_Data_An_Prec!$W:$W,$L$2)</f>
        <v>30</v>
      </c>
      <c r="R142" s="303"/>
      <c r="S142" s="199">
        <f t="shared" si="90"/>
        <v>-30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784.8</v>
      </c>
      <c r="G143" s="302"/>
      <c r="H143" s="178"/>
      <c r="I143" s="179">
        <f>+SUMPRODUCT(('Budget révisé'!$A$8:$A$496=$A143)*('Budget révisé'!$C$3:$AO$3=I$2),'Budget révisé'!$C$8:$AO$496)</f>
        <v>784.8</v>
      </c>
      <c r="J143" s="303"/>
      <c r="K143" s="178"/>
      <c r="L143" s="985">
        <f>SUMIFS(BV_Data_An_Cour!$P:$P,BV_Data_An_Cour!$U:$U,$B143,BV_Data_An_Cour!$V:$V,$C143,BV_Data_An_Cour!$W:$W,$L$2)</f>
        <v>428.64</v>
      </c>
      <c r="M143" s="303"/>
      <c r="N143" s="304">
        <f t="shared" si="89"/>
        <v>-356.15999999999997</v>
      </c>
      <c r="O143" s="303"/>
      <c r="P143" s="178"/>
      <c r="Q143" s="554">
        <f>SUMIFS(BV_Data_An_Prec!$P:$P,BV_Data_An_Prec!$U:$U,$B143,BV_Data_An_Prec!$V:$V,$C143,BV_Data_An_Prec!$W:$W,$L$2)</f>
        <v>666</v>
      </c>
      <c r="R143" s="303"/>
      <c r="S143" s="199">
        <f t="shared" si="90"/>
        <v>-237.36</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804.27599999999995</v>
      </c>
      <c r="G144" s="302"/>
      <c r="H144" s="178"/>
      <c r="I144" s="179">
        <f>+SUMPRODUCT(('Budget révisé'!$A$8:$A$496=$A144)*('Budget révisé'!$C$3:$AO$3=I$2),'Budget révisé'!$C$8:$AO$496)</f>
        <v>804.27599999999995</v>
      </c>
      <c r="J144" s="303"/>
      <c r="K144" s="178"/>
      <c r="L144" s="281">
        <f>SUMIFS(BV_Data_An_Cour!$P:$P,BV_Data_An_Cour!$U:$U,$B144,BV_Data_An_Cour!$V:$V,$C144,BV_Data_An_Cour!$W:$W,$L$2)</f>
        <v>338.01</v>
      </c>
      <c r="M144" s="303"/>
      <c r="N144" s="304">
        <f t="shared" si="89"/>
        <v>-466.26599999999996</v>
      </c>
      <c r="O144" s="303"/>
      <c r="P144" s="178"/>
      <c r="Q144" s="180">
        <f>SUMIFS(BV_Data_An_Prec!$P:$P,BV_Data_An_Prec!$U:$U,$B144,BV_Data_An_Prec!$V:$V,$C144,BV_Data_An_Prec!$W:$W,$L$2)</f>
        <v>447.88</v>
      </c>
      <c r="R144" s="303"/>
      <c r="S144" s="199">
        <f t="shared" si="90"/>
        <v>-109.87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311.39999999999998</v>
      </c>
      <c r="G145" s="302"/>
      <c r="H145" s="178"/>
      <c r="I145" s="179">
        <f>+SUMPRODUCT(('Budget révisé'!$A$8:$A$496=$A145)*('Budget révisé'!$C$3:$AO$3=I$2),'Budget révisé'!$C$8:$AO$496)</f>
        <v>311.39999999999998</v>
      </c>
      <c r="J145" s="303"/>
      <c r="K145" s="178"/>
      <c r="L145" s="281">
        <f>SUMIFS(BV_Data_An_Cour!$P:$P,BV_Data_An_Cour!$U:$U,$B145,BV_Data_An_Cour!$V:$V,$C145,BV_Data_An_Cour!$W:$W,$L$2)</f>
        <v>158.05000000000001</v>
      </c>
      <c r="M145" s="303"/>
      <c r="N145" s="304">
        <f t="shared" si="89"/>
        <v>-153.34999999999997</v>
      </c>
      <c r="O145" s="303"/>
      <c r="P145" s="178"/>
      <c r="Q145" s="180">
        <f>SUMIFS(BV_Data_An_Prec!$P:$P,BV_Data_An_Prec!$U:$U,$B145,BV_Data_An_Prec!$V:$V,$C145,BV_Data_An_Prec!$W:$W,$L$2)</f>
        <v>210.33</v>
      </c>
      <c r="R145" s="303"/>
      <c r="S145" s="199">
        <f t="shared" si="90"/>
        <v>-52.28</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1292.7599999999998</v>
      </c>
      <c r="G146" s="302"/>
      <c r="H146" s="178"/>
      <c r="I146" s="179">
        <f>+SUMPRODUCT(('Budget révisé'!$A$8:$A$496=$A146)*('Budget révisé'!$C$3:$AO$3=I$2),'Budget révisé'!$C$8:$AO$496)</f>
        <v>1292.7599999999998</v>
      </c>
      <c r="J146" s="303"/>
      <c r="K146" s="178"/>
      <c r="L146" s="281">
        <f>SUMIFS(BV_Data_An_Cour!$P:$P,BV_Data_An_Cour!$U:$U,$B146,BV_Data_An_Cour!$V:$V,$C146,BV_Data_An_Cour!$W:$W,$L$2)</f>
        <v>953.86</v>
      </c>
      <c r="M146" s="303"/>
      <c r="N146" s="304">
        <f t="shared" si="89"/>
        <v>-338.89999999999975</v>
      </c>
      <c r="O146" s="303"/>
      <c r="P146" s="178"/>
      <c r="Q146" s="180">
        <f>SUMIFS(BV_Data_An_Prec!$P:$P,BV_Data_An_Prec!$U:$U,$B146,BV_Data_An_Prec!$V:$V,$C146,BV_Data_An_Prec!$W:$W,$L$2)</f>
        <v>1965.39</v>
      </c>
      <c r="R146" s="303"/>
      <c r="S146" s="199">
        <f t="shared" si="90"/>
        <v>-1011.5300000000001</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211.89</v>
      </c>
      <c r="G147" s="302"/>
      <c r="H147" s="178"/>
      <c r="I147" s="179">
        <f>+SUMPRODUCT(('Budget révisé'!$A$8:$A$496=$A147)*('Budget révisé'!$C$3:$AO$3=I$2),'Budget révisé'!$C$8:$AO$496)</f>
        <v>211.89</v>
      </c>
      <c r="J147" s="303"/>
      <c r="K147" s="178"/>
      <c r="L147" s="281">
        <f>SUMIFS(BV_Data_An_Cour!$P:$P,BV_Data_An_Cour!$U:$U,$B147,BV_Data_An_Cour!$V:$V,$C147,BV_Data_An_Cour!$W:$W,$L$2)</f>
        <v>31.86</v>
      </c>
      <c r="M147" s="303"/>
      <c r="N147" s="304">
        <f t="shared" si="89"/>
        <v>-180.02999999999997</v>
      </c>
      <c r="O147" s="303"/>
      <c r="P147" s="178"/>
      <c r="Q147" s="180">
        <f>SUMIFS(BV_Data_An_Prec!$P:$P,BV_Data_An_Prec!$U:$U,$B147,BV_Data_An_Prec!$V:$V,$C147,BV_Data_An_Prec!$W:$W,$L$2)</f>
        <v>180</v>
      </c>
      <c r="R147" s="303"/>
      <c r="S147" s="199">
        <f t="shared" si="90"/>
        <v>-148.13999999999999</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2239.4007651938537</v>
      </c>
      <c r="G148" s="302"/>
      <c r="H148" s="178"/>
      <c r="I148" s="179">
        <f>+SUMPRODUCT(('Budget révisé'!$A$8:$A$496=$A148)*('Budget révisé'!$C$3:$AO$3=I$2),'Budget révisé'!$C$8:$AO$496)</f>
        <v>2239.4007651938537</v>
      </c>
      <c r="J148" s="303"/>
      <c r="K148" s="178"/>
      <c r="L148" s="281"/>
      <c r="M148" s="303"/>
      <c r="N148" s="304">
        <f t="shared" ref="N148:N151" si="95">L148-I148</f>
        <v>-2239.4007651938537</v>
      </c>
      <c r="O148" s="303"/>
      <c r="P148" s="178"/>
      <c r="Q148" s="180">
        <f>AL447*W4</f>
        <v>1542.2430000000002</v>
      </c>
      <c r="R148" s="303"/>
      <c r="S148" s="199">
        <f t="shared" ref="S148:S151" si="96">L148-Q148</f>
        <v>-1542.2430000000002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0.13713917554397997</v>
      </c>
      <c r="F152" s="41">
        <f>+SUM(F135:F151)</f>
        <v>24684.171865379089</v>
      </c>
      <c r="G152" s="42" t="s">
        <v>111</v>
      </c>
      <c r="H152" s="40">
        <f>I152/I$107</f>
        <v>0.13713917554397997</v>
      </c>
      <c r="I152" s="41">
        <f>+SUM(I135:I151)</f>
        <v>24684.171865379089</v>
      </c>
      <c r="J152" s="42" t="s">
        <v>111</v>
      </c>
      <c r="K152" s="40">
        <f>L152/L$107</f>
        <v>4.221550456889657E-2</v>
      </c>
      <c r="L152" s="41">
        <f>+SUM(L135:L151)</f>
        <v>9672.1800000000021</v>
      </c>
      <c r="M152" s="44"/>
      <c r="N152" s="41">
        <f t="shared" si="89"/>
        <v>-15011.991865379086</v>
      </c>
      <c r="O152" s="42" t="s">
        <v>111</v>
      </c>
      <c r="P152" s="40">
        <f>Q152/Q$107</f>
        <v>0.19673508482957455</v>
      </c>
      <c r="Q152" s="41">
        <f>+SUM(Q135:Q151)</f>
        <v>23437.753000000001</v>
      </c>
      <c r="R152" s="44"/>
      <c r="S152" s="316">
        <f t="shared" si="90"/>
        <v>-13765.572999999999</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1.1287861904230694</v>
      </c>
      <c r="F154" s="41">
        <f>F121+F134+F152</f>
        <v>203174.2732384589</v>
      </c>
      <c r="G154" s="42" t="s">
        <v>111</v>
      </c>
      <c r="H154" s="40">
        <f>I154/I$107</f>
        <v>1.1287861904230694</v>
      </c>
      <c r="I154" s="41">
        <f>I121+I134+I152</f>
        <v>203174.2732384589</v>
      </c>
      <c r="J154" s="42" t="s">
        <v>111</v>
      </c>
      <c r="K154" s="40">
        <f>L154/L$107</f>
        <v>0.92738736631132679</v>
      </c>
      <c r="L154" s="41">
        <f>L121+L134+L152</f>
        <v>212477.8</v>
      </c>
      <c r="M154" s="44"/>
      <c r="N154" s="46">
        <f>L154-I154</f>
        <v>9303.5267615410849</v>
      </c>
      <c r="O154" s="42" t="s">
        <v>111</v>
      </c>
      <c r="P154" s="40">
        <f>Q154/Q$107</f>
        <v>1.8184047787705893</v>
      </c>
      <c r="Q154" s="41">
        <f>Q121+Q134+Q152</f>
        <v>216633.05299999999</v>
      </c>
      <c r="R154" s="44"/>
      <c r="S154" s="299">
        <f>L154-Q154</f>
        <v>-4155.252999999997</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+SUMPRODUCT(('Budget original'!$A$8:$A$496=$A155)*('Budget original'!$C$3:$AO$3=F$2),'Budget original'!$C$8:$AO$496)</f>
        <v>8500</v>
      </c>
      <c r="G155" s="416"/>
      <c r="H155" s="415"/>
      <c r="I155" s="179">
        <f>+SUMPRODUCT(('Budget révisé'!$A$8:$A$496=$A155)*('Budget révisé'!$C$3:$AO$3=I$2),'Budget révisé'!$C$8:$AO$496)</f>
        <v>8500</v>
      </c>
      <c r="J155" s="416"/>
      <c r="K155" s="986"/>
      <c r="L155" s="985">
        <v>8500</v>
      </c>
      <c r="M155" s="303"/>
      <c r="N155" s="304">
        <f t="shared" ref="N155:N157" si="97">L155-I155</f>
        <v>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6"/>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22023.427762045692</v>
      </c>
      <c r="G158" s="302"/>
      <c r="H158" s="178"/>
      <c r="I158" s="179">
        <f>+SUMPRODUCT(('Budget révisé'!$A$8:$A$496=$A158)*('Budget révisé'!$C$3:$AO$3=I$2),'Budget révisé'!$C$8:$AO$496)</f>
        <v>22023.427762045692</v>
      </c>
      <c r="J158" s="303"/>
      <c r="K158" s="233"/>
      <c r="L158" s="985">
        <f>349*J96</f>
        <v>30363</v>
      </c>
      <c r="M158" s="303"/>
      <c r="N158" s="304">
        <f t="shared" ref="N158" si="100">L158-I158</f>
        <v>8339.5722379543076</v>
      </c>
      <c r="O158" s="303"/>
      <c r="P158" s="178"/>
      <c r="Q158" s="180">
        <f>349*O96</f>
        <v>27571</v>
      </c>
      <c r="R158" s="303"/>
      <c r="S158" s="199">
        <f t="shared" ref="S158" si="101">L158-Q158</f>
        <v>2792</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5">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30523.427762045692</v>
      </c>
      <c r="G162" s="42"/>
      <c r="H162" s="40"/>
      <c r="I162" s="41">
        <f>+SUM(I155:I161)</f>
        <v>30523.427762045692</v>
      </c>
      <c r="J162" s="42"/>
      <c r="K162" s="40"/>
      <c r="L162" s="41">
        <f>+SUM(L155:L161)</f>
        <v>38863</v>
      </c>
      <c r="M162" s="44"/>
      <c r="N162" s="41">
        <f>SUM(N157:N157)</f>
        <v>0</v>
      </c>
      <c r="O162" s="42"/>
      <c r="P162" s="40"/>
      <c r="Q162" s="41">
        <f>+SUM(Q155:Q161)</f>
        <v>27571</v>
      </c>
      <c r="R162" s="44"/>
      <c r="S162" s="316">
        <f>+SUM(S155:S161)</f>
        <v>11292</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7342.73963496129</v>
      </c>
      <c r="G164" s="344"/>
      <c r="H164" s="342"/>
      <c r="I164" s="343">
        <f>I107-I154+I162</f>
        <v>7342.73963496129</v>
      </c>
      <c r="J164" s="345"/>
      <c r="K164" s="346"/>
      <c r="L164" s="343">
        <f>L107-L154+L162</f>
        <v>55499.600000000151</v>
      </c>
      <c r="M164" s="345"/>
      <c r="N164" s="343">
        <f>L164-I164</f>
        <v>48156.860365038861</v>
      </c>
      <c r="O164" s="345"/>
      <c r="P164" s="346"/>
      <c r="Q164" s="343">
        <f>Q107-Q154+Q162</f>
        <v>-69928.483000000269</v>
      </c>
      <c r="R164" s="345"/>
      <c r="S164" s="347">
        <f>L164-Q164</f>
        <v>125428.08300000042</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Mars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35" t="s">
        <v>77</v>
      </c>
      <c r="E169" s="1136"/>
      <c r="F169" s="1137"/>
      <c r="G169" s="1138" t="s">
        <v>145</v>
      </c>
      <c r="H169" s="1136"/>
      <c r="I169" s="1137"/>
      <c r="J169" s="1138" t="s">
        <v>79</v>
      </c>
      <c r="K169" s="1136"/>
      <c r="L169" s="1137"/>
      <c r="M169" s="1138" t="s">
        <v>80</v>
      </c>
      <c r="N169" s="1137"/>
      <c r="O169" s="1135" t="s">
        <v>81</v>
      </c>
      <c r="P169" s="1136"/>
      <c r="Q169" s="1137"/>
      <c r="R169" s="1138" t="s">
        <v>82</v>
      </c>
      <c r="S169" s="1139"/>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1007.261274244898</v>
      </c>
      <c r="E171" s="197">
        <f>+SUMPRODUCT(('Budget original'!$A$8:$A$496=$A171)*('Budget original'!$C$3:$AO$3=E$2),'Budget original'!$C$8:$AO$496)</f>
        <v>247220.68196009478</v>
      </c>
      <c r="F171" s="197">
        <f>+SUMPRODUCT(('Budget original'!$A$8:$A$496=$A171)*('Budget original'!$C$3:$AO$3=F$2),'Budget original'!$C$8:$AO$496)</f>
        <v>185540.58865153024</v>
      </c>
      <c r="G171" s="348">
        <f>+SUMPRODUCT(('Budget révisé'!$A$8:$A$496=$A171)*('Budget révisé'!$C$3:$AO$3=G$2),'Budget révisé'!$C$8:$AO$496)</f>
        <v>1007.261274244898</v>
      </c>
      <c r="H171" s="197">
        <f>+SUMPRODUCT(('Budget révisé'!$A$8:$A$496=$A171)*('Budget révisé'!$C$3:$AO$3=H$2),'Budget révisé'!$C$8:$AO$496)</f>
        <v>247220.68196009478</v>
      </c>
      <c r="I171" s="197">
        <f>+SUMPRODUCT(('Budget révisé'!$A$8:$A$496=$A171)*('Budget révisé'!$C$3:$AO$3=I$2),'Budget révisé'!$C$8:$AO$496)</f>
        <v>185540.58865153024</v>
      </c>
      <c r="J171" s="325">
        <f>-SUMIFS(BV_Data_An_Cour!$P:$P,BV_Data_An_Cour!$U:$U,$B171,BV_Data_An_Cour!$V:$V,$C171,BV_Data_An_Cour!$W:$W,J$2)</f>
        <v>842</v>
      </c>
      <c r="K171" s="179">
        <f>-SUMIFS(BV_Data_An_Cour!$P:$P,BV_Data_An_Cour!$X:$X,"Oui",BV_Data_An_Cour!$U:$U,$B171,BV_Data_An_Cour!$V:$V,$C171)</f>
        <v>193832.66999999998</v>
      </c>
      <c r="L171" s="180">
        <f>-SUMIFS(BV_Data_An_Cour!$P:$P,BV_Data_An_Cour!$U:$U,$B171,BV_Data_An_Cour!$V:$V,$C171,BV_Data_An_Cour!$W:$W,$L$2)</f>
        <v>148632.74</v>
      </c>
      <c r="M171" s="324">
        <f>(K171-H171)/H171</f>
        <v>-0.21595285449747462</v>
      </c>
      <c r="N171" s="304">
        <f>L171-I171</f>
        <v>-36907.84865153025</v>
      </c>
      <c r="O171" s="325">
        <f>-SUMIFS(BV_Data_An_Prec!$P:$P,BV_Data_An_Prec!$U:$U,$B171,BV_Data_An_Prec!$V:$V,$C171,BV_Data_An_Prec!$W:$W,O$2)</f>
        <v>944</v>
      </c>
      <c r="P171" s="179">
        <f>-SUMIFS(BV_Data_An_Prec!$P:$P,BV_Data_An_Prec!$X:$X,"Oui",BV_Data_An_Prec!$U:$U,$B171,BV_Data_An_Prec!$V:$V,$C171)</f>
        <v>221073.14</v>
      </c>
      <c r="Q171" s="180">
        <f>-SUMIFS(BV_Data_An_Prec!$P:$P,BV_Data_An_Prec!$U:$U,$B171,BV_Data_An_Prec!$V:$V,$C171,BV_Data_An_Prec!$W:$W,$L$2)</f>
        <v>163021.99000000002</v>
      </c>
      <c r="R171" s="324">
        <f>IF(O171=0,0,J171/O171)</f>
        <v>0.89194915254237284</v>
      </c>
      <c r="S171" s="199">
        <f>L171-Q171</f>
        <v>-14389.250000000029</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0.76680953731896695</v>
      </c>
      <c r="M172" s="324"/>
      <c r="N172" s="304"/>
      <c r="O172" s="325"/>
      <c r="P172" s="178"/>
      <c r="Q172" s="350">
        <f>IF(Q171=0,0,Q171/P171)</f>
        <v>0.73741201667466261</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245.43848580441642</v>
      </c>
      <c r="F173" s="359"/>
      <c r="G173" s="310"/>
      <c r="H173" s="358">
        <f t="shared" ref="H173" si="106">IFERROR(H171/G171,0)</f>
        <v>245.43848580441642</v>
      </c>
      <c r="I173" s="359"/>
      <c r="J173" s="339"/>
      <c r="K173" s="573">
        <f t="shared" ref="K173" si="107">IFERROR(K171/J171,0)</f>
        <v>230.20507125890734</v>
      </c>
      <c r="L173" s="359"/>
      <c r="M173" s="361"/>
      <c r="N173" s="311"/>
      <c r="O173" s="339"/>
      <c r="P173" s="573">
        <f t="shared" ref="P173" si="108">IFERROR(P171/O171,0)</f>
        <v>234.18764830508476</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808.00303127495579</v>
      </c>
      <c r="E174" s="197">
        <f>+SUMPRODUCT(('Budget original'!$A$8:$A$496=$A174)*('Budget original'!$C$3:$AO$3=E$2),'Budget original'!$C$8:$AO$496)</f>
        <v>142801.60975695917</v>
      </c>
      <c r="F174" s="197">
        <f>+SUMPRODUCT(('Budget original'!$A$8:$A$496=$A174)*('Budget original'!$C$3:$AO$3=F$2),'Budget original'!$C$8:$AO$496)</f>
        <v>99698.990505588677</v>
      </c>
      <c r="G174" s="354">
        <f>+SUMPRODUCT(('Budget révisé'!$A$8:$A$496=$A174)*('Budget révisé'!$C$3:$AO$3=G$2),'Budget révisé'!$C$8:$AO$496)</f>
        <v>808.00303127495579</v>
      </c>
      <c r="H174" s="197">
        <f>+SUMPRODUCT(('Budget révisé'!$A$8:$A$496=$A174)*('Budget révisé'!$C$3:$AO$3=H$2),'Budget révisé'!$C$8:$AO$496)</f>
        <v>142801.60975695917</v>
      </c>
      <c r="I174" s="197">
        <f>+SUMPRODUCT(('Budget révisé'!$A$8:$A$496=$A174)*('Budget révisé'!$C$3:$AO$3=I$2),'Budget révisé'!$C$8:$AO$496)</f>
        <v>99698.990505588677</v>
      </c>
      <c r="J174" s="354">
        <f>-SUMIFS(BV_Data_An_Cour!$P:$P,BV_Data_An_Cour!$U:$U,$B174,BV_Data_An_Cour!$V:$V,$C174,BV_Data_An_Cour!$W:$W,J$2)</f>
        <v>746</v>
      </c>
      <c r="K174" s="186">
        <f>-SUMIFS(BV_Data_An_Cour!$P:$P,BV_Data_An_Cour!$X:$X,"Oui",BV_Data_An_Cour!$U:$U,$B174,BV_Data_An_Cour!$V:$V,$C174)</f>
        <v>159136.26999999999</v>
      </c>
      <c r="L174" s="180">
        <f>-SUMIFS(BV_Data_An_Cour!$P:$P,BV_Data_An_Cour!$U:$U,$B174,BV_Data_An_Cour!$V:$V,$C174,BV_Data_An_Cour!$W:$W,$L$2)</f>
        <v>112226.20999999999</v>
      </c>
      <c r="M174" s="324">
        <f>(K174-H174)/H174</f>
        <v>0.11438708758844916</v>
      </c>
      <c r="N174" s="356">
        <f>L174-I174</f>
        <v>12527.219494411314</v>
      </c>
      <c r="O174" s="354">
        <f>-SUMIFS(BV_Data_An_Prec!$P:$P,BV_Data_An_Prec!$U:$U,$B174,BV_Data_An_Prec!$V:$V,$C174,BV_Data_An_Prec!$W:$W,O$2)</f>
        <v>802</v>
      </c>
      <c r="P174" s="186">
        <f>-SUMIFS(BV_Data_An_Prec!$P:$P,BV_Data_An_Prec!$X:$X,"Oui",BV_Data_An_Prec!$U:$U,$B174,BV_Data_An_Prec!$V:$V,$C174)</f>
        <v>178924.77</v>
      </c>
      <c r="Q174" s="180">
        <f>-SUMIFS(BV_Data_An_Prec!$P:$P,BV_Data_An_Prec!$U:$U,$B174,BV_Data_An_Prec!$V:$V,$C174,BV_Data_An_Prec!$W:$W,$L$2)</f>
        <v>124281.84999999999</v>
      </c>
      <c r="R174" s="324">
        <f>IF(O174=0,0,J174/O174)</f>
        <v>0.93017456359102246</v>
      </c>
      <c r="S174" s="199">
        <f>L174-Q174</f>
        <v>-12055.64</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0.69816433214773366</v>
      </c>
      <c r="G175" s="303"/>
      <c r="H175" s="178"/>
      <c r="I175" s="350">
        <f>I174/H174</f>
        <v>0.69816433214773366</v>
      </c>
      <c r="J175" s="303"/>
      <c r="K175" s="178"/>
      <c r="L175" s="350">
        <f>IF(L174=0,0,L174/K174)</f>
        <v>0.70522081484001098</v>
      </c>
      <c r="M175" s="362"/>
      <c r="N175" s="332"/>
      <c r="O175" s="303"/>
      <c r="P175" s="178"/>
      <c r="Q175" s="350">
        <f>IF(Q174=0,0,Q174/P174)</f>
        <v>0.6946039388509484</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656.65892676480735</v>
      </c>
      <c r="E177" s="197">
        <f>+SUMPRODUCT(('Budget original'!$A$8:$A$496=$A177)*('Budget original'!$C$3:$AO$3=E$2),'Budget original'!$C$8:$AO$496)</f>
        <v>154854.73608784645</v>
      </c>
      <c r="F177" s="197">
        <f>+SUMPRODUCT(('Budget original'!$A$8:$A$496=$A177)*('Budget original'!$C$3:$AO$3=F$2),'Budget original'!$C$8:$AO$496)</f>
        <v>113543.60901598763</v>
      </c>
      <c r="G177" s="303">
        <f>+SUMPRODUCT(('Budget révisé'!$A$8:$A$496=$A177)*('Budget révisé'!$C$3:$AO$3=G$2),'Budget révisé'!$C$8:$AO$496)</f>
        <v>656.65892676480735</v>
      </c>
      <c r="H177" s="197">
        <f>+SUMPRODUCT(('Budget révisé'!$A$8:$A$496=$A177)*('Budget révisé'!$C$3:$AO$3=H$2),'Budget révisé'!$C$8:$AO$496)</f>
        <v>154854.73608784645</v>
      </c>
      <c r="I177" s="197">
        <f>+SUMPRODUCT(('Budget révisé'!$A$8:$A$496=$A177)*('Budget révisé'!$C$3:$AO$3=I$2),'Budget révisé'!$C$8:$AO$496)</f>
        <v>113543.60901598763</v>
      </c>
      <c r="J177" s="325">
        <f>-SUMIFS(BV_Data_An_Cour!$P:$P,BV_Data_An_Cour!$U:$U,$B177,BV_Data_An_Cour!$V:$V,$C177,BV_Data_An_Cour!$W:$W,J$2)</f>
        <v>768</v>
      </c>
      <c r="K177" s="186">
        <f>-SUMIFS(BV_Data_An_Cour!$P:$P,BV_Data_An_Cour!$X:$X,"Oui",BV_Data_An_Cour!$U:$U,$B177,BV_Data_An_Cour!$V:$V,$C177)</f>
        <v>153670.38</v>
      </c>
      <c r="L177" s="180">
        <f>-SUMIFS(BV_Data_An_Cour!$P:$P,BV_Data_An_Cour!$U:$U,$B177,BV_Data_An_Cour!$V:$V,$C177,BV_Data_An_Cour!$W:$W,$L$2)</f>
        <v>112261.63</v>
      </c>
      <c r="M177" s="324">
        <f>(K177-H177)/H177</f>
        <v>-7.6481747847517148E-3</v>
      </c>
      <c r="N177" s="304">
        <f t="shared" ref="N177:N178" si="109">L177-I177</f>
        <v>-1281.9790159876284</v>
      </c>
      <c r="O177" s="325">
        <f>-SUMIFS(BV_Data_An_Prec!$P:$P,BV_Data_An_Prec!$U:$U,$B177,BV_Data_An_Prec!$V:$V,$C177,BV_Data_An_Prec!$W:$W,O$2)</f>
        <v>657</v>
      </c>
      <c r="P177" s="186">
        <f>-SUMIFS(BV_Data_An_Prec!$P:$P,BV_Data_An_Prec!$X:$X,"Oui",BV_Data_An_Prec!$U:$U,$B177,BV_Data_An_Prec!$V:$V,$C177)</f>
        <v>118649.19</v>
      </c>
      <c r="Q177" s="180">
        <f>-SUMIFS(BV_Data_An_Prec!$P:$P,BV_Data_An_Prec!$U:$U,$B177,BV_Data_An_Prec!$V:$V,$C177,BV_Data_An_Prec!$W:$W,$L$2)</f>
        <v>82632.75</v>
      </c>
      <c r="R177" s="324">
        <f>IF(O177=0,0,J177/O177)</f>
        <v>1.1689497716894977</v>
      </c>
      <c r="S177" s="199">
        <f>L177-Q177</f>
        <v>29628.880000000005</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0.73322658308349242</v>
      </c>
      <c r="G178" s="303"/>
      <c r="H178" s="349"/>
      <c r="I178" s="350">
        <f>I177/H177</f>
        <v>0.73322658308349242</v>
      </c>
      <c r="J178" s="325"/>
      <c r="K178" s="349"/>
      <c r="L178" s="350">
        <f>IF(L177=0,0,L177/K177)</f>
        <v>0.73053525344311632</v>
      </c>
      <c r="M178" s="324"/>
      <c r="N178" s="304">
        <f t="shared" si="109"/>
        <v>-2.6913296403761056E-3</v>
      </c>
      <c r="O178" s="325"/>
      <c r="P178" s="349"/>
      <c r="Q178" s="350">
        <f>IF(Q177=0,0,Q177/P177)</f>
        <v>0.696445968151995</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295.31723151688152</v>
      </c>
      <c r="F180" s="197">
        <f>+SUMPRODUCT(('Budget original'!$A$8:$A$496=$A180)*('Budget original'!$C$3:$AO$3=F$2),'Budget original'!$C$8:$AO$496)</f>
        <v>218.5347513224923</v>
      </c>
      <c r="G180" s="368">
        <f>+SUMPRODUCT(('Budget révisé'!$A$8:$A$496=$A180)*('Budget révisé'!$C$3:$AO$3=G$2),'Budget révisé'!$C$8:$AO$496)</f>
        <v>0</v>
      </c>
      <c r="H180" s="197">
        <f>+SUMPRODUCT(('Budget révisé'!$A$8:$A$496=$A180)*('Budget révisé'!$C$3:$AO$3=H$2),'Budget révisé'!$C$8:$AO$496)</f>
        <v>295.31723151688152</v>
      </c>
      <c r="I180" s="197">
        <f>+SUMPRODUCT(('Budget révisé'!$A$8:$A$496=$A180)*('Budget révisé'!$C$3:$AO$3=I$2),'Budget révisé'!$C$8:$AO$496)</f>
        <v>218.5347513224923</v>
      </c>
      <c r="J180" s="354">
        <f>-SUMIFS(BV_Data_An_Cour!$P:$P,BV_Data_An_Cour!$U:$U,$B180,BV_Data_An_Cour!$V:$V,$C180,BV_Data_An_Cour!$W:$W,J$2)</f>
        <v>0</v>
      </c>
      <c r="K180" s="186">
        <f>-SUMIFS(BV_Data_An_Cour!$P:$P,BV_Data_An_Cour!$X:$X,"Oui",BV_Data_An_Cour!$U:$U,$B180,BV_Data_An_Cour!$V:$V,$C180)</f>
        <v>782.28</v>
      </c>
      <c r="L180" s="181">
        <f>-SUMIFS(BV_Data_An_Cour!$P:$P,BV_Data_An_Cour!$U:$U,$B180,BV_Data_An_Cour!$V:$V,$C180,BV_Data_An_Cour!$W:$W,$L$2)</f>
        <v>732.32999999999993</v>
      </c>
      <c r="M180" s="355">
        <f>IF(H180=0,0,(K180-H180)/H180)</f>
        <v>1.6489480345656082</v>
      </c>
      <c r="N180" s="356">
        <f>L180-I180</f>
        <v>513.79524867750763</v>
      </c>
      <c r="O180" s="354">
        <f>-SUMIFS(BV_Data_An_Prec!$P:$P,BV_Data_An_Prec!$U:$U,$B180,BV_Data_An_Prec!$V:$V,$C180,BV_Data_An_Prec!$W:$W,O$2)</f>
        <v>0</v>
      </c>
      <c r="P180" s="186">
        <f>-SUMIFS(BV_Data_An_Prec!$P:$P,BV_Data_An_Prec!$X:$X,"Oui",BV_Data_An_Prec!$U:$U,$B180,BV_Data_An_Prec!$V:$V,$C180)</f>
        <v>49.94</v>
      </c>
      <c r="Q180" s="181">
        <f>-SUMIFS(BV_Data_An_Prec!$P:$P,BV_Data_An_Prec!$U:$U,$B180,BV_Data_An_Prec!$V:$V,$C180,BV_Data_An_Prec!$W:$W,$L$2)</f>
        <v>49.94</v>
      </c>
      <c r="R180" s="324">
        <f>IF(O180=0,0,J180/O180)</f>
        <v>0</v>
      </c>
      <c r="S180" s="201">
        <f>L180-Q180</f>
        <v>682.38999999999987</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0.73999999999999988</v>
      </c>
      <c r="G181" s="313"/>
      <c r="H181" s="370"/>
      <c r="I181" s="350">
        <f>IFERROR(I180/H180,0)</f>
        <v>0.73999999999999988</v>
      </c>
      <c r="J181" s="371"/>
      <c r="K181" s="370">
        <f>IF(J181&lt;=0,0,L181/J181)</f>
        <v>0</v>
      </c>
      <c r="L181" s="350">
        <f>IF(L180=0,0,L180/K180)</f>
        <v>0.93614818223653928</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-9501.0904372792374</v>
      </c>
      <c r="G183" s="303"/>
      <c r="H183" s="197"/>
      <c r="I183" s="197">
        <f>+SUMPRODUCT(('Budget révisé'!$A$8:$A$496=$A183)*('Budget révisé'!$C$3:$AO$3=I$2),'Budget révisé'!$C$8:$AO$496)</f>
        <v>-9501.0904372792374</v>
      </c>
      <c r="J183" s="325"/>
      <c r="K183" s="197"/>
      <c r="L183" s="197">
        <f>-SUMIFS(BV_Data_An_Cour!$P:$P,BV_Data_An_Cour!$U:$U,$B183,BV_Data_An_Cour!$V:$V,$C183,BV_Data_An_Cour!$W:$W,$L$2)</f>
        <v>-5948.81</v>
      </c>
      <c r="M183" s="371"/>
      <c r="N183" s="304">
        <f t="shared" ref="N183:N184" si="110">L183-I183</f>
        <v>3552.280437279237</v>
      </c>
      <c r="O183" s="325"/>
      <c r="P183" s="197"/>
      <c r="Q183" s="180">
        <f>-SUMIFS(BV_Data_An_Prec!$P:$P,BV_Data_An_Prec!$U:$U,$B183,BV_Data_An_Prec!$V:$V,$C183,BV_Data_An_Prec!$W:$W,$L$2)</f>
        <v>-9639.6</v>
      </c>
      <c r="R183" s="209"/>
      <c r="S183" s="199">
        <f t="shared" ref="S183:S184" si="111">L183-Q183</f>
        <v>3690.79</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545172.34503641736</v>
      </c>
      <c r="F184" s="59">
        <f t="shared" si="112"/>
        <v>389500.63248714973</v>
      </c>
      <c r="G184" s="60"/>
      <c r="H184" s="58">
        <f t="shared" ref="H184:L184" si="113">H171+H174+H177+H180+H183</f>
        <v>545172.34503641736</v>
      </c>
      <c r="I184" s="59">
        <f t="shared" si="113"/>
        <v>389500.63248714973</v>
      </c>
      <c r="J184" s="60">
        <f t="shared" si="113"/>
        <v>2356</v>
      </c>
      <c r="K184" s="58">
        <f t="shared" si="113"/>
        <v>507421.6</v>
      </c>
      <c r="L184" s="59">
        <f t="shared" si="113"/>
        <v>367904.1</v>
      </c>
      <c r="M184" s="61">
        <f>(K184-H184)/H184</f>
        <v>-6.9245524612763773E-2</v>
      </c>
      <c r="N184" s="59">
        <f t="shared" si="110"/>
        <v>-21596.532487149758</v>
      </c>
      <c r="O184" s="60">
        <f t="shared" ref="O184:Q184" si="114">O171+O174+O177+O180+O183</f>
        <v>2403</v>
      </c>
      <c r="P184" s="58">
        <f t="shared" si="114"/>
        <v>518697.04000000004</v>
      </c>
      <c r="Q184" s="59">
        <f t="shared" si="114"/>
        <v>360346.93000000005</v>
      </c>
      <c r="R184" s="381">
        <f>IF(O184=0,0,J184/O184)</f>
        <v>0.98044111527257594</v>
      </c>
      <c r="S184" s="382">
        <f t="shared" si="111"/>
        <v>7557.1699999999255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0.71445412819157439</v>
      </c>
      <c r="G185" s="64"/>
      <c r="H185" s="62"/>
      <c r="I185" s="332">
        <f>I184/H184</f>
        <v>0.71445412819157439</v>
      </c>
      <c r="J185" s="64"/>
      <c r="K185" s="65">
        <f>IF(J184=0,0,K184/J184)</f>
        <v>215.3741935483871</v>
      </c>
      <c r="L185" s="332">
        <f>IF(L184=0,0,L184/K184)</f>
        <v>0.72504619432834549</v>
      </c>
      <c r="M185" s="64"/>
      <c r="N185" s="63">
        <f>N184/I184</f>
        <v>-5.5446719943034399E-2</v>
      </c>
      <c r="O185" s="64"/>
      <c r="P185" s="65">
        <f>IF(O184=0,0,P184/O184)</f>
        <v>215.85394923012902</v>
      </c>
      <c r="Q185" s="332">
        <f>IF(Q184=0,0,Q184/P184)</f>
        <v>0.69471560894197515</v>
      </c>
      <c r="R185" s="64"/>
      <c r="S185" s="333">
        <f>IF(R184=0,0,S184/R184)</f>
        <v>7707.9284847197887</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61562.051316700461</v>
      </c>
      <c r="F187" s="228">
        <f>+SUMPRODUCT(('Budget original'!$A$8:$A$496=$A187)*('Budget original'!$C$3:$AO$3=F$2),'Budget original'!$C$8:$AO$496)</f>
        <v>14774.89231600811</v>
      </c>
      <c r="G187" s="230"/>
      <c r="H187" s="228">
        <f>+SUMPRODUCT(('Budget révisé'!$A$8:$A$496=$A187)*('Budget révisé'!$C$3:$AO$3=H$2),'Budget révisé'!$C$8:$AO$496)</f>
        <v>61562.051316700461</v>
      </c>
      <c r="I187" s="228">
        <f>+SUMPRODUCT(('Budget révisé'!$A$8:$A$496=$A187)*('Budget révisé'!$C$3:$AO$3=I$2),'Budget révisé'!$C$8:$AO$496)</f>
        <v>14774.89231600811</v>
      </c>
      <c r="J187" s="230"/>
      <c r="K187" s="231">
        <f>-SUMIFS(BV_Data_An_Cour!$P:$P,BV_Data_An_Cour!$X:$X,"Oui",BV_Data_An_Cour!$U:$U,$B187,BV_Data_An_Cour!$V:$V,$C187)</f>
        <v>50295.19</v>
      </c>
      <c r="L187" s="281">
        <f>-SUMIFS(BV_Data_An_Cour!$P:$P,BV_Data_An_Cour!$U:$U,$B187,BV_Data_An_Cour!$V:$V,$C187,BV_Data_An_Cour!$W:$W,$L$2)</f>
        <v>10796.990000000002</v>
      </c>
      <c r="M187" s="511">
        <f>IF(H187=0,0,(K187-H187)/H187)</f>
        <v>-0.18301634002965722</v>
      </c>
      <c r="N187" s="232">
        <f>L187-I187</f>
        <v>-3977.9023160081088</v>
      </c>
      <c r="O187" s="230"/>
      <c r="P187" s="231">
        <f>-SUMIFS(BV_Data_An_Prec!$P:$P,BV_Data_An_Prec!$X:$X,"Oui",BV_Data_An_Prec!$U:$U,$B187,BV_Data_An_Prec!$V:$V,$C187)</f>
        <v>84628.670000000013</v>
      </c>
      <c r="Q187" s="281">
        <f>-SUMIFS(BV_Data_An_Prec!$P:$P,BV_Data_An_Prec!$U:$U,$B187,BV_Data_An_Prec!$V:$V,$C187,BV_Data_An_Prec!$W:$W,$L$2)</f>
        <v>22461.490000000005</v>
      </c>
      <c r="R187" s="386">
        <f>IF(O187=0,0,J187/O187)</f>
        <v>0</v>
      </c>
      <c r="S187" s="284">
        <f>L187-Q187</f>
        <v>-11664.500000000004</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0.21467241698460629</v>
      </c>
      <c r="M188" s="236"/>
      <c r="N188" s="238"/>
      <c r="O188" s="236"/>
      <c r="P188" s="237"/>
      <c r="Q188" s="235">
        <f>IF(Q187=0,0,Q187/P187)</f>
        <v>0.26541230058324211</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606734.39635311777</v>
      </c>
      <c r="F193" s="28">
        <f t="shared" si="115"/>
        <v>404275.52480315784</v>
      </c>
      <c r="G193" s="29"/>
      <c r="H193" s="26">
        <f t="shared" ref="H193:I193" si="116">H184+H187+H190</f>
        <v>606734.39635311777</v>
      </c>
      <c r="I193" s="28">
        <f t="shared" si="116"/>
        <v>404275.52480315784</v>
      </c>
      <c r="J193" s="29"/>
      <c r="K193" s="26">
        <f>K184+K187+K190</f>
        <v>557716.79</v>
      </c>
      <c r="L193" s="28">
        <f t="shared" ref="L193" si="117">L184+L187+L190</f>
        <v>378701.08999999997</v>
      </c>
      <c r="M193" s="70">
        <f>L194-I194</f>
        <v>1.2706582955434254E-2</v>
      </c>
      <c r="N193" s="28">
        <f>L193-I193</f>
        <v>-25574.43480315787</v>
      </c>
      <c r="O193" s="29"/>
      <c r="P193" s="26">
        <f>P184+P187+P190</f>
        <v>603325.71000000008</v>
      </c>
      <c r="Q193" s="28">
        <f t="shared" ref="Q193" si="118">Q184+Q187+Q190</f>
        <v>382808.42000000004</v>
      </c>
      <c r="R193" s="70">
        <f>L194-Q194</f>
        <v>4.4523310795091975E-2</v>
      </c>
      <c r="S193" s="363">
        <f>L193-Q193</f>
        <v>-4107.3300000000745</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0.66631383886116546</v>
      </c>
      <c r="G194" s="31"/>
      <c r="H194" s="365"/>
      <c r="I194" s="34">
        <f>I193/H193</f>
        <v>0.66631383886116546</v>
      </c>
      <c r="J194" s="31"/>
      <c r="K194" s="365"/>
      <c r="L194" s="34">
        <f>L193/K193</f>
        <v>0.67902042181659972</v>
      </c>
      <c r="M194" s="33"/>
      <c r="N194" s="34">
        <f>N193/I193</f>
        <v>-6.3259913682902486E-2</v>
      </c>
      <c r="O194" s="31"/>
      <c r="P194" s="365"/>
      <c r="Q194" s="34">
        <f>Q193/P193</f>
        <v>0.63449711102150774</v>
      </c>
      <c r="R194" s="33"/>
      <c r="S194" s="272">
        <f>L193/S193</f>
        <v>-92.20128161116665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36608.669550344828</v>
      </c>
      <c r="G197" s="303"/>
      <c r="H197" s="178"/>
      <c r="I197" s="179">
        <f>+SUMPRODUCT(('Budget révisé'!$A$8:$A$496=$A197)*('Budget révisé'!$C$3:$AO$3=I$2),'Budget révisé'!$C$8:$AO$496)</f>
        <v>36608.669550344828</v>
      </c>
      <c r="J197" s="303"/>
      <c r="K197" s="178"/>
      <c r="L197" s="180">
        <f>SUMIFS(BV_Data_An_Cour!$P:$P,BV_Data_An_Cour!$U:$U,$B197,BV_Data_An_Cour!$V:$V,$C197,BV_Data_An_Cour!$W:$W,$L$2)</f>
        <v>35050.300000000003</v>
      </c>
      <c r="M197" s="303"/>
      <c r="N197" s="304"/>
      <c r="O197" s="303"/>
      <c r="P197" s="178"/>
      <c r="Q197" s="180">
        <f>SUMIFS(BV_Data_An_Prec!$P:$P,BV_Data_An_Prec!$U:$U,$B197,BV_Data_An_Prec!$V:$V,$C197,BV_Data_An_Prec!$W:$W,$L$2)</f>
        <v>40132.54</v>
      </c>
      <c r="R197" s="303"/>
      <c r="S197" s="399">
        <f>L197-Q197</f>
        <v>-5082.239999999998</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26654.586017839079</v>
      </c>
      <c r="G198" s="302"/>
      <c r="H198" s="178"/>
      <c r="I198" s="177">
        <f>+SUMPRODUCT(('Budget révisé'!$A$8:$A$496=$A198)*('Budget révisé'!$C$3:$AO$3=I$2),'Budget révisé'!$C$8:$AO$496)</f>
        <v>26654.586017839079</v>
      </c>
      <c r="J198" s="303"/>
      <c r="K198" s="178"/>
      <c r="L198" s="180">
        <f>SUMIFS(BV_Data_An_Cour!$P:$P,BV_Data_An_Cour!$U:$U,$B198,BV_Data_An_Cour!$V:$V,$C198,BV_Data_An_Cour!$W:$W,$L$2)</f>
        <v>22871.25</v>
      </c>
      <c r="M198" s="303"/>
      <c r="N198" s="304">
        <f t="shared" ref="N198:N228" si="119">L198-I198</f>
        <v>-3783.3360178390794</v>
      </c>
      <c r="O198" s="303"/>
      <c r="P198" s="178"/>
      <c r="Q198" s="180">
        <f>SUMIFS(BV_Data_An_Prec!$P:$P,BV_Data_An_Prec!$U:$U,$B198,BV_Data_An_Prec!$V:$V,$C198,BV_Data_An_Prec!$W:$W,$L$2)</f>
        <v>22151.01</v>
      </c>
      <c r="R198" s="303"/>
      <c r="S198" s="199">
        <f t="shared" ref="S198:S228" si="120">L198-Q198</f>
        <v>720.2400000000016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36005.669572560917</v>
      </c>
      <c r="G199" s="393"/>
      <c r="H199" s="352"/>
      <c r="I199" s="179">
        <f>+SUMPRODUCT(('Budget révisé'!$A$8:$A$496=$A199)*('Budget révisé'!$C$3:$AO$3=I$2),'Budget révisé'!$C$8:$AO$496)</f>
        <v>36005.669572560917</v>
      </c>
      <c r="J199" s="368"/>
      <c r="K199" s="352"/>
      <c r="L199" s="181">
        <f>SUMIFS(BV_Data_An_Cour!$P:$P,BV_Data_An_Cour!$U:$U,$B199,BV_Data_An_Cour!$V:$V,$C199,BV_Data_An_Cour!$W:$W,$L$2)</f>
        <v>39479.11</v>
      </c>
      <c r="M199" s="368"/>
      <c r="N199" s="356">
        <f t="shared" si="119"/>
        <v>3473.4404274390836</v>
      </c>
      <c r="O199" s="368"/>
      <c r="P199" s="352"/>
      <c r="Q199" s="181">
        <f>SUMIFS(BV_Data_An_Prec!$P:$P,BV_Data_An_Prec!$U:$U,$B199,BV_Data_An_Prec!$V:$V,$C199,BV_Data_An_Prec!$W:$W,$L$2)</f>
        <v>30461.040000000001</v>
      </c>
      <c r="R199" s="368"/>
      <c r="S199" s="201">
        <f t="shared" si="120"/>
        <v>9018.07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92152.362593103462</v>
      </c>
      <c r="G200" s="302"/>
      <c r="H200" s="178"/>
      <c r="I200" s="179">
        <f>+SUMPRODUCT(('Budget révisé'!$A$8:$A$496=$A200)*('Budget révisé'!$C$3:$AO$3=I$2),'Budget révisé'!$C$8:$AO$496)</f>
        <v>92152.362593103462</v>
      </c>
      <c r="J200" s="303"/>
      <c r="K200" s="178"/>
      <c r="L200" s="180">
        <f>SUMIFS(BV_Data_An_Cour!$P:$P,BV_Data_An_Cour!$U:$U,$B200,BV_Data_An_Cour!$V:$V,$C200,BV_Data_An_Cour!$W:$W,$L$2)</f>
        <v>61268.35</v>
      </c>
      <c r="M200" s="303"/>
      <c r="N200" s="304">
        <f t="shared" si="119"/>
        <v>-30884.012593103464</v>
      </c>
      <c r="O200" s="303"/>
      <c r="P200" s="178"/>
      <c r="Q200" s="180">
        <f>SUMIFS(BV_Data_An_Prec!$P:$P,BV_Data_An_Prec!$U:$U,$B200,BV_Data_An_Prec!$V:$V,$C200,BV_Data_An_Prec!$W:$W,$L$2)</f>
        <v>56847.21</v>
      </c>
      <c r="R200" s="303"/>
      <c r="S200" s="199">
        <f t="shared" si="120"/>
        <v>4421.1399999999994</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50270.016928061792</v>
      </c>
      <c r="G204" s="302"/>
      <c r="H204" s="178"/>
      <c r="I204" s="179">
        <f>+SUMPRODUCT(('Budget révisé'!$A$8:$A$496=$A204)*('Budget révisé'!$C$3:$AO$3=I$2),'Budget révisé'!$C$8:$AO$496)</f>
        <v>50270.016928061792</v>
      </c>
      <c r="J204" s="303"/>
      <c r="K204" s="178"/>
      <c r="L204" s="180">
        <f>SUMIFS(BV_Data_An_Cour!$P:$P,BV_Data_An_Cour!$U:$U,$B204,BV_Data_An_Cour!$V:$V,$C204,BV_Data_An_Cour!$W:$W,$L$2)</f>
        <v>39845.760000000002</v>
      </c>
      <c r="M204" s="303"/>
      <c r="N204" s="304">
        <f t="shared" si="121"/>
        <v>-10424.25692806179</v>
      </c>
      <c r="O204" s="303"/>
      <c r="P204" s="178"/>
      <c r="Q204" s="180">
        <f>SUMIFS(BV_Data_An_Prec!$P:$P,BV_Data_An_Prec!$U:$U,$B204,BV_Data_An_Prec!$V:$V,$C204,BV_Data_An_Prec!$W:$W,$L$2)</f>
        <v>40834.99</v>
      </c>
      <c r="R204" s="303"/>
      <c r="S204" s="199">
        <f t="shared" si="122"/>
        <v>-989.22999999999593</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50270.016928061792</v>
      </c>
      <c r="G205" s="393"/>
      <c r="H205" s="352"/>
      <c r="I205" s="429">
        <f>+SUMPRODUCT(('Budget révisé'!$A$8:$A$496=$A205)*('Budget révisé'!$C$3:$AO$3=I$2),'Budget révisé'!$C$8:$AO$496)</f>
        <v>50270.016928061792</v>
      </c>
      <c r="J205" s="368"/>
      <c r="K205" s="352"/>
      <c r="L205" s="181">
        <f>SUMIFS(BV_Data_An_Cour!$P:$P,BV_Data_An_Cour!$U:$U,$B205,BV_Data_An_Cour!$V:$V,$C205,BV_Data_An_Cour!$W:$W,$L$2)</f>
        <v>40996.26</v>
      </c>
      <c r="M205" s="368"/>
      <c r="N205" s="356">
        <f t="shared" si="119"/>
        <v>-9273.7569280617899</v>
      </c>
      <c r="O205" s="368"/>
      <c r="P205" s="352"/>
      <c r="Q205" s="181">
        <f>SUMIFS(BV_Data_An_Prec!$P:$P,BV_Data_An_Prec!$U:$U,$B205,BV_Data_An_Prec!$V:$V,$C205,BV_Data_An_Prec!$W:$W,$L$2)</f>
        <v>33817.93</v>
      </c>
      <c r="R205" s="368"/>
      <c r="S205" s="201">
        <f t="shared" si="120"/>
        <v>7178.3300000000017</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36026.84546511095</v>
      </c>
      <c r="G206" s="302"/>
      <c r="H206" s="178"/>
      <c r="I206" s="179">
        <f>+SUMPRODUCT(('Budget révisé'!$A$8:$A$496=$A206)*('Budget révisé'!$C$3:$AO$3=I$2),'Budget révisé'!$C$8:$AO$496)</f>
        <v>36026.84546511095</v>
      </c>
      <c r="J206" s="303"/>
      <c r="K206" s="178"/>
      <c r="L206" s="180">
        <f>SUMIFS(BV_Data_An_Cour!$P:$P,BV_Data_An_Cour!$U:$U,$B206,BV_Data_An_Cour!$V:$V,$C206,BV_Data_An_Cour!$W:$W,$L$2)</f>
        <v>29380.649999999998</v>
      </c>
      <c r="M206" s="303"/>
      <c r="N206" s="304">
        <f t="shared" si="119"/>
        <v>-6646.1954651109518</v>
      </c>
      <c r="O206" s="303"/>
      <c r="P206" s="178"/>
      <c r="Q206" s="180">
        <f>SUMIFS(BV_Data_An_Prec!$P:$P,BV_Data_An_Prec!$U:$U,$B206,BV_Data_An_Prec!$V:$V,$C206,BV_Data_An_Prec!$W:$W,$L$2)</f>
        <v>24082.79</v>
      </c>
      <c r="R206" s="303"/>
      <c r="S206" s="199">
        <f t="shared" si="120"/>
        <v>5297.8599999999969</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8378.3361546769647</v>
      </c>
      <c r="G207" s="302"/>
      <c r="H207" s="178"/>
      <c r="I207" s="179">
        <f>+SUMPRODUCT(('Budget révisé'!$A$8:$A$496=$A207)*('Budget révisé'!$C$3:$AO$3=I$2),'Budget révisé'!$C$8:$AO$496)</f>
        <v>8378.3361546769647</v>
      </c>
      <c r="J207" s="303"/>
      <c r="K207" s="178"/>
      <c r="L207" s="180">
        <f>SUMIFS(BV_Data_An_Cour!$P:$P,BV_Data_An_Cour!$U:$U,$B207,BV_Data_An_Cour!$V:$V,$C207,BV_Data_An_Cour!$W:$W,$L$2)</f>
        <v>6832.71</v>
      </c>
      <c r="M207" s="303"/>
      <c r="N207" s="304">
        <f t="shared" si="119"/>
        <v>-1545.6261546769647</v>
      </c>
      <c r="O207" s="303"/>
      <c r="P207" s="178"/>
      <c r="Q207" s="180">
        <f>SUMIFS(BV_Data_An_Prec!$P:$P,BV_Data_An_Prec!$U:$U,$B207,BV_Data_An_Prec!$V:$V,$C207,BV_Data_An_Prec!$W:$W,$L$2)</f>
        <v>9005.3799999999992</v>
      </c>
      <c r="R207" s="303"/>
      <c r="S207" s="199">
        <f t="shared" si="120"/>
        <v>-2172.6699999999992</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0.83202292143096479</v>
      </c>
      <c r="F209" s="41">
        <f>+SUM(F197:F208)</f>
        <v>336366.50320975983</v>
      </c>
      <c r="G209" s="42" t="s">
        <v>170</v>
      </c>
      <c r="H209" s="40">
        <f>I209/I$193</f>
        <v>0.83202292143096479</v>
      </c>
      <c r="I209" s="41">
        <f>+SUM(I197:I208)</f>
        <v>336366.50320975983</v>
      </c>
      <c r="J209" s="42" t="s">
        <v>170</v>
      </c>
      <c r="K209" s="40">
        <f>L209/L$193</f>
        <v>0.72807920885572341</v>
      </c>
      <c r="L209" s="41">
        <f>+SUM(L197:L208)</f>
        <v>275724.39000000007</v>
      </c>
      <c r="M209" s="43"/>
      <c r="N209" s="46">
        <f t="shared" si="119"/>
        <v>-60642.113209759758</v>
      </c>
      <c r="O209" s="42" t="s">
        <v>170</v>
      </c>
      <c r="P209" s="40">
        <f>Q209/Q$193</f>
        <v>0.67222369351227951</v>
      </c>
      <c r="Q209" s="41">
        <f>+SUM(Q197:Q208)</f>
        <v>257332.88999999998</v>
      </c>
      <c r="R209" s="43"/>
      <c r="S209" s="299">
        <f t="shared" si="120"/>
        <v>18391.500000000087</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21219.575000000001</v>
      </c>
      <c r="G210" s="302"/>
      <c r="H210" s="178"/>
      <c r="I210" s="179">
        <f>+SUMPRODUCT(('Budget révisé'!$A$8:$A$496=$A210)*('Budget révisé'!$C$3:$AO$3=I$2),'Budget révisé'!$C$8:$AO$496)</f>
        <v>21219.575000000001</v>
      </c>
      <c r="J210" s="303"/>
      <c r="K210" s="178"/>
      <c r="L210" s="180">
        <f>SUMIFS(BV_Data_An_Cour!$P:$P,BV_Data_An_Cour!$U:$U,$B210,BV_Data_An_Cour!$V:$V,$C210,BV_Data_An_Cour!$W:$W,$L$2)</f>
        <v>19698.7</v>
      </c>
      <c r="M210" s="303"/>
      <c r="N210" s="304">
        <f t="shared" si="119"/>
        <v>-1520.875</v>
      </c>
      <c r="O210" s="303"/>
      <c r="P210" s="178"/>
      <c r="Q210" s="180">
        <f>SUMIFS(BV_Data_An_Prec!$P:$P,BV_Data_An_Prec!$U:$U,$B210,BV_Data_An_Prec!$V:$V,$C210,BV_Data_An_Prec!$W:$W,$L$2)</f>
        <v>36771.769999999997</v>
      </c>
      <c r="R210" s="303"/>
      <c r="S210" s="199">
        <f t="shared" si="120"/>
        <v>-17073.069999999996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5731.3166504534693</v>
      </c>
      <c r="G211" s="302"/>
      <c r="H211" s="178"/>
      <c r="I211" s="179">
        <f>+SUMPRODUCT(('Budget révisé'!$A$8:$A$496=$A211)*('Budget révisé'!$C$3:$AO$3=I$2),'Budget révisé'!$C$8:$AO$496)</f>
        <v>5731.3166504534693</v>
      </c>
      <c r="J211" s="303"/>
      <c r="K211" s="178"/>
      <c r="L211" s="980">
        <f>SUMIFS(BV_Data_An_Cour!$P:$P,BV_Data_An_Cour!$U:$U,$B211,BV_Data_An_Cour!$V:$V,$C211,BV_Data_An_Cour!$W:$W,$L$2)</f>
        <v>7729.7</v>
      </c>
      <c r="M211" s="303"/>
      <c r="N211" s="304">
        <f t="shared" si="119"/>
        <v>1998.3833495465306</v>
      </c>
      <c r="O211" s="303"/>
      <c r="P211" s="178"/>
      <c r="Q211" s="180">
        <f>SUMIFS(BV_Data_An_Prec!$P:$P,BV_Data_An_Prec!$U:$U,$B211,BV_Data_An_Prec!$V:$V,$C211,BV_Data_An_Prec!$W:$W,$L$2)</f>
        <v>6842.36</v>
      </c>
      <c r="R211" s="303"/>
      <c r="S211" s="199">
        <f t="shared" si="120"/>
        <v>887.34000000000015</v>
      </c>
      <c r="T211" s="233"/>
      <c r="U211" s="222" t="s">
        <v>2961</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50292.240000000005</v>
      </c>
      <c r="G212" s="309"/>
      <c r="H212" s="308"/>
      <c r="I212" s="177">
        <f>+SUMPRODUCT(('Budget révisé'!$A$8:$A$496=$A212)*('Budget révisé'!$C$3:$AO$3=I$2),'Budget révisé'!$C$8:$AO$496)</f>
        <v>50292.240000000005</v>
      </c>
      <c r="J212" s="310"/>
      <c r="K212" s="308"/>
      <c r="L212" s="180">
        <f>SUMIFS(BV_Data_An_Cour!$P:$P,BV_Data_An_Cour!$U:$U,$B212,BV_Data_An_Cour!$V:$V,$C212,BV_Data_An_Cour!$W:$W,$L$2)</f>
        <v>42376.99</v>
      </c>
      <c r="M212" s="310"/>
      <c r="N212" s="311">
        <f t="shared" si="119"/>
        <v>-7915.2500000000073</v>
      </c>
      <c r="O212" s="310"/>
      <c r="P212" s="308"/>
      <c r="Q212" s="180">
        <f>SUMIFS(BV_Data_An_Prec!$P:$P,BV_Data_An_Prec!$U:$U,$B212,BV_Data_An_Prec!$V:$V,$C212,BV_Data_An_Prec!$W:$W,$L$2)</f>
        <v>34508.07</v>
      </c>
      <c r="R212" s="310"/>
      <c r="S212" s="202">
        <f t="shared" si="120"/>
        <v>7868.9199999999983</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13276.641599999999</v>
      </c>
      <c r="G213" s="302"/>
      <c r="H213" s="178"/>
      <c r="I213" s="179">
        <f>+SUMPRODUCT(('Budget révisé'!$A$8:$A$496=$A213)*('Budget révisé'!$C$3:$AO$3=I$2),'Budget révisé'!$C$8:$AO$496)</f>
        <v>13276.641599999999</v>
      </c>
      <c r="J213" s="303"/>
      <c r="K213" s="178"/>
      <c r="L213" s="181">
        <f>SUMIFS(BV_Data_An_Cour!$P:$P,BV_Data_An_Cour!$U:$U,$B213,BV_Data_An_Cour!$V:$V,$C213,BV_Data_An_Cour!$W:$W,$L$2)</f>
        <v>11915.23</v>
      </c>
      <c r="M213" s="303"/>
      <c r="N213" s="304">
        <f t="shared" si="119"/>
        <v>-1361.4115999999995</v>
      </c>
      <c r="O213" s="303"/>
      <c r="P213" s="178"/>
      <c r="Q213" s="181">
        <f>SUMIFS(BV_Data_An_Prec!$P:$P,BV_Data_An_Prec!$U:$U,$B213,BV_Data_An_Prec!$V:$V,$C213,BV_Data_An_Prec!$W:$W,$L$2)</f>
        <v>11289.23</v>
      </c>
      <c r="R213" s="303"/>
      <c r="S213" s="199">
        <f t="shared" si="120"/>
        <v>626</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3592.1178</v>
      </c>
      <c r="G214" s="302"/>
      <c r="H214" s="178"/>
      <c r="I214" s="179">
        <f>+SUMPRODUCT(('Budget révisé'!$A$8:$A$496=$A214)*('Budget révisé'!$C$3:$AO$3=I$2),'Budget révisé'!$C$8:$AO$496)</f>
        <v>3592.1178</v>
      </c>
      <c r="J214" s="303"/>
      <c r="K214" s="178"/>
      <c r="L214" s="180">
        <f>SUMIFS(BV_Data_An_Cour!$P:$P,BV_Data_An_Cour!$U:$U,$B214,BV_Data_An_Cour!$V:$V,$C214,BV_Data_An_Cour!$W:$W,$L$2)</f>
        <v>541.6</v>
      </c>
      <c r="M214" s="303"/>
      <c r="N214" s="304">
        <f t="shared" si="119"/>
        <v>-3050.5178000000001</v>
      </c>
      <c r="O214" s="303"/>
      <c r="P214" s="178"/>
      <c r="Q214" s="180">
        <f>SUMIFS(BV_Data_An_Prec!$P:$P,BV_Data_An_Prec!$U:$U,$B214,BV_Data_An_Prec!$V:$V,$C214,BV_Data_An_Prec!$W:$W,$L$2)</f>
        <v>4375.4399999999996</v>
      </c>
      <c r="R214" s="303"/>
      <c r="S214" s="199">
        <f t="shared" si="120"/>
        <v>-3833.8399999999997</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10540.562999999998</v>
      </c>
      <c r="G215" s="309"/>
      <c r="H215" s="308"/>
      <c r="I215" s="177">
        <f>+SUMPRODUCT(('Budget révisé'!$A$8:$A$496=$A215)*('Budget révisé'!$C$3:$AO$3=I$2),'Budget révisé'!$C$8:$AO$496)</f>
        <v>10540.562999999998</v>
      </c>
      <c r="J215" s="310"/>
      <c r="K215" s="308"/>
      <c r="L215" s="180">
        <f>SUMIFS(BV_Data_An_Cour!$P:$P,BV_Data_An_Cour!$U:$U,$B215,BV_Data_An_Cour!$V:$V,$C215,BV_Data_An_Cour!$W:$W,$L$2)</f>
        <v>5062.21</v>
      </c>
      <c r="M215" s="310"/>
      <c r="N215" s="311">
        <f t="shared" si="119"/>
        <v>-5478.3529999999982</v>
      </c>
      <c r="O215" s="310"/>
      <c r="P215" s="308"/>
      <c r="Q215" s="180">
        <f>SUMIFS(BV_Data_An_Prec!$P:$P,BV_Data_An_Prec!$U:$U,$B215,BV_Data_An_Prec!$V:$V,$C215,BV_Data_An_Prec!$W:$W,$L$2)</f>
        <v>29491.42</v>
      </c>
      <c r="R215" s="310"/>
      <c r="S215" s="202">
        <f t="shared" si="120"/>
        <v>-24429.21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1638</v>
      </c>
      <c r="G217" s="302"/>
      <c r="H217" s="178"/>
      <c r="I217" s="179">
        <f>+SUMPRODUCT(('Budget révisé'!$A$8:$A$496=$A217)*('Budget révisé'!$C$3:$AO$3=I$2),'Budget révisé'!$C$8:$AO$496)</f>
        <v>1638</v>
      </c>
      <c r="J217" s="303"/>
      <c r="K217" s="178"/>
      <c r="L217" s="180">
        <f>SUMIFS(BV_Data_An_Cour!$P:$P,BV_Data_An_Cour!$U:$U,$B217,BV_Data_An_Cour!$V:$V,$C217,BV_Data_An_Cour!$W:$W,$L$2)</f>
        <v>3920.87</v>
      </c>
      <c r="M217" s="303"/>
      <c r="N217" s="304">
        <f t="shared" si="119"/>
        <v>2282.87</v>
      </c>
      <c r="O217" s="303"/>
      <c r="P217" s="178"/>
      <c r="Q217" s="180">
        <f>SUMIFS(BV_Data_An_Prec!$P:$P,BV_Data_An_Prec!$U:$U,$B217,BV_Data_An_Prec!$V:$V,$C217,BV_Data_An_Prec!$W:$W,$L$2)</f>
        <v>1240</v>
      </c>
      <c r="R217" s="303"/>
      <c r="S217" s="199">
        <f t="shared" si="120"/>
        <v>2680.87</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3900</v>
      </c>
      <c r="G218" s="302"/>
      <c r="H218" s="178"/>
      <c r="I218" s="179">
        <f>+SUMPRODUCT(('Budget révisé'!$A$8:$A$496=$A218)*('Budget révisé'!$C$3:$AO$3=I$2),'Budget révisé'!$C$8:$AO$496)</f>
        <v>3900</v>
      </c>
      <c r="J218" s="303"/>
      <c r="K218" s="178"/>
      <c r="L218" s="180">
        <f>SUMIFS(BV_Data_An_Cour!$P:$P,BV_Data_An_Cour!$U:$U,$B218,BV_Data_An_Cour!$V:$V,$C218,BV_Data_An_Cour!$W:$W,$L$2)</f>
        <v>2081.04</v>
      </c>
      <c r="M218" s="303"/>
      <c r="N218" s="304">
        <f t="shared" si="119"/>
        <v>-1818.96</v>
      </c>
      <c r="O218" s="303"/>
      <c r="P218" s="178"/>
      <c r="Q218" s="180">
        <f>SUMIFS(BV_Data_An_Prec!$P:$P,BV_Data_An_Prec!$U:$U,$B218,BV_Data_An_Prec!$V:$V,$C218,BV_Data_An_Prec!$W:$W,$L$2)</f>
        <v>3900</v>
      </c>
      <c r="R218" s="303"/>
      <c r="S218" s="199">
        <f t="shared" si="120"/>
        <v>-1818.96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1569.6</v>
      </c>
      <c r="G219" s="302"/>
      <c r="H219" s="178"/>
      <c r="I219" s="179">
        <f>+SUMPRODUCT(('Budget révisé'!$A$8:$A$496=$A219)*('Budget révisé'!$C$3:$AO$3=I$2),'Budget révisé'!$C$8:$AO$496)</f>
        <v>1569.6</v>
      </c>
      <c r="J219" s="303"/>
      <c r="K219" s="178"/>
      <c r="L219" s="554">
        <f>SUMIFS(BV_Data_An_Cour!$P:$P,BV_Data_An_Cour!$U:$U,$B219,BV_Data_An_Cour!$V:$V,$C219,BV_Data_An_Cour!$W:$W,$L$2)</f>
        <v>857.28</v>
      </c>
      <c r="M219" s="303"/>
      <c r="N219" s="304">
        <f t="shared" si="119"/>
        <v>-712.31999999999994</v>
      </c>
      <c r="O219" s="303"/>
      <c r="P219" s="178"/>
      <c r="Q219" s="554">
        <f>SUMIFS(BV_Data_An_Prec!$P:$P,BV_Data_An_Prec!$U:$U,$B219,BV_Data_An_Prec!$V:$V,$C219,BV_Data_An_Prec!$W:$W,$L$2)</f>
        <v>1332</v>
      </c>
      <c r="R219" s="303"/>
      <c r="S219" s="199">
        <f t="shared" si="120"/>
        <v>-474.72</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1383.5519999999999</v>
      </c>
      <c r="G220" s="302"/>
      <c r="H220" s="178"/>
      <c r="I220" s="179">
        <f>+SUMPRODUCT(('Budget révisé'!$A$8:$A$496=$A220)*('Budget révisé'!$C$3:$AO$3=I$2),'Budget révisé'!$C$8:$AO$496)</f>
        <v>1383.5519999999999</v>
      </c>
      <c r="J220" s="303"/>
      <c r="K220" s="178"/>
      <c r="L220" s="281">
        <f>SUMIFS(BV_Data_An_Cour!$P:$P,BV_Data_An_Cour!$U:$U,$B220,BV_Data_An_Cour!$V:$V,$C220,BV_Data_An_Cour!$W:$W,$L$2)</f>
        <v>971.83</v>
      </c>
      <c r="M220" s="303"/>
      <c r="N220" s="304">
        <f t="shared" si="119"/>
        <v>-411.72199999999987</v>
      </c>
      <c r="O220" s="303"/>
      <c r="P220" s="178"/>
      <c r="Q220" s="180">
        <f>SUMIFS(BV_Data_An_Prec!$P:$P,BV_Data_An_Prec!$U:$U,$B220,BV_Data_An_Prec!$V:$V,$C220,BV_Data_An_Prec!$W:$W,$L$2)</f>
        <v>1598.13</v>
      </c>
      <c r="R220" s="303"/>
      <c r="S220" s="199">
        <f t="shared" si="120"/>
        <v>-626.30000000000007</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622.79999999999995</v>
      </c>
      <c r="G221" s="302"/>
      <c r="H221" s="178"/>
      <c r="I221" s="179">
        <f>+SUMPRODUCT(('Budget révisé'!$A$8:$A$496=$A221)*('Budget révisé'!$C$3:$AO$3=I$2),'Budget révisé'!$C$8:$AO$496)</f>
        <v>622.79999999999995</v>
      </c>
      <c r="J221" s="303"/>
      <c r="K221" s="178"/>
      <c r="L221" s="281">
        <f>SUMIFS(BV_Data_An_Cour!$P:$P,BV_Data_An_Cour!$U:$U,$B221,BV_Data_An_Cour!$V:$V,$C221,BV_Data_An_Cour!$W:$W,$L$2)</f>
        <v>221.72</v>
      </c>
      <c r="M221" s="303"/>
      <c r="N221" s="304">
        <f t="shared" si="119"/>
        <v>-401.07999999999993</v>
      </c>
      <c r="O221" s="303"/>
      <c r="P221" s="178"/>
      <c r="Q221" s="180">
        <f>SUMIFS(BV_Data_An_Prec!$P:$P,BV_Data_An_Prec!$U:$U,$B221,BV_Data_An_Prec!$V:$V,$C221,BV_Data_An_Prec!$W:$W,$L$2)</f>
        <v>420.28</v>
      </c>
      <c r="R221" s="303"/>
      <c r="S221" s="199">
        <f t="shared" si="120"/>
        <v>-198.55999999999997</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2885.5199999999995</v>
      </c>
      <c r="G222" s="302"/>
      <c r="H222" s="178"/>
      <c r="I222" s="179">
        <f>+SUMPRODUCT(('Budget révisé'!$A$8:$A$496=$A222)*('Budget révisé'!$C$3:$AO$3=I$2),'Budget révisé'!$C$8:$AO$496)</f>
        <v>2885.5199999999995</v>
      </c>
      <c r="J222" s="303"/>
      <c r="K222" s="178"/>
      <c r="L222" s="281">
        <f>SUMIFS(BV_Data_An_Cour!$P:$P,BV_Data_An_Cour!$U:$U,$B222,BV_Data_An_Cour!$V:$V,$C222,BV_Data_An_Cour!$W:$W,$L$2)</f>
        <v>1907.75</v>
      </c>
      <c r="M222" s="303"/>
      <c r="N222" s="304">
        <f t="shared" si="119"/>
        <v>-977.76999999999953</v>
      </c>
      <c r="O222" s="303"/>
      <c r="P222" s="178"/>
      <c r="Q222" s="180">
        <f>SUMIFS(BV_Data_An_Prec!$P:$P,BV_Data_An_Prec!$U:$U,$B222,BV_Data_An_Prec!$V:$V,$C222,BV_Data_An_Prec!$W:$W,$L$2)</f>
        <v>3823.37</v>
      </c>
      <c r="R222" s="303"/>
      <c r="S222" s="199">
        <f t="shared" si="120"/>
        <v>-1915.62</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4173.78</v>
      </c>
      <c r="G223" s="302"/>
      <c r="H223" s="178"/>
      <c r="I223" s="179">
        <f>+SUMPRODUCT(('Budget révisé'!$A$8:$A$496=$A223)*('Budget révisé'!$C$3:$AO$3=I$2),'Budget révisé'!$C$8:$AO$496)</f>
        <v>4173.78</v>
      </c>
      <c r="J223" s="303"/>
      <c r="K223" s="178"/>
      <c r="L223" s="281">
        <f>SUMIFS(BV_Data_An_Cour!$P:$P,BV_Data_An_Cour!$U:$U,$B223,BV_Data_An_Cour!$V:$V,$C223,BV_Data_An_Cour!$W:$W,$L$2)</f>
        <v>3290.7</v>
      </c>
      <c r="M223" s="303"/>
      <c r="N223" s="304">
        <f t="shared" si="119"/>
        <v>-883.07999999999993</v>
      </c>
      <c r="O223" s="303"/>
      <c r="P223" s="178"/>
      <c r="Q223" s="180">
        <f>SUMIFS(BV_Data_An_Prec!$P:$P,BV_Data_An_Prec!$U:$U,$B223,BV_Data_An_Prec!$V:$V,$C223,BV_Data_An_Prec!$W:$W,$L$2)</f>
        <v>8360.01</v>
      </c>
      <c r="R223" s="303"/>
      <c r="S223" s="199">
        <f t="shared" si="120"/>
        <v>-5069.3100000000004</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4478.8015303877073</v>
      </c>
      <c r="G224" s="302"/>
      <c r="H224" s="178"/>
      <c r="I224" s="179">
        <f>+SUMPRODUCT(('Budget révisé'!$A$8:$A$496=$A224)*('Budget révisé'!$C$3:$AO$3=I$2),'Budget révisé'!$C$8:$AO$496)</f>
        <v>4478.8015303877073</v>
      </c>
      <c r="J224" s="303"/>
      <c r="K224" s="178"/>
      <c r="L224" s="281">
        <f>AF447*W5</f>
        <v>3655.1992500000001</v>
      </c>
      <c r="M224" s="303"/>
      <c r="N224" s="304">
        <f t="shared" si="119"/>
        <v>-823.6022803877072</v>
      </c>
      <c r="O224" s="303"/>
      <c r="P224" s="178"/>
      <c r="Q224" s="180">
        <f>AL447*W5</f>
        <v>3470.04675</v>
      </c>
      <c r="R224" s="303"/>
      <c r="S224" s="199">
        <f t="shared" si="120"/>
        <v>185.15250000000015</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0.30994828994867318</v>
      </c>
      <c r="F228" s="41">
        <f>+SUM(F210:F227)</f>
        <v>125304.50758084118</v>
      </c>
      <c r="G228" s="42" t="s">
        <v>170</v>
      </c>
      <c r="H228" s="40">
        <f>I228/I$193</f>
        <v>0.30994828994867318</v>
      </c>
      <c r="I228" s="41">
        <f>+SUM(I210:I227)</f>
        <v>125304.50758084118</v>
      </c>
      <c r="J228" s="42" t="s">
        <v>170</v>
      </c>
      <c r="K228" s="40">
        <f>L228/L$193</f>
        <v>0.27523242473371284</v>
      </c>
      <c r="L228" s="41">
        <f>+SUM(L210:L227)</f>
        <v>104230.81925</v>
      </c>
      <c r="M228" s="44"/>
      <c r="N228" s="41">
        <f t="shared" si="119"/>
        <v>-21073.688330841178</v>
      </c>
      <c r="O228" s="42" t="s">
        <v>170</v>
      </c>
      <c r="P228" s="40">
        <f>Q228/Q$193</f>
        <v>0.38510680290156624</v>
      </c>
      <c r="Q228" s="41">
        <f>+SUM(Q210:Q227)</f>
        <v>147422.12675</v>
      </c>
      <c r="R228" s="44"/>
      <c r="S228" s="316">
        <f t="shared" si="120"/>
        <v>-43191.307499999995</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1.1419712113796379</v>
      </c>
      <c r="F230" s="41">
        <f>F209+F228</f>
        <v>461671.01079060102</v>
      </c>
      <c r="G230" s="42" t="s">
        <v>111</v>
      </c>
      <c r="H230" s="40">
        <f>I230/I$193</f>
        <v>1.1419712113796379</v>
      </c>
      <c r="I230" s="41">
        <f>I209+I228</f>
        <v>461671.01079060102</v>
      </c>
      <c r="J230" s="42" t="s">
        <v>111</v>
      </c>
      <c r="K230" s="40">
        <f>L230/L$193</f>
        <v>1.0033116335894363</v>
      </c>
      <c r="L230" s="41">
        <f>L209+L228</f>
        <v>379955.20925000007</v>
      </c>
      <c r="M230" s="44"/>
      <c r="N230" s="46">
        <f t="shared" ref="N230:N232" si="129">L230-I230</f>
        <v>-81715.801540600951</v>
      </c>
      <c r="O230" s="42" t="s">
        <v>111</v>
      </c>
      <c r="P230" s="40">
        <f>Q230/Q$193</f>
        <v>1.0573304964138457</v>
      </c>
      <c r="Q230" s="41">
        <f>Q209+Q228</f>
        <v>404755.01674999995</v>
      </c>
      <c r="R230" s="44"/>
      <c r="S230" s="299">
        <f>L230-Q230</f>
        <v>-24799.807499999879</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-57395.485987443186</v>
      </c>
      <c r="G232" s="344"/>
      <c r="H232" s="342"/>
      <c r="I232" s="343">
        <f>I193-I230</f>
        <v>-57395.485987443186</v>
      </c>
      <c r="J232" s="345"/>
      <c r="K232" s="346"/>
      <c r="L232" s="343">
        <f>L193-L230</f>
        <v>-1254.1192500001052</v>
      </c>
      <c r="M232" s="345"/>
      <c r="N232" s="343">
        <f t="shared" si="129"/>
        <v>56141.366737443081</v>
      </c>
      <c r="O232" s="345"/>
      <c r="P232" s="346"/>
      <c r="Q232" s="343">
        <f>Q193-Q230</f>
        <v>-21946.59674999991</v>
      </c>
      <c r="R232" s="345"/>
      <c r="S232" s="347">
        <f>L232-Q232</f>
        <v>20692.477499999804</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Mars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35" t="s">
        <v>77</v>
      </c>
      <c r="E237" s="1136"/>
      <c r="F237" s="1137"/>
      <c r="G237" s="1138" t="s">
        <v>145</v>
      </c>
      <c r="H237" s="1136"/>
      <c r="I237" s="1137"/>
      <c r="J237" s="1138" t="s">
        <v>79</v>
      </c>
      <c r="K237" s="1136"/>
      <c r="L237" s="1137"/>
      <c r="M237" s="1138" t="s">
        <v>80</v>
      </c>
      <c r="N237" s="1137"/>
      <c r="O237" s="1135" t="s">
        <v>81</v>
      </c>
      <c r="P237" s="1136"/>
      <c r="Q237" s="1137"/>
      <c r="R237" s="1138" t="s">
        <v>82</v>
      </c>
      <c r="S237" s="1139"/>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234112.93209428375</v>
      </c>
      <c r="F240" s="197">
        <f>+SUMPRODUCT(('Budget original'!$A$8:$A$496=$A240)*('Budget original'!$C$3:$AO$3=F$2),'Budget original'!$C$8:$AO$496)</f>
        <v>53339.784258238156</v>
      </c>
      <c r="G240" s="348">
        <f>+SUMPRODUCT(('Budget révisé'!$A$8:$A$496=$A240)*('Budget révisé'!$C$3:$AO$3=G$2),'Budget révisé'!$C$8:$AO$496)</f>
        <v>0</v>
      </c>
      <c r="H240" s="197">
        <f>+SUMPRODUCT(('Budget révisé'!$A$8:$A$496=$A240)*('Budget révisé'!$C$3:$AO$3=H$2),'Budget révisé'!$C$8:$AO$496)</f>
        <v>234112.93209428375</v>
      </c>
      <c r="I240" s="197">
        <f>+SUMPRODUCT(('Budget révisé'!$A$8:$A$496=$A240)*('Budget révisé'!$C$3:$AO$3=I$2),'Budget révisé'!$C$8:$AO$496)</f>
        <v>53339.784258238156</v>
      </c>
      <c r="J240" s="325">
        <f>-SUMIFS(BV_Data_An_Cour!$P:$P,BV_Data_An_Cour!$U:$U,$B240,BV_Data_An_Cour!$V:$V,$C240,BV_Data_An_Cour!$W:$W,J$2)</f>
        <v>176</v>
      </c>
      <c r="K240" s="179">
        <f>-SUMIFS(BV_Data_An_Cour!$P:$P,BV_Data_An_Cour!$X:$X,"Oui",BV_Data_An_Cour!$U:$U,$B240,BV_Data_An_Cour!$V:$V,$C240)</f>
        <v>279293.06</v>
      </c>
      <c r="L240" s="180">
        <f>-SUMIFS(BV_Data_An_Cour!$P:$P,BV_Data_An_Cour!$U:$U,$B240,BV_Data_An_Cour!$V:$V,$C240,BV_Data_An_Cour!$W:$W,$L$2)</f>
        <v>57741.889999999992</v>
      </c>
      <c r="M240" s="324">
        <f>IFERROR((K240-H240)/H240,0)</f>
        <v>0.19298433239698592</v>
      </c>
      <c r="N240" s="304">
        <f>L240-I240</f>
        <v>4402.1057417618358</v>
      </c>
      <c r="O240" s="325">
        <f>-SUMIFS(BV_Data_An_Prec!$P:$P,BV_Data_An_Prec!$U:$U,$B240,BV_Data_An_Prec!$V:$V,$C240,BV_Data_An_Prec!$W:$W,O$2)</f>
        <v>232</v>
      </c>
      <c r="P240" s="179">
        <f>-SUMIFS(BV_Data_An_Prec!$P:$P,BV_Data_An_Prec!$X:$X,"Oui",BV_Data_An_Prec!$U:$U,$B240,BV_Data_An_Prec!$V:$V,$C240)</f>
        <v>319441.08999999997</v>
      </c>
      <c r="Q240" s="180">
        <f>-SUMIFS(BV_Data_An_Prec!$P:$P,BV_Data_An_Prec!$U:$U,$B240,BV_Data_An_Prec!$V:$V,$C240,BV_Data_An_Prec!$W:$W,$L$2)</f>
        <v>70285.209999999992</v>
      </c>
      <c r="R240" s="324">
        <f>IF(O240=0,0,J240/O240)</f>
        <v>0.75862068965517238</v>
      </c>
      <c r="S240" s="199">
        <f>L240-Q240</f>
        <v>-12543.32</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0.22783783783783781</v>
      </c>
      <c r="G241" s="303"/>
      <c r="H241" s="349"/>
      <c r="I241" s="350">
        <f>IFERROR(I240/H240,0)</f>
        <v>0.22783783783783781</v>
      </c>
      <c r="J241" s="325"/>
      <c r="K241" s="178"/>
      <c r="L241" s="350">
        <f>IFERROR(L240/K240,0)</f>
        <v>0.20674301753147747</v>
      </c>
      <c r="M241" s="324"/>
      <c r="N241" s="304">
        <f>IFERROR(N240/M240,0)</f>
        <v>22810.689795824012</v>
      </c>
      <c r="O241" s="325"/>
      <c r="P241" s="178"/>
      <c r="Q241" s="350">
        <f>IFERROR(Q240/P240,0)</f>
        <v>0.22002557654683685</v>
      </c>
      <c r="R241" s="325"/>
      <c r="S241" s="199">
        <f>IFERROR(S240/R240,0)</f>
        <v>-16534.376363636366</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SUMIFS(BV_Data_An_Cour!$C$1:$C$637,BV_Data_An_Cour!$V$1:$V$637,$C243,BV_Data_An_Cour!$U$1:$U$637,$K$235)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SUMIFS(BV_Data_An_Cour!$C$1:$C$637,BV_Data_An_Cour!$V$1:$V$637,$C246,BV_Data_An_Cour!$U$1:$U$637,$K$235)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234112.93209428375</v>
      </c>
      <c r="F249" s="28">
        <f t="shared" si="131"/>
        <v>53339.784258238156</v>
      </c>
      <c r="G249" s="29"/>
      <c r="H249" s="26">
        <f t="shared" ref="H249:I249" si="132">H243+H246+H240</f>
        <v>234112.93209428375</v>
      </c>
      <c r="I249" s="28">
        <f t="shared" si="132"/>
        <v>53339.784258238156</v>
      </c>
      <c r="J249" s="29"/>
      <c r="K249" s="26">
        <f t="shared" ref="K249:L249" si="133">K243+K246+K240</f>
        <v>279293.06</v>
      </c>
      <c r="L249" s="28">
        <f t="shared" si="133"/>
        <v>57741.889999999992</v>
      </c>
      <c r="M249" s="70">
        <f>L250-I250</f>
        <v>-2.109482030636034E-2</v>
      </c>
      <c r="N249" s="28">
        <f>L249-I249</f>
        <v>4402.1057417618358</v>
      </c>
      <c r="O249" s="29"/>
      <c r="P249" s="26">
        <f t="shared" ref="P249:Q249" si="134">P243+P246+P240</f>
        <v>319441.08999999997</v>
      </c>
      <c r="Q249" s="28">
        <f t="shared" si="134"/>
        <v>70285.209999999992</v>
      </c>
      <c r="R249" s="70">
        <f>L250-Q250</f>
        <v>-1.328255901535938E-2</v>
      </c>
      <c r="S249" s="363">
        <f>L249-Q249</f>
        <v>-12543.32</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0.22783783783783781</v>
      </c>
      <c r="G250" s="31"/>
      <c r="H250" s="365"/>
      <c r="I250" s="34">
        <f>I249/H249</f>
        <v>0.22783783783783781</v>
      </c>
      <c r="J250" s="31"/>
      <c r="K250" s="365"/>
      <c r="L250" s="34">
        <f>IF(K249=0,0,L249/K249)</f>
        <v>0.20674301753147747</v>
      </c>
      <c r="M250" s="33"/>
      <c r="N250" s="34">
        <f>N249/I249</f>
        <v>8.2529500315366294E-2</v>
      </c>
      <c r="O250" s="31"/>
      <c r="P250" s="365"/>
      <c r="Q250" s="34">
        <f>IF(P249=0,0,Q249/P249)</f>
        <v>0.22002557654683685</v>
      </c>
      <c r="R250" s="33"/>
      <c r="S250" s="272">
        <f>IF(R249=0,0,S249/R249)</f>
        <v>944345.13601599238</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863.31340996168592</v>
      </c>
      <c r="G253" s="227"/>
      <c r="H253" s="233"/>
      <c r="I253" s="231">
        <f>+SUMPRODUCT(('Budget révisé'!$A$8:$A$496=$A253)*('Budget révisé'!$C$3:$AO$3=I$2),'Budget révisé'!$C$8:$AO$496)</f>
        <v>863.31340996168592</v>
      </c>
      <c r="J253" s="227"/>
      <c r="K253" s="233"/>
      <c r="L253" s="281">
        <f>SUMIFS(BV_Data_An_Cour!$P:$P,BV_Data_An_Cour!$U:$U,$B253,BV_Data_An_Cour!$V:$V,$C253,BV_Data_An_Cour!$W:$W,$L$2)</f>
        <v>2427.36</v>
      </c>
      <c r="M253" s="227"/>
      <c r="N253" s="232"/>
      <c r="O253" s="227"/>
      <c r="P253" s="233"/>
      <c r="Q253" s="281">
        <f>SUMIFS(BV_Data_An_Prec!$P:$P,BV_Data_An_Prec!$U:$U,$B253,BV_Data_An_Prec!$V:$V,$C253,BV_Data_An_Prec!$W:$W,$L$2)</f>
        <v>1309.6300000000001</v>
      </c>
      <c r="R253" s="227"/>
      <c r="S253" s="512">
        <f>L253-Q253</f>
        <v>1117.73</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1620.9067539616863</v>
      </c>
      <c r="G254" s="283"/>
      <c r="H254" s="233"/>
      <c r="I254" s="244">
        <f>+SUMPRODUCT(('Budget révisé'!$A$8:$A$496=$A254)*('Budget révisé'!$C$3:$AO$3=I$2),'Budget révisé'!$C$8:$AO$496)</f>
        <v>1620.9067539616863</v>
      </c>
      <c r="J254" s="227"/>
      <c r="K254" s="233"/>
      <c r="L254" s="281">
        <f>SUMIFS(BV_Data_An_Cour!$P:$P,BV_Data_An_Cour!$U:$U,$B254,BV_Data_An_Cour!$V:$V,$C254,BV_Data_An_Cour!$W:$W,$L$2)</f>
        <v>2137.8200000000002</v>
      </c>
      <c r="M254" s="227"/>
      <c r="N254" s="232">
        <f t="shared" ref="N254:N283" si="135">L254-I254</f>
        <v>516.9132460383139</v>
      </c>
      <c r="O254" s="227"/>
      <c r="P254" s="233"/>
      <c r="Q254" s="281">
        <f>SUMIFS(BV_Data_An_Prec!$P:$P,BV_Data_An_Prec!$U:$U,$B254,BV_Data_An_Prec!$V:$V,$C254,BV_Data_An_Prec!$W:$W,$L$2)</f>
        <v>3152.17</v>
      </c>
      <c r="R254" s="227"/>
      <c r="S254" s="284">
        <f>L254-Q254</f>
        <v>-1014.3499999999999</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10049.559569262834</v>
      </c>
      <c r="G255" s="287"/>
      <c r="H255" s="286"/>
      <c r="I255" s="231">
        <f>+SUMPRODUCT(('Budget révisé'!$A$8:$A$496=$A255)*('Budget révisé'!$C$3:$AO$3=I$2),'Budget révisé'!$C$8:$AO$496)</f>
        <v>10049.559569262834</v>
      </c>
      <c r="J255" s="288"/>
      <c r="K255" s="286"/>
      <c r="L255" s="245">
        <f>SUMIFS(BV_Data_An_Cour!$P:$P,BV_Data_An_Cour!$U:$U,$B255,BV_Data_An_Cour!$V:$V,$C255,BV_Data_An_Cour!$W:$W,$L$2)</f>
        <v>11164.26</v>
      </c>
      <c r="M255" s="288"/>
      <c r="N255" s="289">
        <f t="shared" si="135"/>
        <v>1114.7004307371662</v>
      </c>
      <c r="O255" s="288"/>
      <c r="P255" s="286"/>
      <c r="Q255" s="245">
        <f>SUMIFS(BV_Data_An_Prec!$P:$P,BV_Data_An_Prec!$U:$U,$B255,BV_Data_An_Prec!$V:$V,$C255,BV_Data_An_Prec!$W:$W,$L$2)</f>
        <v>12848.16</v>
      </c>
      <c r="R255" s="288"/>
      <c r="S255" s="290">
        <f t="shared" ref="S255:S284" si="136">L255-Q255</f>
        <v>-1683.8999999999996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10503.473287356323</v>
      </c>
      <c r="G256" s="283"/>
      <c r="H256" s="233"/>
      <c r="I256" s="231">
        <f>+SUMPRODUCT(('Budget révisé'!$A$8:$A$496=$A256)*('Budget révisé'!$C$3:$AO$3=I$2),'Budget révisé'!$C$8:$AO$496)</f>
        <v>10503.473287356323</v>
      </c>
      <c r="J256" s="227"/>
      <c r="K256" s="233"/>
      <c r="L256" s="281">
        <f>SUMIFS(BV_Data_An_Cour!$P:$P,BV_Data_An_Cour!$U:$U,$B256,BV_Data_An_Cour!$V:$V,$C256,BV_Data_An_Cour!$W:$W,$L$2)</f>
        <v>8342.39</v>
      </c>
      <c r="M256" s="227"/>
      <c r="N256" s="232">
        <f t="shared" si="135"/>
        <v>-2161.0832873563231</v>
      </c>
      <c r="O256" s="227"/>
      <c r="P256" s="233"/>
      <c r="Q256" s="281">
        <f>SUMIFS(BV_Data_An_Prec!$P:$P,BV_Data_An_Prec!$U:$U,$B256,BV_Data_An_Prec!$V:$V,$C256,BV_Data_An_Prec!$W:$W,$L$2)</f>
        <v>15494.52</v>
      </c>
      <c r="R256" s="227"/>
      <c r="S256" s="284">
        <f t="shared" si="136"/>
        <v>-7152.130000000001</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2764.4703624651029</v>
      </c>
      <c r="G260" s="283"/>
      <c r="H260" s="233"/>
      <c r="I260" s="244">
        <f>+SUMPRODUCT(('Budget révisé'!$A$8:$A$496=$A260)*('Budget révisé'!$C$3:$AO$3=I$2),'Budget révisé'!$C$8:$AO$496)</f>
        <v>2764.4703624651029</v>
      </c>
      <c r="J260" s="227"/>
      <c r="K260" s="233"/>
      <c r="L260" s="281">
        <f>SUMIFS(BV_Data_An_Cour!$P:$P,BV_Data_An_Cour!$U:$U,$B260,BV_Data_An_Cour!$V:$V,$C260,BV_Data_An_Cour!$W:$W,$L$2)</f>
        <v>1927.26</v>
      </c>
      <c r="M260" s="227"/>
      <c r="N260" s="232">
        <f t="shared" si="135"/>
        <v>-837.21036246510289</v>
      </c>
      <c r="O260" s="227"/>
      <c r="P260" s="233"/>
      <c r="Q260" s="281">
        <f>SUMIFS(BV_Data_An_Prec!$P:$P,BV_Data_An_Prec!$U:$U,$B260,BV_Data_An_Prec!$V:$V,$C260,BV_Data_An_Prec!$W:$W,$L$2)</f>
        <v>3638.13</v>
      </c>
      <c r="R260" s="227"/>
      <c r="S260" s="284">
        <f t="shared" si="136"/>
        <v>-1710.8700000000001</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2764.4703624651029</v>
      </c>
      <c r="G261" s="287"/>
      <c r="H261" s="286"/>
      <c r="I261" s="231">
        <f>+SUMPRODUCT(('Budget révisé'!$A$8:$A$496=$A261)*('Budget révisé'!$C$3:$AO$3=I$2),'Budget révisé'!$C$8:$AO$496)</f>
        <v>2764.4703624651029</v>
      </c>
      <c r="J261" s="288"/>
      <c r="K261" s="286"/>
      <c r="L261" s="245">
        <f>SUMIFS(BV_Data_An_Cour!$P:$P,BV_Data_An_Cour!$U:$U,$B261,BV_Data_An_Cour!$V:$V,$C261,BV_Data_An_Cour!$W:$W,$L$2)</f>
        <v>2912.1</v>
      </c>
      <c r="M261" s="288"/>
      <c r="N261" s="289">
        <f t="shared" si="135"/>
        <v>147.62963753489703</v>
      </c>
      <c r="O261" s="288"/>
      <c r="P261" s="286"/>
      <c r="Q261" s="245">
        <f>SUMIFS(BV_Data_An_Prec!$P:$P,BV_Data_An_Prec!$U:$U,$B261,BV_Data_An_Prec!$V:$V,$C261,BV_Data_An_Prec!$W:$W,$L$2)</f>
        <v>3619.72</v>
      </c>
      <c r="R261" s="288"/>
      <c r="S261" s="290">
        <f t="shared" si="136"/>
        <v>-707.61999999999989</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1981.2037597666572</v>
      </c>
      <c r="G262" s="283"/>
      <c r="H262" s="233"/>
      <c r="I262" s="231">
        <f>+SUMPRODUCT(('Budget révisé'!$A$8:$A$496=$A262)*('Budget révisé'!$C$3:$AO$3=I$2),'Budget révisé'!$C$8:$AO$496)</f>
        <v>1981.2037597666572</v>
      </c>
      <c r="J262" s="227"/>
      <c r="K262" s="233"/>
      <c r="L262" s="281">
        <f>SUMIFS(BV_Data_An_Cour!$P:$P,BV_Data_An_Cour!$U:$U,$B262,BV_Data_An_Cour!$V:$V,$C262,BV_Data_An_Cour!$W:$W,$L$2)</f>
        <v>2087</v>
      </c>
      <c r="M262" s="227"/>
      <c r="N262" s="232">
        <f t="shared" si="135"/>
        <v>105.79624023334281</v>
      </c>
      <c r="O262" s="227"/>
      <c r="P262" s="233"/>
      <c r="Q262" s="281">
        <f>SUMIFS(BV_Data_An_Prec!$P:$P,BV_Data_An_Prec!$U:$U,$B262,BV_Data_An_Prec!$V:$V,$C262,BV_Data_An_Prec!$W:$W,$L$2)</f>
        <v>1596.99</v>
      </c>
      <c r="R262" s="227"/>
      <c r="S262" s="284">
        <f t="shared" si="136"/>
        <v>490.01</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460.74506041085056</v>
      </c>
      <c r="G263" s="283"/>
      <c r="H263" s="233"/>
      <c r="I263" s="231">
        <f>+SUMPRODUCT(('Budget révisé'!$A$8:$A$496=$A263)*('Budget révisé'!$C$3:$AO$3=I$2),'Budget révisé'!$C$8:$AO$496)</f>
        <v>460.74506041085056</v>
      </c>
      <c r="J263" s="227"/>
      <c r="K263" s="233"/>
      <c r="L263" s="281">
        <f>SUMIFS(BV_Data_An_Cour!$P:$P,BV_Data_An_Cour!$U:$U,$B263,BV_Data_An_Cour!$V:$V,$C263,BV_Data_An_Cour!$W:$W,$L$2)</f>
        <v>485.35</v>
      </c>
      <c r="M263" s="227"/>
      <c r="N263" s="232">
        <f t="shared" si="135"/>
        <v>24.604939589149467</v>
      </c>
      <c r="O263" s="227"/>
      <c r="P263" s="233"/>
      <c r="Q263" s="281">
        <f>SUMIFS(BV_Data_An_Prec!$P:$P,BV_Data_An_Prec!$U:$U,$B263,BV_Data_An_Prec!$V:$V,$C263,BV_Data_An_Prec!$W:$W,$L$2)</f>
        <v>944</v>
      </c>
      <c r="R263" s="227"/>
      <c r="S263" s="284">
        <f t="shared" si="136"/>
        <v>-458.65</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31008.142565650236</v>
      </c>
      <c r="G265" s="42" t="s">
        <v>111</v>
      </c>
      <c r="H265" s="40" t="e">
        <f>I265/I$243</f>
        <v>#DIV/0!</v>
      </c>
      <c r="I265" s="41">
        <f>+SUM(I253:I264)</f>
        <v>31008.142565650236</v>
      </c>
      <c r="J265" s="42" t="s">
        <v>111</v>
      </c>
      <c r="K265" s="40">
        <f>IF(L243=0,0,L265/L$243)</f>
        <v>0</v>
      </c>
      <c r="L265" s="41">
        <f>+SUM(L253:L264)</f>
        <v>31483.539999999997</v>
      </c>
      <c r="M265" s="43"/>
      <c r="N265" s="46">
        <f t="shared" si="135"/>
        <v>475.39743434976117</v>
      </c>
      <c r="O265" s="42" t="s">
        <v>111</v>
      </c>
      <c r="P265" s="40">
        <f>IF(Q243=0,0,Q265/Q$243)</f>
        <v>0</v>
      </c>
      <c r="Q265" s="41">
        <f>+SUM(Q253:Q264)</f>
        <v>42603.319999999992</v>
      </c>
      <c r="R265" s="43"/>
      <c r="S265" s="299">
        <f t="shared" si="136"/>
        <v>-11119.779999999995</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100.24</v>
      </c>
      <c r="M266" s="303"/>
      <c r="N266" s="304">
        <f t="shared" si="135"/>
        <v>100.24</v>
      </c>
      <c r="O266" s="303"/>
      <c r="P266" s="178"/>
      <c r="Q266" s="281">
        <f>SUMIFS(BV_Data_An_Prec!$P:$P,BV_Data_An_Prec!$U:$U,$B266,BV_Data_An_Prec!$V:$V,$C266,BV_Data_An_Prec!$W:$W,$L$2)</f>
        <v>0</v>
      </c>
      <c r="R266" s="303"/>
      <c r="S266" s="199">
        <f t="shared" si="136"/>
        <v>100.24</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2977.8692314988471</v>
      </c>
      <c r="G267" s="302"/>
      <c r="H267" s="178"/>
      <c r="I267" s="179">
        <f>+SUMPRODUCT(('Budget révisé'!$A$8:$A$496=$A267)*('Budget révisé'!$C$3:$AO$3=I$2),'Budget révisé'!$C$8:$AO$496)</f>
        <v>2977.8692314988471</v>
      </c>
      <c r="J267" s="303"/>
      <c r="K267" s="178"/>
      <c r="L267" s="180">
        <f>SUMIFS(BV_Data_An_Cour!$P:$P,BV_Data_An_Cour!$U:$U,$B267,BV_Data_An_Cour!$V:$V,$C267,BV_Data_An_Cour!$W:$W,$L$2)</f>
        <v>-151.66999999999999</v>
      </c>
      <c r="M267" s="303"/>
      <c r="N267" s="304">
        <f t="shared" si="135"/>
        <v>-3129.5392314988471</v>
      </c>
      <c r="O267" s="303"/>
      <c r="P267" s="178"/>
      <c r="Q267" s="180">
        <f>SUMIFS(BV_Data_An_Prec!$P:$P,BV_Data_An_Prec!$U:$U,$B267,BV_Data_An_Prec!$V:$V,$C267,BV_Data_An_Prec!$W:$W,$L$2)</f>
        <v>2543.69</v>
      </c>
      <c r="R267" s="303"/>
      <c r="S267" s="199">
        <f t="shared" si="136"/>
        <v>-2695.36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896.81999999999994</v>
      </c>
      <c r="G268" s="309"/>
      <c r="H268" s="308"/>
      <c r="I268" s="177">
        <f>+SUMPRODUCT(('Budget révisé'!$A$8:$A$496=$A268)*('Budget révisé'!$C$3:$AO$3=I$2),'Budget révisé'!$C$8:$AO$496)</f>
        <v>896.81999999999994</v>
      </c>
      <c r="J268" s="310"/>
      <c r="K268" s="308"/>
      <c r="L268" s="180">
        <f>SUMIFS(BV_Data_An_Cour!$P:$P,BV_Data_An_Cour!$U:$U,$B268,BV_Data_An_Cour!$V:$V,$C268,BV_Data_An_Cour!$W:$W,$L$2)</f>
        <v>2181.4499999999998</v>
      </c>
      <c r="M268" s="310"/>
      <c r="N268" s="311">
        <f t="shared" si="135"/>
        <v>1284.6299999999999</v>
      </c>
      <c r="O268" s="310"/>
      <c r="P268" s="308"/>
      <c r="Q268" s="180">
        <f>SUMIFS(BV_Data_An_Prec!$P:$P,BV_Data_An_Prec!$U:$U,$B268,BV_Data_An_Prec!$V:$V,$C268,BV_Data_An_Prec!$W:$W,$L$2)</f>
        <v>5253.97</v>
      </c>
      <c r="R268" s="310"/>
      <c r="S268" s="202">
        <f t="shared" si="136"/>
        <v>-3072.5200000000004</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4309.8538000000008</v>
      </c>
      <c r="G269" s="302"/>
      <c r="H269" s="178"/>
      <c r="I269" s="179">
        <f>+SUMPRODUCT(('Budget révisé'!$A$8:$A$496=$A269)*('Budget révisé'!$C$3:$AO$3=I$2),'Budget révisé'!$C$8:$AO$496)</f>
        <v>4309.8538000000008</v>
      </c>
      <c r="J269" s="303"/>
      <c r="K269" s="178"/>
      <c r="L269" s="181">
        <f>SUMIFS(BV_Data_An_Cour!$P:$P,BV_Data_An_Cour!$U:$U,$B269,BV_Data_An_Cour!$V:$V,$C269,BV_Data_An_Cour!$W:$W,$L$2)</f>
        <v>4113.1000000000004</v>
      </c>
      <c r="M269" s="303"/>
      <c r="N269" s="304">
        <f t="shared" si="135"/>
        <v>-196.75380000000041</v>
      </c>
      <c r="O269" s="303"/>
      <c r="P269" s="178"/>
      <c r="Q269" s="181">
        <f>SUMIFS(BV_Data_An_Prec!$P:$P,BV_Data_An_Prec!$U:$U,$B269,BV_Data_An_Prec!$V:$V,$C269,BV_Data_An_Prec!$W:$W,$L$2)</f>
        <v>3977.52</v>
      </c>
      <c r="R269" s="303"/>
      <c r="S269" s="199">
        <f t="shared" si="136"/>
        <v>135.58000000000038</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1047.7010250000001</v>
      </c>
      <c r="G270" s="302"/>
      <c r="H270" s="178"/>
      <c r="I270" s="179">
        <f>+SUMPRODUCT(('Budget révisé'!$A$8:$A$496=$A270)*('Budget révisé'!$C$3:$AO$3=I$2),'Budget révisé'!$C$8:$AO$496)</f>
        <v>1047.7010250000001</v>
      </c>
      <c r="J270" s="303"/>
      <c r="K270" s="178"/>
      <c r="L270" s="180">
        <f>SUMIFS(BV_Data_An_Cour!$P:$P,BV_Data_An_Cour!$U:$U,$B270,BV_Data_An_Cour!$V:$V,$C270,BV_Data_An_Cour!$W:$W,$L$2)</f>
        <v>157.97999999999999</v>
      </c>
      <c r="M270" s="303"/>
      <c r="N270" s="304">
        <f t="shared" si="135"/>
        <v>-889.72102500000005</v>
      </c>
      <c r="O270" s="303"/>
      <c r="P270" s="178"/>
      <c r="Q270" s="180">
        <f>SUMIFS(BV_Data_An_Prec!$P:$P,BV_Data_An_Prec!$U:$U,$B270,BV_Data_An_Prec!$V:$V,$C270,BV_Data_An_Prec!$W:$W,$L$2)</f>
        <v>1276.17</v>
      </c>
      <c r="R270" s="303"/>
      <c r="S270" s="199">
        <f t="shared" si="136"/>
        <v>-1118.19</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3074.3308750000001</v>
      </c>
      <c r="G271" s="309"/>
      <c r="H271" s="308"/>
      <c r="I271" s="177">
        <f>+SUMPRODUCT(('Budget révisé'!$A$8:$A$496=$A271)*('Budget révisé'!$C$3:$AO$3=I$2),'Budget révisé'!$C$8:$AO$496)</f>
        <v>3074.3308750000001</v>
      </c>
      <c r="J271" s="310"/>
      <c r="K271" s="308"/>
      <c r="L271" s="180">
        <f>SUMIFS(BV_Data_An_Cour!$P:$P,BV_Data_An_Cour!$U:$U,$B271,BV_Data_An_Cour!$V:$V,$C271,BV_Data_An_Cour!$W:$W,$L$2)</f>
        <v>1050.8</v>
      </c>
      <c r="M271" s="310"/>
      <c r="N271" s="311">
        <f t="shared" si="135"/>
        <v>-2023.5308750000002</v>
      </c>
      <c r="O271" s="310"/>
      <c r="P271" s="308"/>
      <c r="Q271" s="177">
        <f>SUMIFS(BV_Data_An_Prec!$P:$P,BV_Data_An_Prec!$U:$U,$B271,BV_Data_An_Prec!$V:$V,$C271,BV_Data_An_Prec!$W:$W,$L$2)</f>
        <v>3461.45</v>
      </c>
      <c r="R271" s="310"/>
      <c r="S271" s="202">
        <f t="shared" si="136"/>
        <v>-2410.6499999999996</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9"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0</v>
      </c>
      <c r="M273" s="303"/>
      <c r="N273" s="304">
        <f t="shared" si="135"/>
        <v>0</v>
      </c>
      <c r="O273" s="303"/>
      <c r="P273" s="178"/>
      <c r="Q273" s="180">
        <f>SUMIFS(BV_Data_An_Prec!$P:$P,BV_Data_An_Prec!$U:$U,$B273,BV_Data_An_Prec!$V:$V,$C273,BV_Data_An_Prec!$W:$W,$L$2)</f>
        <v>0</v>
      </c>
      <c r="R273" s="303"/>
      <c r="S273" s="199">
        <f t="shared" si="136"/>
        <v>0</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457.80000000000007</v>
      </c>
      <c r="G275" s="302"/>
      <c r="H275" s="178"/>
      <c r="I275" s="179">
        <f>+SUMPRODUCT(('Budget révisé'!$A$8:$A$496=$A275)*('Budget révisé'!$C$3:$AO$3=I$2),'Budget révisé'!$C$8:$AO$496)</f>
        <v>457.80000000000007</v>
      </c>
      <c r="J275" s="303"/>
      <c r="K275" s="178"/>
      <c r="L275" s="985">
        <f>SUMIFS(BV_Data_An_Cour!$P:$P,BV_Data_An_Cour!$U:$U,$B275,BV_Data_An_Cour!$V:$V,$C275,BV_Data_An_Cour!$W:$W,$L$2)</f>
        <v>250.07</v>
      </c>
      <c r="M275" s="303"/>
      <c r="N275" s="304">
        <f t="shared" si="135"/>
        <v>-207.73000000000008</v>
      </c>
      <c r="O275" s="303"/>
      <c r="P275" s="178"/>
      <c r="Q275" s="554">
        <f>SUMIFS(BV_Data_An_Prec!$P:$P,BV_Data_An_Prec!$U:$U,$B275,BV_Data_An_Prec!$V:$V,$C275,BV_Data_An_Prec!$W:$W,$L$2)</f>
        <v>388.5</v>
      </c>
      <c r="R275" s="303"/>
      <c r="S275" s="199">
        <f t="shared" si="136"/>
        <v>-138.43</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532.91100000000006</v>
      </c>
      <c r="G276" s="302"/>
      <c r="H276" s="178"/>
      <c r="I276" s="179">
        <f>+SUMPRODUCT(('Budget révisé'!$A$8:$A$496=$A276)*('Budget révisé'!$C$3:$AO$3=I$2),'Budget révisé'!$C$8:$AO$496)</f>
        <v>532.91100000000006</v>
      </c>
      <c r="J276" s="303"/>
      <c r="K276" s="178"/>
      <c r="L276" s="281">
        <f>SUMIFS(BV_Data_An_Cour!$P:$P,BV_Data_An_Cour!$U:$U,$B276,BV_Data_An_Cour!$V:$V,$C276,BV_Data_An_Cour!$W:$W,$L$2)</f>
        <v>367.06</v>
      </c>
      <c r="M276" s="303"/>
      <c r="N276" s="304">
        <f t="shared" si="135"/>
        <v>-165.85100000000006</v>
      </c>
      <c r="O276" s="303"/>
      <c r="P276" s="178"/>
      <c r="Q276" s="180">
        <f>SUMIFS(BV_Data_An_Prec!$P:$P,BV_Data_An_Prec!$U:$U,$B276,BV_Data_An_Prec!$V:$V,$C276,BV_Data_An_Prec!$W:$W,$L$2)</f>
        <v>343.7</v>
      </c>
      <c r="R276" s="303"/>
      <c r="S276" s="199">
        <f t="shared" si="136"/>
        <v>23.360000000000014</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181.65</v>
      </c>
      <c r="G277" s="302"/>
      <c r="H277" s="178"/>
      <c r="I277" s="179">
        <f>+SUMPRODUCT(('Budget révisé'!$A$8:$A$496=$A277)*('Budget révisé'!$C$3:$AO$3=I$2),'Budget révisé'!$C$8:$AO$496)</f>
        <v>181.65</v>
      </c>
      <c r="J277" s="303"/>
      <c r="K277" s="178"/>
      <c r="L277" s="281">
        <f>SUMIFS(BV_Data_An_Cour!$P:$P,BV_Data_An_Cour!$U:$U,$B277,BV_Data_An_Cour!$V:$V,$C277,BV_Data_An_Cour!$W:$W,$L$2)</f>
        <v>61.35</v>
      </c>
      <c r="M277" s="303"/>
      <c r="N277" s="304">
        <f t="shared" si="135"/>
        <v>-120.30000000000001</v>
      </c>
      <c r="O277" s="303"/>
      <c r="P277" s="178"/>
      <c r="Q277" s="180">
        <f>SUMIFS(BV_Data_An_Prec!$P:$P,BV_Data_An_Prec!$U:$U,$B277,BV_Data_An_Prec!$V:$V,$C277,BV_Data_An_Prec!$W:$W,$L$2)</f>
        <v>79.14</v>
      </c>
      <c r="R277" s="303"/>
      <c r="S277" s="199">
        <f t="shared" si="136"/>
        <v>-17.79</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754.11000000000013</v>
      </c>
      <c r="G278" s="302"/>
      <c r="H278" s="178"/>
      <c r="I278" s="179">
        <f>+SUMPRODUCT(('Budget révisé'!$A$8:$A$496=$A278)*('Budget révisé'!$C$3:$AO$3=I$2),'Budget révisé'!$C$8:$AO$496)</f>
        <v>754.11000000000013</v>
      </c>
      <c r="J278" s="303"/>
      <c r="K278" s="178"/>
      <c r="L278" s="281">
        <f>SUMIFS(BV_Data_An_Cour!$P:$P,BV_Data_An_Cour!$U:$U,$B278,BV_Data_An_Cour!$V:$V,$C278,BV_Data_An_Cour!$W:$W,$L$2)</f>
        <v>556.41</v>
      </c>
      <c r="M278" s="303"/>
      <c r="N278" s="304">
        <f t="shared" si="135"/>
        <v>-197.70000000000016</v>
      </c>
      <c r="O278" s="303"/>
      <c r="P278" s="178"/>
      <c r="Q278" s="180">
        <f>SUMIFS(BV_Data_An_Prec!$P:$P,BV_Data_An_Prec!$U:$U,$B278,BV_Data_An_Prec!$V:$V,$C278,BV_Data_An_Prec!$W:$W,$L$2)</f>
        <v>1115.1500000000001</v>
      </c>
      <c r="R278" s="303"/>
      <c r="S278" s="199">
        <f t="shared" si="136"/>
        <v>-558.74000000000012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123.60250000000002</v>
      </c>
      <c r="G279" s="302"/>
      <c r="H279" s="178"/>
      <c r="I279" s="179">
        <f>+SUMPRODUCT(('Budget révisé'!$A$8:$A$496=$A279)*('Budget révisé'!$C$3:$AO$3=I$2),'Budget révisé'!$C$8:$AO$496)</f>
        <v>123.60250000000002</v>
      </c>
      <c r="J279" s="303"/>
      <c r="K279" s="178"/>
      <c r="L279" s="281">
        <f>SUMIFS(BV_Data_An_Cour!$P:$P,BV_Data_An_Cour!$U:$U,$B279,BV_Data_An_Cour!$V:$V,$C279,BV_Data_An_Cour!$W:$W,$L$2)</f>
        <v>18.600000000000001</v>
      </c>
      <c r="M279" s="303"/>
      <c r="N279" s="304">
        <f t="shared" si="135"/>
        <v>-105.00250000000003</v>
      </c>
      <c r="O279" s="303"/>
      <c r="P279" s="178"/>
      <c r="Q279" s="180">
        <f>SUMIFS(BV_Data_An_Prec!$P:$P,BV_Data_An_Prec!$U:$U,$B279,BV_Data_An_Prec!$V:$V,$C279,BV_Data_An_Prec!$W:$W,$L$2)</f>
        <v>105</v>
      </c>
      <c r="R279" s="303"/>
      <c r="S279" s="199">
        <f t="shared" si="136"/>
        <v>-86.4</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1306.3171130297478</v>
      </c>
      <c r="G280" s="302"/>
      <c r="H280" s="178"/>
      <c r="I280" s="179">
        <f>+SUMPRODUCT(('Budget révisé'!$A$8:$A$496=$A280)*('Budget révisé'!$C$3:$AO$3=I$2),'Budget révisé'!$C$8:$AO$496)</f>
        <v>1306.3171130297478</v>
      </c>
      <c r="J280" s="303"/>
      <c r="K280" s="178"/>
      <c r="L280" s="281">
        <f>AF447*W6</f>
        <v>406.13325000000003</v>
      </c>
      <c r="M280" s="303"/>
      <c r="N280" s="304">
        <f t="shared" si="135"/>
        <v>-900.18386302974773</v>
      </c>
      <c r="O280" s="303"/>
      <c r="P280" s="178"/>
      <c r="Q280" s="180">
        <f>AL447*W6</f>
        <v>385.56075000000004</v>
      </c>
      <c r="R280" s="303"/>
      <c r="S280" s="199">
        <f t="shared" si="136"/>
        <v>20.572499999999991</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15662.965544528597</v>
      </c>
      <c r="G284" s="42" t="s">
        <v>111</v>
      </c>
      <c r="H284" s="40" t="e">
        <f>I284/I$243</f>
        <v>#DIV/0!</v>
      </c>
      <c r="I284" s="41">
        <f>+SUM(I266:I283)</f>
        <v>15662.965544528597</v>
      </c>
      <c r="J284" s="42" t="s">
        <v>111</v>
      </c>
      <c r="K284" s="40" t="e">
        <f>IF(L261=0,0,L284/L$243)</f>
        <v>#DIV/0!</v>
      </c>
      <c r="L284" s="41">
        <f>+SUM(L266:L283)</f>
        <v>9111.523250000002</v>
      </c>
      <c r="M284" s="44"/>
      <c r="N284" s="41">
        <f>+SUM(N266:N283)</f>
        <v>-6551.442294528596</v>
      </c>
      <c r="O284" s="42" t="s">
        <v>111</v>
      </c>
      <c r="P284" s="40" t="e">
        <f>IF(Q261=0,0,Q284/Q$243)</f>
        <v>#DIV/0!</v>
      </c>
      <c r="Q284" s="41">
        <f>+SUM(Q266:Q283)</f>
        <v>18929.850750000001</v>
      </c>
      <c r="R284" s="44"/>
      <c r="S284" s="316">
        <f t="shared" si="136"/>
        <v>-9818.3274999999994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46671.10811017883</v>
      </c>
      <c r="G286" s="42" t="s">
        <v>111</v>
      </c>
      <c r="H286" s="40" t="e">
        <f>I286/I$243</f>
        <v>#DIV/0!</v>
      </c>
      <c r="I286" s="41">
        <f>I265+I284</f>
        <v>46671.10811017883</v>
      </c>
      <c r="J286" s="42" t="s">
        <v>111</v>
      </c>
      <c r="K286" s="40" t="e">
        <f>IF(L263=0,0,L286/L$243)</f>
        <v>#DIV/0!</v>
      </c>
      <c r="L286" s="41">
        <f>L265+L284</f>
        <v>40595.063249999999</v>
      </c>
      <c r="M286" s="44"/>
      <c r="N286" s="46">
        <f t="shared" ref="N286:N288" si="143">L286-I286</f>
        <v>-6076.0448601788303</v>
      </c>
      <c r="O286" s="42" t="s">
        <v>111</v>
      </c>
      <c r="P286" s="40" t="e">
        <f>IF(Q263=0,0,Q286/Q$243)</f>
        <v>#DIV/0!</v>
      </c>
      <c r="Q286" s="41">
        <f>Q265+Q284</f>
        <v>61533.17074999999</v>
      </c>
      <c r="R286" s="44"/>
      <c r="S286" s="299">
        <f>L286-Q286</f>
        <v>-20938.107499999991</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6668.6761480593268</v>
      </c>
      <c r="G288" s="344"/>
      <c r="H288" s="342"/>
      <c r="I288" s="343">
        <f>I249-I286</f>
        <v>6668.6761480593268</v>
      </c>
      <c r="J288" s="345"/>
      <c r="K288" s="346"/>
      <c r="L288" s="343">
        <f>L249-L286</f>
        <v>17146.826749999993</v>
      </c>
      <c r="M288" s="345"/>
      <c r="N288" s="343">
        <f t="shared" si="143"/>
        <v>10478.150601940666</v>
      </c>
      <c r="O288" s="345"/>
      <c r="P288" s="346"/>
      <c r="Q288" s="343">
        <f>Q249-Q286</f>
        <v>8752.0392500000016</v>
      </c>
      <c r="R288" s="345"/>
      <c r="S288" s="347">
        <f>L288-Q288</f>
        <v>8394.7874999999913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Mars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35" t="s">
        <v>77</v>
      </c>
      <c r="E292" s="1136"/>
      <c r="F292" s="1137"/>
      <c r="G292" s="1138" t="s">
        <v>145</v>
      </c>
      <c r="H292" s="1136"/>
      <c r="I292" s="1137"/>
      <c r="J292" s="1138" t="s">
        <v>79</v>
      </c>
      <c r="K292" s="1136"/>
      <c r="L292" s="1137"/>
      <c r="M292" s="1138" t="s">
        <v>80</v>
      </c>
      <c r="N292" s="1137"/>
      <c r="O292" s="1135" t="s">
        <v>81</v>
      </c>
      <c r="P292" s="1136"/>
      <c r="Q292" s="1137"/>
      <c r="R292" s="1138" t="s">
        <v>82</v>
      </c>
      <c r="S292" s="1139"/>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174829.81306420552</v>
      </c>
      <c r="E294" s="210">
        <f>IF(D294=0,0,F294/D294)</f>
        <v>0.35812717564768926</v>
      </c>
      <c r="F294" s="199">
        <f>+SUMPRODUCT(('Budget original'!$A$8:$A$496=$A294)*('Budget original'!$C$3:$AO$3=F$2),'Budget original'!$C$8:$AO$496)</f>
        <v>62611.307171697408</v>
      </c>
      <c r="G294" s="197">
        <f>+SUMPRODUCT(('Budget révisé'!$A$8:$A$496=$A294)*('Budget révisé'!$C$3:$AO$3=G$2),'Budget révisé'!$C$8:$AO$496)</f>
        <v>174829.81306420552</v>
      </c>
      <c r="H294" s="210">
        <f>IF(G294=0,0,I294/G294)</f>
        <v>0.35812717564768926</v>
      </c>
      <c r="I294" s="199">
        <f>+SUMPRODUCT(('Budget révisé'!$A$8:$A$496=$A294)*('Budget révisé'!$C$3:$AO$3=I$2),'Budget révisé'!$C$8:$AO$496)</f>
        <v>62611.307171697408</v>
      </c>
      <c r="J294" s="179">
        <f>-SUMIFS(BV_Data_An_Cour!$P:$P,BV_Data_An_Cour!$X:$X,"Oui",BV_Data_An_Cour!$U:$U,$B294,BV_Data_An_Cour!$V:$V,$C294)</f>
        <v>147377.28</v>
      </c>
      <c r="K294" s="210">
        <f t="shared" ref="K294:K303" si="145">IF(J294&lt;=0,0,L294/J294)</f>
        <v>0.34687544783022184</v>
      </c>
      <c r="L294" s="180">
        <f>-SUMIFS(BV_Data_An_Cour!$P:$P,BV_Data_An_Cour!$U:$U,$B294,BV_Data_An_Cour!$V:$V,$C294,BV_Data_An_Cour!$W:$W,$L$2)</f>
        <v>51121.56</v>
      </c>
      <c r="M294" s="324">
        <f t="shared" ref="M294:M299" si="146">(+J294-G294)/G294</f>
        <v>-0.15702432315776538</v>
      </c>
      <c r="N294" s="304">
        <f t="shared" ref="N294:N303" si="147">L294-I294</f>
        <v>-11489.747171697411</v>
      </c>
      <c r="O294" s="179">
        <f>-SUMIFS(BV_Data_An_Prec!$P:$P,BV_Data_An_Prec!$X:$X,"Oui",BV_Data_An_Prec!$U:$U,$B294,BV_Data_An_Prec!$V:$V,$C294)</f>
        <v>172888.99999999997</v>
      </c>
      <c r="P294" s="210">
        <f t="shared" ref="P294:P303" si="148">IF(O294&lt;=0,0,Q294/O294)</f>
        <v>0.31575444360254257</v>
      </c>
      <c r="Q294" s="180">
        <f>-SUMIFS(BV_Data_An_Prec!$P:$P,BV_Data_An_Prec!$U:$U,$B294,BV_Data_An_Prec!$V:$V,$C294,BV_Data_An_Prec!$W:$W,$L$2)</f>
        <v>54590.469999999972</v>
      </c>
      <c r="R294" s="324">
        <f>IF(O294=0,0,(J294-O294)/O294)</f>
        <v>-0.14756126763414662</v>
      </c>
      <c r="S294" s="199">
        <f t="shared" ref="S294:S303" si="149">L294-Q294</f>
        <v>-3468.9099999999744</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145547.86278359557</v>
      </c>
      <c r="E295" s="210">
        <f t="shared" ref="E295:E302" si="150">IF(D295=0,0,F295/D295)</f>
        <v>0.27367264200070923</v>
      </c>
      <c r="F295" s="199">
        <f>+SUMPRODUCT(('Budget original'!$A$8:$A$496=$A295)*('Budget original'!$C$3:$AO$3=F$2),'Budget original'!$C$8:$AO$496)</f>
        <v>39832.468145543302</v>
      </c>
      <c r="G295" s="197">
        <f>+SUMPRODUCT(('Budget révisé'!$A$8:$A$496=$A295)*('Budget révisé'!$C$3:$AO$3=G$2),'Budget révisé'!$C$8:$AO$496)</f>
        <v>145547.86278359557</v>
      </c>
      <c r="H295" s="210">
        <f t="shared" ref="H295:H302" si="151">IF(G295=0,0,I295/G295)</f>
        <v>0.27367264200070923</v>
      </c>
      <c r="I295" s="199">
        <f>+SUMPRODUCT(('Budget révisé'!$A$8:$A$496=$A295)*('Budget révisé'!$C$3:$AO$3=I$2),'Budget révisé'!$C$8:$AO$496)</f>
        <v>39832.468145543302</v>
      </c>
      <c r="J295" s="179">
        <f>-SUMIFS(BV_Data_An_Cour!$P:$P,BV_Data_An_Cour!$X:$X,"Oui",BV_Data_An_Cour!$U:$U,$B295,BV_Data_An_Cour!$V:$V,$C295)</f>
        <v>135349.69</v>
      </c>
      <c r="K295" s="210">
        <f t="shared" si="145"/>
        <v>0.24618667394066443</v>
      </c>
      <c r="L295" s="180">
        <f>-SUMIFS(BV_Data_An_Cour!$P:$P,BV_Data_An_Cour!$U:$U,$B295,BV_Data_An_Cour!$V:$V,$C295,BV_Data_An_Cour!$W:$W,$L$2)</f>
        <v>33321.290000000008</v>
      </c>
      <c r="M295" s="324">
        <f t="shared" si="146"/>
        <v>-7.0067485626762391E-2</v>
      </c>
      <c r="N295" s="304">
        <f t="shared" si="147"/>
        <v>-6511.1781455432938</v>
      </c>
      <c r="O295" s="179">
        <f>-SUMIFS(BV_Data_An_Prec!$P:$P,BV_Data_An_Prec!$X:$X,"Oui",BV_Data_An_Prec!$U:$U,$B295,BV_Data_An_Prec!$V:$V,$C295)</f>
        <v>204898.75</v>
      </c>
      <c r="P295" s="210">
        <f t="shared" si="148"/>
        <v>0.25435255217515962</v>
      </c>
      <c r="Q295" s="180">
        <f>-SUMIFS(BV_Data_An_Prec!$P:$P,BV_Data_An_Prec!$U:$U,$B295,BV_Data_An_Prec!$V:$V,$C295,BV_Data_An_Prec!$W:$W,$L$2)</f>
        <v>52116.51999999999</v>
      </c>
      <c r="R295" s="324">
        <f t="shared" ref="R295:R302" si="152">IF(O295=0,0,(J295-O295)/O295)</f>
        <v>-0.33943135329034463</v>
      </c>
      <c r="S295" s="199">
        <f t="shared" si="149"/>
        <v>-18795.229999999981</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232274.16376180883</v>
      </c>
      <c r="E296" s="210">
        <f t="shared" si="150"/>
        <v>0.23983607715678654</v>
      </c>
      <c r="F296" s="199">
        <f>+SUMPRODUCT(('Budget original'!$A$8:$A$496=$A296)*('Budget original'!$C$3:$AO$3=F$2),'Budget original'!$C$8:$AO$496)</f>
        <v>55707.724261505253</v>
      </c>
      <c r="G296" s="197">
        <f>+SUMPRODUCT(('Budget révisé'!$A$8:$A$496=$A296)*('Budget révisé'!$C$3:$AO$3=G$2),'Budget révisé'!$C$8:$AO$496)</f>
        <v>232274.16376180883</v>
      </c>
      <c r="H296" s="210">
        <f t="shared" si="151"/>
        <v>0.23983607715678654</v>
      </c>
      <c r="I296" s="199">
        <f>+SUMPRODUCT(('Budget révisé'!$A$8:$A$496=$A296)*('Budget révisé'!$C$3:$AO$3=I$2),'Budget révisé'!$C$8:$AO$496)</f>
        <v>55707.724261505253</v>
      </c>
      <c r="J296" s="179">
        <f>-SUMIFS(BV_Data_An_Cour!$P:$P,BV_Data_An_Cour!$X:$X,"Oui",BV_Data_An_Cour!$U:$U,$B296,BV_Data_An_Cour!$V:$V,$C296)</f>
        <v>222788.75</v>
      </c>
      <c r="K296" s="210">
        <f t="shared" si="145"/>
        <v>0.24138189203898316</v>
      </c>
      <c r="L296" s="180">
        <f>-SUMIFS(BV_Data_An_Cour!$P:$P,BV_Data_An_Cour!$U:$U,$B296,BV_Data_An_Cour!$V:$V,$C296,BV_Data_An_Cour!$W:$W,$L$2)</f>
        <v>53777.170000000013</v>
      </c>
      <c r="M296" s="324">
        <f t="shared" si="146"/>
        <v>-4.0837145243307713E-2</v>
      </c>
      <c r="N296" s="304">
        <f t="shared" si="147"/>
        <v>-1930.55426150524</v>
      </c>
      <c r="O296" s="179">
        <f>-SUMIFS(BV_Data_An_Prec!$P:$P,BV_Data_An_Prec!$X:$X,"Oui",BV_Data_An_Prec!$U:$U,$B296,BV_Data_An_Prec!$V:$V,$C296)</f>
        <v>249211.62</v>
      </c>
      <c r="P296" s="210">
        <f t="shared" si="148"/>
        <v>0.24029754310814241</v>
      </c>
      <c r="Q296" s="180">
        <f>-SUMIFS(BV_Data_An_Prec!$P:$P,BV_Data_An_Prec!$U:$U,$B296,BV_Data_An_Prec!$V:$V,$C296,BV_Data_An_Prec!$W:$W,$L$2)</f>
        <v>59884.94</v>
      </c>
      <c r="R296" s="324">
        <f t="shared" si="152"/>
        <v>-0.10602583458989591</v>
      </c>
      <c r="S296" s="199">
        <f t="shared" si="149"/>
        <v>-6107.7699999999895</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119818.87838639412</v>
      </c>
      <c r="E297" s="210">
        <f t="shared" si="150"/>
        <v>0.32994466198333777</v>
      </c>
      <c r="F297" s="199">
        <f>+SUMPRODUCT(('Budget original'!$A$8:$A$496=$A297)*('Budget original'!$C$3:$AO$3=F$2),'Budget original'!$C$8:$AO$496)</f>
        <v>39533.599328421464</v>
      </c>
      <c r="G297" s="197">
        <f>+SUMPRODUCT(('Budget révisé'!$A$8:$A$496=$A297)*('Budget révisé'!$C$3:$AO$3=G$2),'Budget révisé'!$C$8:$AO$496)</f>
        <v>119818.87838639412</v>
      </c>
      <c r="H297" s="210">
        <f t="shared" si="151"/>
        <v>0.32994466198333777</v>
      </c>
      <c r="I297" s="199">
        <f>+SUMPRODUCT(('Budget révisé'!$A$8:$A$496=$A297)*('Budget révisé'!$C$3:$AO$3=I$2),'Budget révisé'!$C$8:$AO$496)</f>
        <v>39533.599328421464</v>
      </c>
      <c r="J297" s="179">
        <f>-SUMIFS(BV_Data_An_Cour!$P:$P,BV_Data_An_Cour!$X:$X,"Oui",BV_Data_An_Cour!$U:$U,$B297,BV_Data_An_Cour!$V:$V,$C297)</f>
        <v>103756.47</v>
      </c>
      <c r="K297" s="210">
        <f t="shared" si="145"/>
        <v>0.34026880444178564</v>
      </c>
      <c r="L297" s="180">
        <f>-SUMIFS(BV_Data_An_Cour!$P:$P,BV_Data_An_Cour!$U:$U,$B297,BV_Data_An_Cour!$V:$V,$C297,BV_Data_An_Cour!$W:$W,$L$2)</f>
        <v>35305.089999999997</v>
      </c>
      <c r="M297" s="324">
        <f t="shared" si="146"/>
        <v>-0.13405573981919419</v>
      </c>
      <c r="N297" s="304">
        <f t="shared" si="147"/>
        <v>-4228.5093284214672</v>
      </c>
      <c r="O297" s="179">
        <f>-SUMIFS(BV_Data_An_Prec!$P:$P,BV_Data_An_Prec!$X:$X,"Oui",BV_Data_An_Prec!$U:$U,$B297,BV_Data_An_Prec!$V:$V,$C297)</f>
        <v>105844.31</v>
      </c>
      <c r="P297" s="210">
        <f t="shared" si="148"/>
        <v>0.32364422801754761</v>
      </c>
      <c r="Q297" s="180">
        <f>-SUMIFS(BV_Data_An_Prec!$P:$P,BV_Data_An_Prec!$U:$U,$B297,BV_Data_An_Prec!$V:$V,$C297,BV_Data_An_Prec!$W:$W,$L$2)</f>
        <v>34255.899999999994</v>
      </c>
      <c r="R297" s="324">
        <f t="shared" si="152"/>
        <v>-1.9725576178823374E-2</v>
      </c>
      <c r="S297" s="199">
        <f t="shared" si="149"/>
        <v>1049.1900000000023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29973.32759299926</v>
      </c>
      <c r="E298" s="210">
        <f t="shared" si="150"/>
        <v>0.29678579936093846</v>
      </c>
      <c r="F298" s="199">
        <f>+SUMPRODUCT(('Budget original'!$A$8:$A$496=$A298)*('Budget original'!$C$3:$AO$3=F$2),'Budget original'!$C$8:$AO$496)</f>
        <v>8895.6579891955589</v>
      </c>
      <c r="G298" s="197">
        <f>+SUMPRODUCT(('Budget révisé'!$A$8:$A$496=$A298)*('Budget révisé'!$C$3:$AO$3=G$2),'Budget révisé'!$C$8:$AO$496)</f>
        <v>29973.32759299926</v>
      </c>
      <c r="H298" s="210">
        <f t="shared" si="151"/>
        <v>0.29678579936093846</v>
      </c>
      <c r="I298" s="199">
        <f>+SUMPRODUCT(('Budget révisé'!$A$8:$A$496=$A298)*('Budget révisé'!$C$3:$AO$3=I$2),'Budget révisé'!$C$8:$AO$496)</f>
        <v>8895.6579891955589</v>
      </c>
      <c r="J298" s="179">
        <f>-SUMIFS(BV_Data_An_Cour!$P:$P,BV_Data_An_Cour!$X:$X,"Oui",BV_Data_An_Cour!$U:$U,$B298,BV_Data_An_Cour!$V:$V,$C298)</f>
        <v>33771.980000000003</v>
      </c>
      <c r="K298" s="210">
        <f t="shared" si="145"/>
        <v>0.3093789585330799</v>
      </c>
      <c r="L298" s="180">
        <f>-SUMIFS(BV_Data_An_Cour!$P:$P,BV_Data_An_Cour!$U:$U,$B298,BV_Data_An_Cour!$V:$V,$C298,BV_Data_An_Cour!$W:$W,$L$2)</f>
        <v>10448.340000000004</v>
      </c>
      <c r="M298" s="324">
        <f t="shared" si="146"/>
        <v>0.12673442397126364</v>
      </c>
      <c r="N298" s="304">
        <f t="shared" si="147"/>
        <v>1552.6820108044449</v>
      </c>
      <c r="O298" s="179">
        <f>-SUMIFS(BV_Data_An_Prec!$P:$P,BV_Data_An_Prec!$X:$X,"Oui",BV_Data_An_Prec!$U:$U,$B298,BV_Data_An_Prec!$V:$V,$C298)</f>
        <v>29203.23</v>
      </c>
      <c r="P298" s="210">
        <f t="shared" si="148"/>
        <v>0.29785677817145573</v>
      </c>
      <c r="Q298" s="180">
        <f>-SUMIFS(BV_Data_An_Prec!$P:$P,BV_Data_An_Prec!$U:$U,$B298,BV_Data_An_Prec!$V:$V,$C298,BV_Data_An_Prec!$W:$W,$L$2)</f>
        <v>8698.380000000001</v>
      </c>
      <c r="R298" s="324">
        <f t="shared" si="152"/>
        <v>0.1564467355152154</v>
      </c>
      <c r="S298" s="199">
        <f t="shared" si="149"/>
        <v>1749.9600000000028</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173193.67626405458</v>
      </c>
      <c r="E299" s="210">
        <f t="shared" si="150"/>
        <v>0.19081606757663097</v>
      </c>
      <c r="F299" s="199">
        <f>+SUMPRODUCT(('Budget original'!$A$8:$A$496=$A299)*('Budget original'!$C$3:$AO$3=F$2),'Budget original'!$C$8:$AO$496)</f>
        <v>33048.136233846984</v>
      </c>
      <c r="G299" s="197">
        <f>+SUMPRODUCT(('Budget révisé'!$A$8:$A$496=$A299)*('Budget révisé'!$C$3:$AO$3=G$2),'Budget révisé'!$C$8:$AO$496)</f>
        <v>173193.67626405458</v>
      </c>
      <c r="H299" s="210">
        <f t="shared" si="151"/>
        <v>0.19081606757663097</v>
      </c>
      <c r="I299" s="199">
        <f>+SUMPRODUCT(('Budget révisé'!$A$8:$A$496=$A299)*('Budget révisé'!$C$3:$AO$3=I$2),'Budget révisé'!$C$8:$AO$496)</f>
        <v>33048.136233846984</v>
      </c>
      <c r="J299" s="179">
        <f>-SUMIFS(BV_Data_An_Cour!$P:$P,BV_Data_An_Cour!$X:$X,"Oui",BV_Data_An_Cour!$U:$U,$B299,BV_Data_An_Cour!$V:$V,$C299)</f>
        <v>127021.01</v>
      </c>
      <c r="K299" s="210">
        <f t="shared" si="145"/>
        <v>0.17678894223876815</v>
      </c>
      <c r="L299" s="180">
        <f>-SUMIFS(BV_Data_An_Cour!$P:$P,BV_Data_An_Cour!$U:$U,$B299,BV_Data_An_Cour!$V:$V,$C299,BV_Data_An_Cour!$W:$W,$L$2)</f>
        <v>22455.909999999989</v>
      </c>
      <c r="M299" s="324">
        <f t="shared" si="146"/>
        <v>-0.266595566651399</v>
      </c>
      <c r="N299" s="304">
        <f t="shared" si="147"/>
        <v>-10592.226233846995</v>
      </c>
      <c r="O299" s="179">
        <f>-SUMIFS(BV_Data_An_Prec!$P:$P,BV_Data_An_Prec!$X:$X,"Oui",BV_Data_An_Prec!$U:$U,$B299,BV_Data_An_Prec!$V:$V,$C299)</f>
        <v>142068.96</v>
      </c>
      <c r="P299" s="210">
        <f t="shared" si="148"/>
        <v>0.19015427437492322</v>
      </c>
      <c r="Q299" s="180">
        <f>-SUMIFS(BV_Data_An_Prec!$P:$P,BV_Data_An_Prec!$U:$U,$B299,BV_Data_An_Prec!$V:$V,$C299,BV_Data_An_Prec!$W:$W,$L$2)</f>
        <v>27015.01999999999</v>
      </c>
      <c r="R299" s="324">
        <f t="shared" si="152"/>
        <v>-0.1059200405211666</v>
      </c>
      <c r="S299" s="199">
        <f t="shared" si="149"/>
        <v>-4559.1100000000006</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27759.735356693745</v>
      </c>
      <c r="G301" s="197">
        <f>+SUMPRODUCT(('Budget révisé'!$A$8:$A$496=$A301)*('Budget révisé'!$C$3:$AO$3=G$2),'Budget révisé'!$C$8:$AO$496)</f>
        <v>0</v>
      </c>
      <c r="H301" s="210">
        <f t="shared" si="151"/>
        <v>0</v>
      </c>
      <c r="I301" s="199">
        <f>+SUMPRODUCT(('Budget révisé'!$A$8:$A$496=$A301)*('Budget révisé'!$C$3:$AO$3=I$2),'Budget révisé'!$C$8:$AO$496)</f>
        <v>27759.735356693745</v>
      </c>
      <c r="J301" s="179">
        <f>-SUMIFS(BV_Data_An_Cour!$P:$P,BV_Data_An_Cour!$X:$X,"Oui",BV_Data_An_Cour!$U:$U,$B301,BV_Data_An_Cour!$V:$V,$C301)</f>
        <v>0</v>
      </c>
      <c r="K301" s="210">
        <f t="shared" si="145"/>
        <v>0</v>
      </c>
      <c r="L301" s="180">
        <f>-SUMIFS(BV_Data_An_Cour!$P:$P,BV_Data_An_Cour!$U:$U,$B301,BV_Data_An_Cour!$V:$V,$C301,BV_Data_An_Cour!$W:$W,$L$2)</f>
        <v>12386.07</v>
      </c>
      <c r="M301" s="324"/>
      <c r="N301" s="304">
        <f t="shared" si="147"/>
        <v>-15373.665356693746</v>
      </c>
      <c r="O301" s="179">
        <f>-SUMIFS(BV_Data_An_Prec!$P:$P,BV_Data_An_Prec!$X:$X,"Oui",BV_Data_An_Prec!$U:$U,$B301,BV_Data_An_Prec!$V:$V,$C301)</f>
        <v>0</v>
      </c>
      <c r="P301" s="210">
        <f t="shared" si="148"/>
        <v>0</v>
      </c>
      <c r="Q301" s="180">
        <f>-SUMIFS(BV_Data_An_Prec!$P:$P,BV_Data_An_Prec!$U:$U,$B301,BV_Data_An_Prec!$V:$V,$C301,BV_Data_An_Prec!$W:$W,$L$2)</f>
        <v>54211.939999999995</v>
      </c>
      <c r="R301" s="324">
        <f t="shared" si="152"/>
        <v>0</v>
      </c>
      <c r="S301" s="199">
        <f t="shared" si="149"/>
        <v>-41825.869999999995</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300</v>
      </c>
      <c r="G302" s="197">
        <f>+SUMPRODUCT(('Budget révisé'!$A$8:$A$496=$A302)*('Budget révisé'!$C$3:$AO$3=G$2),'Budget révisé'!$C$8:$AO$496)</f>
        <v>0</v>
      </c>
      <c r="H302" s="210">
        <f t="shared" si="151"/>
        <v>0</v>
      </c>
      <c r="I302" s="199">
        <f>+SUMPRODUCT(('Budget révisé'!$A$8:$A$496=$A302)*('Budget révisé'!$C$3:$AO$3=I$2),'Budget révisé'!$C$8:$AO$496)</f>
        <v>300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-300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875637.72185305785</v>
      </c>
      <c r="E303" s="328">
        <f>IF(D303&lt;=0,0,F303/D303)</f>
        <v>0.30570705419178479</v>
      </c>
      <c r="F303" s="200">
        <f>SUM(F294:F302)</f>
        <v>267688.62848690373</v>
      </c>
      <c r="G303" s="198">
        <f>SUM(G294:G302)</f>
        <v>875637.72185305785</v>
      </c>
      <c r="H303" s="328">
        <f>IF(G303&lt;=0,0,I303/G303)</f>
        <v>0.30570705419178479</v>
      </c>
      <c r="I303" s="200">
        <f>SUM(I294:I302)</f>
        <v>267688.62848690373</v>
      </c>
      <c r="J303" s="198">
        <f>SUM(J294:J302)</f>
        <v>770065.17999999993</v>
      </c>
      <c r="K303" s="328">
        <f t="shared" si="145"/>
        <v>0.28415182984900061</v>
      </c>
      <c r="L303" s="329">
        <f>SUM(L294:L302)</f>
        <v>218815.43</v>
      </c>
      <c r="M303" s="330">
        <f>(+J303-G303)/G303</f>
        <v>-0.12056646169792833</v>
      </c>
      <c r="N303" s="329">
        <f t="shared" si="147"/>
        <v>-48873.198486903741</v>
      </c>
      <c r="O303" s="198">
        <f>SUM(O294:O302)</f>
        <v>904115.86999999988</v>
      </c>
      <c r="P303" s="328">
        <f t="shared" si="148"/>
        <v>0.32161051436913718</v>
      </c>
      <c r="Q303" s="329">
        <f>SUM(Q294:Q302)</f>
        <v>290773.16999999993</v>
      </c>
      <c r="R303" s="330">
        <f>IF(O303=0,0,(J303-O303)/O303)</f>
        <v>-0.14826715739432819</v>
      </c>
      <c r="S303" s="200">
        <f t="shared" si="149"/>
        <v>-71957.739999999932</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-0.18257480253515807</v>
      </c>
      <c r="O304" s="303"/>
      <c r="P304" s="178"/>
      <c r="Q304" s="312"/>
      <c r="R304" s="303"/>
      <c r="S304" s="333">
        <f>IF(Q303=0,0,S303/Q303)</f>
        <v>-0.24747035636059528</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2962</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110983.26228808754</v>
      </c>
      <c r="E306" s="210">
        <f t="shared" ref="E306:E307" si="162">IF(D306=0,0,F306/D306)</f>
        <v>0.19500000000000001</v>
      </c>
      <c r="F306" s="201">
        <f>+SUMPRODUCT(('Budget original'!$A$8:$A$496=$A306)*('Budget original'!$C$3:$AO$3=F$2),'Budget original'!$C$8:$AO$496)</f>
        <v>21641.736146177071</v>
      </c>
      <c r="G306" s="197">
        <f>+SUMPRODUCT(('Budget révisé'!$A$8:$A$496=$A306)*('Budget révisé'!$C$3:$AO$3=G$2),'Budget révisé'!$C$8:$AO$496)</f>
        <v>110983.26228808754</v>
      </c>
      <c r="H306" s="210">
        <f t="shared" ref="H306:H307" si="163">IF(G306=0,0,I306/G306)</f>
        <v>0.19500000000000001</v>
      </c>
      <c r="I306" s="201">
        <f>+SUMPRODUCT(('Budget révisé'!$A$8:$A$496=$A306)*('Budget révisé'!$C$3:$AO$3=I$2),'Budget révisé'!$C$8:$AO$496)</f>
        <v>21641.736146177071</v>
      </c>
      <c r="J306" s="179">
        <f>-SUMIFS(BV_Data_An_Cour!$P:$P,BV_Data_An_Cour!$X:$X,"Oui",BV_Data_An_Cour!$U:$U,$B306,BV_Data_An_Cour!$V:$V,$C306)</f>
        <v>71322.41</v>
      </c>
      <c r="K306" s="210">
        <f t="shared" ref="K306:K308" si="164">IF(J306&lt;=0,0,L306/J306)</f>
        <v>0.18696732205207309</v>
      </c>
      <c r="L306" s="180">
        <f>-SUMIFS(BV_Data_An_Cour!$P:$P,BV_Data_An_Cour!$U:$U,$B306,BV_Data_An_Cour!$V:$V,$C306,BV_Data_An_Cour!$W:$W,$L$2)</f>
        <v>13334.96</v>
      </c>
      <c r="M306" s="324">
        <f t="shared" ref="M306:M308" si="165">(+J306-G306)/G306</f>
        <v>-0.35735886178167031</v>
      </c>
      <c r="N306" s="304">
        <f t="shared" ref="N306:N308" si="166">L306-I306</f>
        <v>-8306.7761461770715</v>
      </c>
      <c r="O306" s="179">
        <f>-SUMIFS(BV_Data_An_Prec!$P:$P,BV_Data_An_Prec!$X:$X,"Oui",BV_Data_An_Prec!$U:$U,$B306,BV_Data_An_Prec!$V:$V,$C306)</f>
        <v>120253.29</v>
      </c>
      <c r="P306" s="210">
        <f t="shared" ref="P306:P308" si="167">IF(O306&lt;=0,0,Q306/O306)</f>
        <v>0.19445738241340424</v>
      </c>
      <c r="Q306" s="180">
        <f>-SUMIFS(BV_Data_An_Prec!$P:$P,BV_Data_An_Prec!$U:$U,$B306,BV_Data_An_Prec!$V:$V,$C306,BV_Data_An_Prec!$W:$W,$L$2)</f>
        <v>23384.14</v>
      </c>
      <c r="R306" s="324">
        <f t="shared" ref="R306:R307" si="168">IF(O306=0,0,(J306-O306)/O306)</f>
        <v>-0.4068984723827514</v>
      </c>
      <c r="S306" s="199">
        <f t="shared" ref="S306:S308" si="169">L306-Q306</f>
        <v>-10049.18</v>
      </c>
      <c r="T306" s="222"/>
      <c r="U306" s="222">
        <f>J306/(J96+J27)</f>
        <v>292.30495901639347</v>
      </c>
      <c r="V306" s="222">
        <f>G306/(G96+G27)</f>
        <v>460.80779527886648</v>
      </c>
      <c r="W306" s="222"/>
      <c r="X306" s="222" t="s">
        <v>2963</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42047.544640456079</v>
      </c>
      <c r="E307" s="210">
        <f t="shared" si="162"/>
        <v>0.30006987567403665</v>
      </c>
      <c r="F307" s="202">
        <f>+SUMPRODUCT(('Budget original'!$A$8:$A$496=$A307)*('Budget original'!$C$3:$AO$3=F$2),'Budget original'!$C$8:$AO$496)</f>
        <v>12617.201492660161</v>
      </c>
      <c r="G307" s="197">
        <f>+SUMPRODUCT(('Budget révisé'!$A$8:$A$496=$A307)*('Budget révisé'!$C$3:$AO$3=G$2),'Budget révisé'!$C$8:$AO$496)</f>
        <v>42047.544640456079</v>
      </c>
      <c r="H307" s="210">
        <f t="shared" si="163"/>
        <v>0.30006987567403665</v>
      </c>
      <c r="I307" s="202">
        <f>+SUMPRODUCT(('Budget révisé'!$A$8:$A$496=$A307)*('Budget révisé'!$C$3:$AO$3=I$2),'Budget révisé'!$C$8:$AO$496)</f>
        <v>12617.201492660161</v>
      </c>
      <c r="J307" s="179">
        <f>-SUMIFS(BV_Data_An_Cour!$P:$P,BV_Data_An_Cour!$X:$X,"Oui",BV_Data_An_Cour!$U:$U,$B307,BV_Data_An_Cour!$V:$V,$C307)</f>
        <v>39259.22</v>
      </c>
      <c r="K307" s="210">
        <f t="shared" si="164"/>
        <v>0.28643004114702231</v>
      </c>
      <c r="L307" s="180">
        <f>-SUMIFS(BV_Data_An_Cour!$P:$P,BV_Data_An_Cour!$U:$U,$B307,BV_Data_An_Cour!$V:$V,$C307,BV_Data_An_Cour!$W:$W,$L$2)</f>
        <v>11245.02</v>
      </c>
      <c r="M307" s="324">
        <f t="shared" si="165"/>
        <v>-6.6313613893480214E-2</v>
      </c>
      <c r="N307" s="304">
        <f t="shared" si="166"/>
        <v>-1372.1814926601601</v>
      </c>
      <c r="O307" s="179">
        <f>-SUMIFS(BV_Data_An_Prec!$P:$P,BV_Data_An_Prec!$X:$X,"Oui",BV_Data_An_Prec!$U:$U,$B307,BV_Data_An_Prec!$V:$V,$C307)</f>
        <v>40801.550000000003</v>
      </c>
      <c r="P307" s="210">
        <f t="shared" si="167"/>
        <v>0.28234295020654859</v>
      </c>
      <c r="Q307" s="180">
        <f>-SUMIFS(BV_Data_An_Prec!$P:$P,BV_Data_An_Prec!$U:$U,$B307,BV_Data_An_Prec!$V:$V,$C307,BV_Data_An_Prec!$W:$W,$L$2)</f>
        <v>11520.030000000002</v>
      </c>
      <c r="R307" s="324">
        <f t="shared" si="168"/>
        <v>-3.7800769823695464E-2</v>
      </c>
      <c r="S307" s="199">
        <f t="shared" si="169"/>
        <v>-275.01000000000204</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1028668.5287816015</v>
      </c>
      <c r="E308" s="328">
        <f>IF(D308&lt;=0,0,F308/D308)</f>
        <v>0.29353242339724384</v>
      </c>
      <c r="F308" s="329">
        <f t="shared" ref="F308" si="170">F303+F306+F307</f>
        <v>301947.56612574094</v>
      </c>
      <c r="G308" s="331">
        <f>G303+G306+G307</f>
        <v>1028668.5287816015</v>
      </c>
      <c r="H308" s="328">
        <f>IF(G308&lt;=0,0,I308/G308)</f>
        <v>0.29353242339724384</v>
      </c>
      <c r="I308" s="329">
        <f t="shared" ref="I308" si="171">I303+I306+I307</f>
        <v>301947.56612574094</v>
      </c>
      <c r="J308" s="331">
        <f t="shared" ref="J308" si="172">J303+J306+J307</f>
        <v>880646.80999999994</v>
      </c>
      <c r="K308" s="328">
        <f t="shared" si="164"/>
        <v>0.27638254886768965</v>
      </c>
      <c r="L308" s="329">
        <f>L303+L306+L307</f>
        <v>243395.40999999997</v>
      </c>
      <c r="M308" s="330">
        <f t="shared" si="165"/>
        <v>-0.14389642011982684</v>
      </c>
      <c r="N308" s="329">
        <f t="shared" si="166"/>
        <v>-58552.156125740963</v>
      </c>
      <c r="O308" s="331">
        <f t="shared" ref="O308" si="173">O303+O306+O307</f>
        <v>1065170.71</v>
      </c>
      <c r="P308" s="328">
        <f t="shared" si="167"/>
        <v>0.30575131004118578</v>
      </c>
      <c r="Q308" s="329">
        <f>Q303+Q306+Q307</f>
        <v>325677.33999999997</v>
      </c>
      <c r="R308" s="330">
        <f>IF(O308=0,0,(J308-O308)/O308)</f>
        <v>-0.17323411005171183</v>
      </c>
      <c r="S308" s="200">
        <f t="shared" si="169"/>
        <v>-82281.929999999993</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-0.1939149796006566</v>
      </c>
      <c r="O309" s="303"/>
      <c r="P309" s="178"/>
      <c r="Q309" s="312"/>
      <c r="R309" s="303"/>
      <c r="S309" s="333">
        <f>IF(Q308=0,0,S308/Q308)</f>
        <v>-0.25264861841477826</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1028668.5287816015</v>
      </c>
      <c r="E313" s="71">
        <f>IF(D313&lt;=0,0,F313/D313)</f>
        <v>0.29353242339724384</v>
      </c>
      <c r="F313" s="28">
        <f t="shared" ref="F313" si="176">F308+F311</f>
        <v>301947.56612574094</v>
      </c>
      <c r="G313" s="29">
        <f>G308+G311</f>
        <v>1028668.5287816015</v>
      </c>
      <c r="H313" s="71">
        <f>IF(G313&lt;=0,0,I313/G313)</f>
        <v>0.29353242339724384</v>
      </c>
      <c r="I313" s="28">
        <f t="shared" ref="I313" si="177">I308+I311</f>
        <v>301947.56612574094</v>
      </c>
      <c r="J313" s="29">
        <f t="shared" ref="J313" si="178">J308+J311</f>
        <v>880646.80999999994</v>
      </c>
      <c r="K313" s="71">
        <f>IF(J313&lt;=0,0,L313/J313)</f>
        <v>0.27638254886768965</v>
      </c>
      <c r="L313" s="28">
        <f>L308+L311</f>
        <v>243395.40999999997</v>
      </c>
      <c r="M313" s="72">
        <f>(+J313-G313)/G313</f>
        <v>-0.14389642011982684</v>
      </c>
      <c r="N313" s="73">
        <f>L313-I313</f>
        <v>-58552.156125740963</v>
      </c>
      <c r="O313" s="29">
        <f t="shared" ref="O313" si="179">O308+O311</f>
        <v>1065170.71</v>
      </c>
      <c r="P313" s="71">
        <f>IF(O313&lt;=0,0,Q313/O313)</f>
        <v>0.30575131004118578</v>
      </c>
      <c r="Q313" s="28">
        <f>Q308+Q311</f>
        <v>325677.33999999997</v>
      </c>
      <c r="R313" s="72">
        <f>IF(O313=0,0,(J313-O313)/O313)</f>
        <v>-0.17323411005171183</v>
      </c>
      <c r="S313" s="270">
        <f>L313-Q313</f>
        <v>-82281.929999999993</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-0.1939149796006566</v>
      </c>
      <c r="O314" s="77"/>
      <c r="P314" s="75"/>
      <c r="Q314" s="76"/>
      <c r="R314" s="78"/>
      <c r="S314" s="272">
        <f>IF(Q313=0,0,S313/Q313)</f>
        <v>-0.25264861841477826</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27162.189890136346</v>
      </c>
      <c r="G317" s="227"/>
      <c r="H317" s="233"/>
      <c r="I317" s="231">
        <f>+SUMPRODUCT(('Budget révisé'!$A$8:$A$496=$A317)*('Budget révisé'!$C$3:$AO$3=I$2),'Budget révisé'!$C$8:$AO$496)</f>
        <v>27162.189890136346</v>
      </c>
      <c r="J317" s="227"/>
      <c r="K317" s="233"/>
      <c r="L317" s="281">
        <f>SUMIFS(BV_Data_An_Cour!$P:$P,BV_Data_An_Cour!$U:$U,$B317,BV_Data_An_Cour!$V:$V,$C317,BV_Data_An_Cour!$W:$W,$L$2)</f>
        <v>18719</v>
      </c>
      <c r="M317" s="227"/>
      <c r="N317" s="232">
        <f t="shared" ref="N317:N342" si="180">L317-I317</f>
        <v>-8443.1898901363456</v>
      </c>
      <c r="O317" s="227"/>
      <c r="P317" s="233"/>
      <c r="Q317" s="281">
        <f>SUMIFS(BV_Data_An_Prec!$P:$P,BV_Data_An_Prec!$U:$U,$B317,BV_Data_An_Prec!$V:$V,$C317,BV_Data_An_Prec!$W:$W,$L$2)</f>
        <v>30667.89</v>
      </c>
      <c r="R317" s="227"/>
      <c r="S317" s="512">
        <f>L317-Q317</f>
        <v>-11948.89</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12967.25403169349</v>
      </c>
      <c r="G318" s="283"/>
      <c r="H318" s="233"/>
      <c r="I318" s="244">
        <f>+SUMPRODUCT(('Budget révisé'!$A$8:$A$496=$A318)*('Budget révisé'!$C$3:$AO$3=I$2),'Budget révisé'!$C$8:$AO$496)</f>
        <v>12967.25403169349</v>
      </c>
      <c r="J318" s="227"/>
      <c r="K318" s="233"/>
      <c r="L318" s="281">
        <f>SUMIFS(BV_Data_An_Cour!$P:$P,BV_Data_An_Cour!$U:$U,$B318,BV_Data_An_Cour!$V:$V,$C318,BV_Data_An_Cour!$W:$W,$L$2)</f>
        <v>11687.6</v>
      </c>
      <c r="M318" s="227"/>
      <c r="N318" s="232">
        <f t="shared" si="180"/>
        <v>-1279.6540316934897</v>
      </c>
      <c r="O318" s="227"/>
      <c r="P318" s="233"/>
      <c r="Q318" s="281">
        <f>SUMIFS(BV_Data_An_Prec!$P:$P,BV_Data_An_Prec!$U:$U,$B318,BV_Data_An_Prec!$V:$V,$C318,BV_Data_An_Prec!$W:$W,$L$2)</f>
        <v>11188.53</v>
      </c>
      <c r="R318" s="227"/>
      <c r="S318" s="284">
        <f t="shared" ref="S318:S342" si="181">L318-Q318</f>
        <v>499.06999999999971</v>
      </c>
      <c r="T318" s="222"/>
      <c r="U318" s="222" t="s">
        <v>2960</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48193.953200355558</v>
      </c>
      <c r="G319" s="287"/>
      <c r="H319" s="286"/>
      <c r="I319" s="231">
        <f>+SUMPRODUCT(('Budget révisé'!$A$8:$A$496=$A319)*('Budget révisé'!$C$3:$AO$3=I$2),'Budget révisé'!$C$8:$AO$496)</f>
        <v>48193.953200355558</v>
      </c>
      <c r="J319" s="288"/>
      <c r="K319" s="286"/>
      <c r="L319" s="245">
        <f>SUMIFS(BV_Data_An_Cour!$P:$P,BV_Data_An_Cour!$U:$U,$B319,BV_Data_An_Cour!$V:$V,$C319,BV_Data_An_Cour!$W:$W,$L$2)</f>
        <v>57320.12</v>
      </c>
      <c r="M319" s="288"/>
      <c r="N319" s="289">
        <f t="shared" si="180"/>
        <v>9126.1667996444448</v>
      </c>
      <c r="O319" s="288"/>
      <c r="P319" s="286"/>
      <c r="Q319" s="245">
        <f>SUMIFS(BV_Data_An_Prec!$P:$P,BV_Data_An_Prec!$U:$U,$B319,BV_Data_An_Prec!$V:$V,$C319,BV_Data_An_Prec!$W:$W,$L$2)</f>
        <v>45236.73</v>
      </c>
      <c r="R319" s="288"/>
      <c r="S319" s="290">
        <f t="shared" si="181"/>
        <v>12083.39</v>
      </c>
      <c r="T319" s="222"/>
      <c r="U319" s="981"/>
      <c r="V319" s="981"/>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6"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6"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6"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10598.807654662245</v>
      </c>
      <c r="G324" s="283"/>
      <c r="H324" s="233"/>
      <c r="I324" s="244">
        <f>+SUMPRODUCT(('Budget révisé'!$A$8:$A$496=$A324)*('Budget révisé'!$C$3:$AO$3=I$2),'Budget révisé'!$C$8:$AO$496)</f>
        <v>10598.807654662245</v>
      </c>
      <c r="J324" s="227"/>
      <c r="K324" s="233"/>
      <c r="L324" s="281">
        <f>SUMIFS(BV_Data_An_Cour!$P:$P,BV_Data_An_Cour!$U:$U,$B324,BV_Data_An_Cour!$V:$V,$C324,BV_Data_An_Cour!$W:$W,$L$2)</f>
        <v>9056.9500000000007</v>
      </c>
      <c r="M324" s="227"/>
      <c r="N324" s="232">
        <f t="shared" si="180"/>
        <v>-1541.8576546622444</v>
      </c>
      <c r="O324" s="227"/>
      <c r="P324" s="233"/>
      <c r="Q324" s="281">
        <f>SUMIFS(BV_Data_An_Prec!$P:$P,BV_Data_An_Prec!$U:$U,$B324,BV_Data_An_Prec!$V:$V,$C324,BV_Data_An_Prec!$W:$W,$L$2)</f>
        <v>11173.87</v>
      </c>
      <c r="R324" s="227"/>
      <c r="S324" s="284">
        <f t="shared" si="181"/>
        <v>-2116.92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10598.807654662245</v>
      </c>
      <c r="G325" s="287"/>
      <c r="H325" s="286"/>
      <c r="I325" s="231">
        <f>+SUMPRODUCT(('Budget révisé'!$A$8:$A$496=$A325)*('Budget révisé'!$C$3:$AO$3=I$2),'Budget révisé'!$C$8:$AO$496)</f>
        <v>10598.807654662245</v>
      </c>
      <c r="J325" s="288"/>
      <c r="K325" s="286"/>
      <c r="L325" s="245">
        <f>SUMIFS(BV_Data_An_Cour!$P:$P,BV_Data_An_Cour!$U:$U,$B325,BV_Data_An_Cour!$V:$V,$C325,BV_Data_An_Cour!$W:$W,$L$2)</f>
        <v>115.87</v>
      </c>
      <c r="M325" s="288"/>
      <c r="N325" s="289">
        <f t="shared" si="180"/>
        <v>-10482.937654662244</v>
      </c>
      <c r="O325" s="288"/>
      <c r="P325" s="286"/>
      <c r="Q325" s="245">
        <f>SUMIFS(BV_Data_An_Prec!$P:$P,BV_Data_An_Prec!$U:$U,$B325,BV_Data_An_Prec!$V:$V,$C325,BV_Data_An_Prec!$W:$W,$L$2)</f>
        <v>0</v>
      </c>
      <c r="R325" s="288"/>
      <c r="S325" s="290">
        <f t="shared" si="181"/>
        <v>115.87</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7595.8121525079423</v>
      </c>
      <c r="G326" s="283"/>
      <c r="H326" s="233"/>
      <c r="I326" s="231">
        <f>+SUMPRODUCT(('Budget révisé'!$A$8:$A$496=$A326)*('Budget révisé'!$C$3:$AO$3=I$2),'Budget révisé'!$C$8:$AO$496)</f>
        <v>7595.8121525079423</v>
      </c>
      <c r="J326" s="227"/>
      <c r="K326" s="233"/>
      <c r="L326" s="281">
        <f>SUMIFS(BV_Data_An_Cour!$P:$P,BV_Data_An_Cour!$U:$U,$B326,BV_Data_An_Cour!$V:$V,$C326,BV_Data_An_Cour!$W:$W,$L$2)</f>
        <v>7624.96</v>
      </c>
      <c r="M326" s="227"/>
      <c r="N326" s="232">
        <f t="shared" si="180"/>
        <v>29.147847492057736</v>
      </c>
      <c r="O326" s="227"/>
      <c r="P326" s="233"/>
      <c r="Q326" s="281">
        <f>SUMIFS(BV_Data_An_Prec!$P:$P,BV_Data_An_Prec!$U:$U,$B326,BV_Data_An_Prec!$V:$V,$C326,BV_Data_An_Prec!$W:$W,$L$2)</f>
        <v>12545.88</v>
      </c>
      <c r="R326" s="227"/>
      <c r="S326" s="284">
        <f t="shared" si="181"/>
        <v>-4920.9199999999992</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1766.4679424437077</v>
      </c>
      <c r="G327" s="283"/>
      <c r="H327" s="233"/>
      <c r="I327" s="231">
        <f>+SUMPRODUCT(('Budget révisé'!$A$8:$A$496=$A327)*('Budget révisé'!$C$3:$AO$3=I$2),'Budget révisé'!$C$8:$AO$496)</f>
        <v>1766.4679424437077</v>
      </c>
      <c r="J327" s="227"/>
      <c r="K327" s="233"/>
      <c r="L327" s="281">
        <f>SUMIFS(BV_Data_An_Cour!$P:$P,BV_Data_An_Cour!$U:$U,$B327,BV_Data_An_Cour!$V:$V,$C327,BV_Data_An_Cour!$W:$W,$L$2)</f>
        <v>13873.450000000003</v>
      </c>
      <c r="M327" s="227"/>
      <c r="N327" s="232">
        <f t="shared" si="180"/>
        <v>12106.982057556295</v>
      </c>
      <c r="O327" s="227"/>
      <c r="P327" s="233"/>
      <c r="Q327" s="281">
        <f>SUMIFS(BV_Data_An_Prec!$P:$P,BV_Data_An_Prec!$U:$U,$B327,BV_Data_An_Prec!$V:$V,$C327,BV_Data_An_Prec!$W:$W,$L$2)</f>
        <v>13988.619999999999</v>
      </c>
      <c r="R327" s="227"/>
      <c r="S327" s="284">
        <f t="shared" si="181"/>
        <v>-115.16999999999643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0.39372164529040982</v>
      </c>
      <c r="F329" s="41">
        <f>+SUM(F317:F328)</f>
        <v>118883.29252646153</v>
      </c>
      <c r="G329" s="42" t="s">
        <v>111</v>
      </c>
      <c r="H329" s="40">
        <f>I329/I$313</f>
        <v>0.39372164529040982</v>
      </c>
      <c r="I329" s="41">
        <f>+SUM(I317:I328)</f>
        <v>118883.29252646153</v>
      </c>
      <c r="J329" s="42" t="s">
        <v>111</v>
      </c>
      <c r="K329" s="40">
        <f>L329/L$313</f>
        <v>0.48644282157991398</v>
      </c>
      <c r="L329" s="41">
        <f>+SUM(L317:L328)</f>
        <v>118397.95</v>
      </c>
      <c r="M329" s="43"/>
      <c r="N329" s="46">
        <f t="shared" si="180"/>
        <v>-485.34252646153618</v>
      </c>
      <c r="O329" s="42" t="s">
        <v>111</v>
      </c>
      <c r="P329" s="40">
        <f>Q329/Q$313</f>
        <v>0.38320602839608064</v>
      </c>
      <c r="Q329" s="41">
        <f>+SUM(Q317:Q328)</f>
        <v>124801.51999999999</v>
      </c>
      <c r="R329" s="43"/>
      <c r="S329" s="299">
        <f t="shared" si="181"/>
        <v>-6403.5699999999924</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11425.924999999999</v>
      </c>
      <c r="G330" s="302"/>
      <c r="H330" s="178"/>
      <c r="I330" s="179">
        <f>+SUMPRODUCT(('Budget révisé'!$A$8:$A$496=$A330)*('Budget révisé'!$C$3:$AO$3=I$2),'Budget révisé'!$C$8:$AO$496)</f>
        <v>11425.924999999999</v>
      </c>
      <c r="J330" s="303"/>
      <c r="K330" s="178"/>
      <c r="L330" s="281">
        <f>SUMIFS(BV_Data_An_Cour!$P:$P,BV_Data_An_Cour!$U:$U,$B330,BV_Data_An_Cour!$V:$V,$C330,BV_Data_An_Cour!$W:$W,$L$2)</f>
        <v>15905.63</v>
      </c>
      <c r="M330" s="303"/>
      <c r="N330" s="304">
        <f t="shared" si="180"/>
        <v>4479.7049999999999</v>
      </c>
      <c r="O330" s="303"/>
      <c r="P330" s="178"/>
      <c r="Q330" s="281">
        <f>SUMIFS(BV_Data_An_Prec!$P:$P,BV_Data_An_Prec!$U:$U,$B330,BV_Data_An_Prec!$V:$V,$C330,BV_Data_An_Prec!$W:$W,$L$2)</f>
        <v>19785.98</v>
      </c>
      <c r="R330" s="303"/>
      <c r="S330" s="199">
        <f t="shared" si="181"/>
        <v>-3880.3500000000004</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5108.6819022214986</v>
      </c>
      <c r="G331" s="302"/>
      <c r="H331" s="178"/>
      <c r="I331" s="179">
        <f>+SUMPRODUCT(('Budget révisé'!$A$8:$A$496=$A331)*('Budget révisé'!$C$3:$AO$3=I$2),'Budget révisé'!$C$8:$AO$496)</f>
        <v>5108.6819022214986</v>
      </c>
      <c r="J331" s="303"/>
      <c r="K331" s="178"/>
      <c r="L331" s="180">
        <f>SUMIFS(BV_Data_An_Cour!$P:$P,BV_Data_An_Cour!$U:$U,$B331,BV_Data_An_Cour!$V:$V,$C331,BV_Data_An_Cour!$W:$W,$L$2)</f>
        <v>246.23</v>
      </c>
      <c r="M331" s="303"/>
      <c r="N331" s="304">
        <f t="shared" si="180"/>
        <v>-4862.451902221499</v>
      </c>
      <c r="O331" s="303"/>
      <c r="P331" s="178"/>
      <c r="Q331" s="180">
        <f>SUMIFS(BV_Data_An_Prec!$P:$P,BV_Data_An_Prec!$U:$U,$B331,BV_Data_An_Prec!$V:$V,$C331,BV_Data_An_Prec!$W:$W,$L$2)</f>
        <v>2149</v>
      </c>
      <c r="R331" s="303"/>
      <c r="S331" s="199">
        <f t="shared" si="181"/>
        <v>-1902.77</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856.5</v>
      </c>
      <c r="G332" s="309"/>
      <c r="H332" s="308"/>
      <c r="I332" s="177">
        <f>+SUMPRODUCT(('Budget révisé'!$A$8:$A$496=$A332)*('Budget révisé'!$C$3:$AO$3=I$2),'Budget révisé'!$C$8:$AO$496)</f>
        <v>856.5</v>
      </c>
      <c r="J332" s="310"/>
      <c r="K332" s="308"/>
      <c r="L332" s="180">
        <f>SUMIFS(BV_Data_An_Cour!$P:$P,BV_Data_An_Cour!$U:$U,$B332,BV_Data_An_Cour!$V:$V,$C332,BV_Data_An_Cour!$W:$W,$L$2)</f>
        <v>842.2</v>
      </c>
      <c r="M332" s="310"/>
      <c r="N332" s="311">
        <f t="shared" si="180"/>
        <v>-14.299999999999955</v>
      </c>
      <c r="O332" s="310"/>
      <c r="P332" s="308"/>
      <c r="Q332" s="180">
        <f>SUMIFS(BV_Data_An_Prec!$P:$P,BV_Data_An_Prec!$U:$U,$B332,BV_Data_An_Prec!$V:$V,$C332,BV_Data_An_Prec!$W:$W,$L$2)</f>
        <v>3849.69</v>
      </c>
      <c r="R332" s="310"/>
      <c r="S332" s="202">
        <f t="shared" si="181"/>
        <v>-3007.49</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12842.335000000001</v>
      </c>
      <c r="G333" s="302"/>
      <c r="H333" s="178"/>
      <c r="I333" s="179">
        <f>+SUMPRODUCT(('Budget révisé'!$A$8:$A$496=$A333)*('Budget révisé'!$C$3:$AO$3=I$2),'Budget révisé'!$C$8:$AO$496)</f>
        <v>12842.335000000001</v>
      </c>
      <c r="J333" s="303"/>
      <c r="K333" s="178"/>
      <c r="L333" s="181">
        <f>SUMIFS(BV_Data_An_Cour!$P:$P,BV_Data_An_Cour!$U:$U,$B333,BV_Data_An_Cour!$V:$V,$C333,BV_Data_An_Cour!$W:$W,$L$2)</f>
        <v>11470.04</v>
      </c>
      <c r="M333" s="303"/>
      <c r="N333" s="304">
        <f t="shared" si="180"/>
        <v>-1372.2950000000001</v>
      </c>
      <c r="O333" s="303"/>
      <c r="P333" s="178"/>
      <c r="Q333" s="181">
        <f>SUMIFS(BV_Data_An_Prec!$P:$P,BV_Data_An_Prec!$U:$U,$B333,BV_Data_An_Prec!$V:$V,$C333,BV_Data_An_Prec!$W:$W,$L$2)</f>
        <v>10576.13</v>
      </c>
      <c r="R333" s="303"/>
      <c r="S333" s="199">
        <f t="shared" si="181"/>
        <v>893.91000000000167</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3741.7893749999998</v>
      </c>
      <c r="G334" s="302"/>
      <c r="H334" s="178"/>
      <c r="I334" s="179">
        <f>+SUMPRODUCT(('Budget révisé'!$A$8:$A$496=$A334)*('Budget révisé'!$C$3:$AO$3=I$2),'Budget révisé'!$C$8:$AO$496)</f>
        <v>3741.7893749999998</v>
      </c>
      <c r="J334" s="303"/>
      <c r="K334" s="178"/>
      <c r="L334" s="180">
        <f>SUMIFS(BV_Data_An_Cour!$P:$P,BV_Data_An_Cour!$U:$U,$B334,BV_Data_An_Cour!$V:$V,$C334,BV_Data_An_Cour!$W:$W,$L$2)</f>
        <v>564.14</v>
      </c>
      <c r="M334" s="303"/>
      <c r="N334" s="304">
        <f t="shared" si="180"/>
        <v>-3177.649375</v>
      </c>
      <c r="O334" s="303"/>
      <c r="P334" s="178"/>
      <c r="Q334" s="180">
        <f>SUMIFS(BV_Data_An_Prec!$P:$P,BV_Data_An_Prec!$U:$U,$B334,BV_Data_An_Prec!$V:$V,$C334,BV_Data_An_Prec!$W:$W,$L$2)</f>
        <v>4557.75</v>
      </c>
      <c r="R334" s="303"/>
      <c r="S334" s="199">
        <f t="shared" si="181"/>
        <v>-3993.61</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8" t="s">
        <v>126</v>
      </c>
      <c r="D335" s="307"/>
      <c r="E335" s="308"/>
      <c r="F335" s="177">
        <f>+SUMPRODUCT(('Budget original'!$A$8:$A$496=$A335)*('Budget original'!$C$3:$AO$3=F$2),'Budget original'!$C$8:$AO$496)</f>
        <v>22071.931225</v>
      </c>
      <c r="G335" s="309"/>
      <c r="H335" s="308"/>
      <c r="I335" s="177">
        <f>+SUMPRODUCT(('Budget révisé'!$A$8:$A$496=$A335)*('Budget révisé'!$C$3:$AO$3=I$2),'Budget révisé'!$C$8:$AO$496)</f>
        <v>22071.931225</v>
      </c>
      <c r="J335" s="310"/>
      <c r="K335" s="308"/>
      <c r="L335" s="405">
        <f>SUMIFS(BV_Data_An_Cour!$P:$P,BV_Data_An_Cour!$U:$U,$B335,BV_Data_An_Cour!$V:$V,$C335,BV_Data_An_Cour!$W:$W,$L$2)</f>
        <v>17242.099999999999</v>
      </c>
      <c r="M335" s="310"/>
      <c r="N335" s="311">
        <f t="shared" si="180"/>
        <v>-4829.8312250000017</v>
      </c>
      <c r="O335" s="310"/>
      <c r="P335" s="308"/>
      <c r="Q335" s="405">
        <f>SUMIFS(BV_Data_An_Prec!$P:$P,BV_Data_An_Prec!$U:$U,$B335,BV_Data_An_Prec!$V:$V,$C335,BV_Data_An_Prec!$W:$W,$L$2)</f>
        <v>32105.3</v>
      </c>
      <c r="R335" s="310"/>
      <c r="S335" s="202">
        <f t="shared" si="181"/>
        <v>-14863.2</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378</v>
      </c>
      <c r="G337" s="302"/>
      <c r="H337" s="178"/>
      <c r="I337" s="179">
        <f>+SUMPRODUCT(('Budget révisé'!$A$8:$A$496=$A337)*('Budget révisé'!$C$3:$AO$3=I$2),'Budget révisé'!$C$8:$AO$496)</f>
        <v>378</v>
      </c>
      <c r="J337" s="303"/>
      <c r="K337" s="178"/>
      <c r="L337" s="180">
        <f>SUMIFS(BV_Data_An_Cour!$P:$P,BV_Data_An_Cour!$U:$U,$B337,BV_Data_An_Cour!$V:$V,$C337,BV_Data_An_Cour!$W:$W,$L$2)</f>
        <v>164.65</v>
      </c>
      <c r="M337" s="303"/>
      <c r="N337" s="304">
        <f t="shared" si="180"/>
        <v>-213.35</v>
      </c>
      <c r="O337" s="303"/>
      <c r="P337" s="178"/>
      <c r="Q337" s="180">
        <f>SUMIFS(BV_Data_An_Prec!$P:$P,BV_Data_An_Prec!$U:$U,$B337,BV_Data_An_Prec!$V:$V,$C337,BV_Data_An_Prec!$W:$W,$L$2)</f>
        <v>310</v>
      </c>
      <c r="R337" s="303"/>
      <c r="S337" s="199">
        <f t="shared" si="181"/>
        <v>-145.35</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510</v>
      </c>
      <c r="G338" s="302"/>
      <c r="H338" s="178"/>
      <c r="I338" s="179">
        <f>+SUMPRODUCT(('Budget révisé'!$A$8:$A$496=$A338)*('Budget révisé'!$C$3:$AO$3=I$2),'Budget révisé'!$C$8:$AO$496)</f>
        <v>510</v>
      </c>
      <c r="J338" s="303"/>
      <c r="K338" s="178"/>
      <c r="L338" s="180">
        <f>SUMIFS(BV_Data_An_Cour!$P:$P,BV_Data_An_Cour!$U:$U,$B338,BV_Data_An_Cour!$V:$V,$C338,BV_Data_An_Cour!$W:$W,$L$2)</f>
        <v>0</v>
      </c>
      <c r="M338" s="303"/>
      <c r="N338" s="304">
        <f t="shared" si="180"/>
        <v>-510</v>
      </c>
      <c r="O338" s="303"/>
      <c r="P338" s="178"/>
      <c r="Q338" s="180">
        <f>SUMIFS(BV_Data_An_Prec!$P:$P,BV_Data_An_Prec!$U:$U,$B338,BV_Data_An_Prec!$V:$V,$C338,BV_Data_An_Prec!$W:$W,$L$2)</f>
        <v>510</v>
      </c>
      <c r="R338" s="303"/>
      <c r="S338" s="199">
        <f t="shared" si="181"/>
        <v>-510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1635</v>
      </c>
      <c r="G339" s="302"/>
      <c r="H339" s="178"/>
      <c r="I339" s="179">
        <f>+SUMPRODUCT(('Budget révisé'!$A$8:$A$496=$A339)*('Budget révisé'!$C$3:$AO$3=I$2),'Budget révisé'!$C$8:$AO$496)</f>
        <v>1635</v>
      </c>
      <c r="J339" s="303"/>
      <c r="K339" s="178"/>
      <c r="L339" s="554">
        <f>SUMIFS(BV_Data_An_Cour!$P:$P,BV_Data_An_Cour!$U:$U,$B339,BV_Data_An_Cour!$V:$V,$C339,BV_Data_An_Cour!$W:$W,$L$2)</f>
        <v>1122.56</v>
      </c>
      <c r="M339" s="303"/>
      <c r="N339" s="304">
        <f t="shared" si="180"/>
        <v>-512.44000000000005</v>
      </c>
      <c r="O339" s="303"/>
      <c r="P339" s="178"/>
      <c r="Q339" s="554">
        <f>SUMIFS(BV_Data_An_Prec!$P:$P,BV_Data_An_Prec!$U:$U,$B339,BV_Data_An_Prec!$V:$V,$C339,BV_Data_An_Prec!$W:$W,$L$2)</f>
        <v>1387.5</v>
      </c>
      <c r="R339" s="303"/>
      <c r="S339" s="199">
        <f t="shared" si="181"/>
        <v>-264.94000000000005</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1356.8249999999998</v>
      </c>
      <c r="G340" s="302"/>
      <c r="H340" s="178"/>
      <c r="I340" s="179">
        <f>+SUMPRODUCT(('Budget révisé'!$A$8:$A$496=$A340)*('Budget révisé'!$C$3:$AO$3=I$2),'Budget révisé'!$C$8:$AO$496)</f>
        <v>1356.8249999999998</v>
      </c>
      <c r="J340" s="303"/>
      <c r="K340" s="178"/>
      <c r="L340" s="180">
        <f>SUMIFS(BV_Data_An_Cour!$P:$P,BV_Data_An_Cour!$U:$U,$B340,BV_Data_An_Cour!$V:$V,$C340,BV_Data_An_Cour!$W:$W,$L$2)</f>
        <v>704.21</v>
      </c>
      <c r="M340" s="303"/>
      <c r="N340" s="304">
        <f t="shared" si="180"/>
        <v>-652.61499999999978</v>
      </c>
      <c r="O340" s="303"/>
      <c r="P340" s="178"/>
      <c r="Q340" s="180">
        <f>SUMIFS(BV_Data_An_Prec!$P:$P,BV_Data_An_Prec!$U:$U,$B340,BV_Data_An_Prec!$V:$V,$C340,BV_Data_An_Prec!$W:$W,$L$2)</f>
        <v>1031.7</v>
      </c>
      <c r="R340" s="303"/>
      <c r="S340" s="199">
        <f t="shared" si="181"/>
        <v>-327.49</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648.75</v>
      </c>
      <c r="G341" s="302"/>
      <c r="H341" s="178"/>
      <c r="I341" s="179">
        <f>+SUMPRODUCT(('Budget révisé'!$A$8:$A$496=$A341)*('Budget révisé'!$C$3:$AO$3=I$2),'Budget révisé'!$C$8:$AO$496)</f>
        <v>648.75</v>
      </c>
      <c r="J341" s="303"/>
      <c r="K341" s="178"/>
      <c r="L341" s="281">
        <f>SUMIFS(BV_Data_An_Cour!$P:$P,BV_Data_An_Cour!$U:$U,$B341,BV_Data_An_Cour!$V:$V,$C341,BV_Data_An_Cour!$W:$W,$L$2)</f>
        <v>58.74</v>
      </c>
      <c r="M341" s="303"/>
      <c r="N341" s="304">
        <f t="shared" si="180"/>
        <v>-590.01</v>
      </c>
      <c r="O341" s="303"/>
      <c r="P341" s="178"/>
      <c r="Q341" s="180">
        <f>SUMIFS(BV_Data_An_Prec!$P:$P,BV_Data_An_Prec!$U:$U,$B341,BV_Data_An_Prec!$V:$V,$C341,BV_Data_An_Prec!$W:$W,$L$2)</f>
        <v>289.10000000000002</v>
      </c>
      <c r="R341" s="303"/>
      <c r="S341" s="199">
        <f t="shared" si="181"/>
        <v>-230.36</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2693.25</v>
      </c>
      <c r="G342" s="302"/>
      <c r="H342" s="178"/>
      <c r="I342" s="179">
        <f>+SUMPRODUCT(('Budget révisé'!$A$8:$A$496=$A342)*('Budget révisé'!$C$3:$AO$3=I$2),'Budget révisé'!$C$8:$AO$496)</f>
        <v>2693.25</v>
      </c>
      <c r="J342" s="303"/>
      <c r="K342" s="178"/>
      <c r="L342" s="281">
        <f>SUMIFS(BV_Data_An_Cour!$P:$P,BV_Data_An_Cour!$U:$U,$B342,BV_Data_An_Cour!$V:$V,$C342,BV_Data_An_Cour!$W:$W,$L$2)</f>
        <v>1987.23</v>
      </c>
      <c r="M342" s="303"/>
      <c r="N342" s="304">
        <f t="shared" si="180"/>
        <v>-706.02</v>
      </c>
      <c r="O342" s="303"/>
      <c r="P342" s="178"/>
      <c r="Q342" s="180">
        <f>SUMIFS(BV_Data_An_Prec!$P:$P,BV_Data_An_Prec!$U:$U,$B342,BV_Data_An_Prec!$V:$V,$C342,BV_Data_An_Prec!$W:$W,$L$2)</f>
        <v>3982.68</v>
      </c>
      <c r="R342" s="303"/>
      <c r="S342" s="199">
        <f t="shared" si="181"/>
        <v>-1995.4499999999998</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741.4375</v>
      </c>
      <c r="G343" s="302"/>
      <c r="H343" s="178"/>
      <c r="I343" s="179">
        <f>+SUMPRODUCT(('Budget révisé'!$A$8:$A$496=$A343)*('Budget révisé'!$C$3:$AO$3=I$2),'Budget révisé'!$C$8:$AO$496)</f>
        <v>741.4375</v>
      </c>
      <c r="J343" s="303"/>
      <c r="K343" s="178"/>
      <c r="L343" s="281">
        <f>SUMIFS(BV_Data_An_Cour!$P:$P,BV_Data_An_Cour!$U:$U,$B343,BV_Data_An_Cour!$V:$V,$C343,BV_Data_An_Cour!$W:$W,$L$2)</f>
        <v>66.42</v>
      </c>
      <c r="M343" s="303"/>
      <c r="N343" s="304">
        <f t="shared" ref="N343:N347" si="189">L343-I343</f>
        <v>-675.01750000000004</v>
      </c>
      <c r="O343" s="303"/>
      <c r="P343" s="178"/>
      <c r="Q343" s="180">
        <f>SUMIFS(BV_Data_An_Prec!$P:$P,BV_Data_An_Prec!$U:$U,$B343,BV_Data_An_Prec!$V:$V,$C343,BV_Data_An_Prec!$W:$W,$L$2)</f>
        <v>975</v>
      </c>
      <c r="R343" s="303"/>
      <c r="S343" s="199">
        <f t="shared" ref="S343:S347" si="190">L343-Q343</f>
        <v>-908.58</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4665.4182608205283</v>
      </c>
      <c r="G344" s="302"/>
      <c r="H344" s="178"/>
      <c r="I344" s="179">
        <f>+SUMPRODUCT(('Budget révisé'!$A$8:$A$496=$A344)*('Budget révisé'!$C$3:$AO$3=I$2),'Budget révisé'!$C$8:$AO$496)</f>
        <v>4665.4182608205283</v>
      </c>
      <c r="J344" s="303"/>
      <c r="K344" s="178"/>
      <c r="L344" s="985"/>
      <c r="M344" s="303"/>
      <c r="N344" s="304">
        <f t="shared" si="189"/>
        <v>-4665.4182608205283</v>
      </c>
      <c r="O344" s="303"/>
      <c r="P344" s="178"/>
      <c r="Q344" s="180">
        <f>AL447*W7</f>
        <v>3084.4860000000003</v>
      </c>
      <c r="R344" s="303"/>
      <c r="S344" s="199">
        <f t="shared" si="190"/>
        <v>-3084.4860000000003</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0.22744294363493275</v>
      </c>
      <c r="F348" s="41">
        <f>+SUM(F330:F347)</f>
        <v>68675.843263042028</v>
      </c>
      <c r="G348" s="42" t="s">
        <v>111</v>
      </c>
      <c r="H348" s="40">
        <f>I348/I$313</f>
        <v>0.22744294363493275</v>
      </c>
      <c r="I348" s="41">
        <f>+SUM(I330:I347)</f>
        <v>68675.843263042028</v>
      </c>
      <c r="J348" s="42" t="s">
        <v>111</v>
      </c>
      <c r="K348" s="40">
        <f>L348/L$313</f>
        <v>0.20696425622816797</v>
      </c>
      <c r="L348" s="41">
        <f>+SUM(L330:L347)</f>
        <v>50374.149999999994</v>
      </c>
      <c r="M348" s="44"/>
      <c r="N348" s="41">
        <f>+SUM(N330:N347)</f>
        <v>-18301.693263042031</v>
      </c>
      <c r="O348" s="42" t="s">
        <v>111</v>
      </c>
      <c r="P348" s="40">
        <f>Q348/Q$313</f>
        <v>0.25974885449506557</v>
      </c>
      <c r="Q348" s="41">
        <f>+SUM(Q330:Q347)</f>
        <v>84594.315999999992</v>
      </c>
      <c r="R348" s="44"/>
      <c r="S348" s="316">
        <f>+SUM(S330:S347)</f>
        <v>-34220.166000000005</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0.62116458892534265</v>
      </c>
      <c r="F350" s="41">
        <f>F329+F348</f>
        <v>187559.13578950358</v>
      </c>
      <c r="G350" s="42" t="s">
        <v>111</v>
      </c>
      <c r="H350" s="40">
        <f>I350/I$313</f>
        <v>0.62116458892534265</v>
      </c>
      <c r="I350" s="41">
        <f>I329+I348</f>
        <v>187559.13578950358</v>
      </c>
      <c r="J350" s="42" t="s">
        <v>111</v>
      </c>
      <c r="K350" s="40">
        <f>L350/L$313</f>
        <v>0.69340707780808186</v>
      </c>
      <c r="L350" s="41">
        <f>L329+L348</f>
        <v>168772.09999999998</v>
      </c>
      <c r="M350" s="44"/>
      <c r="N350" s="46">
        <f t="shared" ref="N350:N352" si="192">L350-I350</f>
        <v>-18787.0357895036</v>
      </c>
      <c r="O350" s="42" t="s">
        <v>111</v>
      </c>
      <c r="P350" s="40">
        <f>Q350/Q$313</f>
        <v>0.64295488289114622</v>
      </c>
      <c r="Q350" s="41">
        <f>Q329+Q348</f>
        <v>209395.83599999998</v>
      </c>
      <c r="R350" s="44"/>
      <c r="S350" s="299">
        <f>L350-Q350</f>
        <v>-40623.736000000004</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114388.43033623736</v>
      </c>
      <c r="G352" s="344"/>
      <c r="H352" s="342"/>
      <c r="I352" s="343">
        <f>I313-I350</f>
        <v>114388.43033623736</v>
      </c>
      <c r="J352" s="345"/>
      <c r="K352" s="346"/>
      <c r="L352" s="343">
        <f>L313-L350</f>
        <v>74623.31</v>
      </c>
      <c r="M352" s="345"/>
      <c r="N352" s="343">
        <f t="shared" si="192"/>
        <v>-39765.120336237364</v>
      </c>
      <c r="O352" s="345"/>
      <c r="P352" s="346"/>
      <c r="Q352" s="343">
        <f>Q313-Q350</f>
        <v>116281.50399999999</v>
      </c>
      <c r="R352" s="345"/>
      <c r="S352" s="347">
        <f>L352-Q352</f>
        <v>-41658.193999999989</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7">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Mars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35" t="s">
        <v>77</v>
      </c>
      <c r="E357" s="1135"/>
      <c r="F357" s="1142"/>
      <c r="G357" s="1138" t="s">
        <v>145</v>
      </c>
      <c r="H357" s="1135"/>
      <c r="I357" s="1142"/>
      <c r="J357" s="1138" t="s">
        <v>79</v>
      </c>
      <c r="K357" s="1135"/>
      <c r="L357" s="1142"/>
      <c r="M357" s="1138" t="s">
        <v>80</v>
      </c>
      <c r="N357" s="1142"/>
      <c r="O357" s="1138" t="s">
        <v>81</v>
      </c>
      <c r="P357" s="1135"/>
      <c r="Q357" s="1142"/>
      <c r="R357" s="1138" t="s">
        <v>82</v>
      </c>
      <c r="S357" s="1143"/>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f>+SUMPRODUCT(('[6]Budget révisé'!$A$8:$A$496=$A359)*('[6]Budget révisé'!$C$3:$AO$3=G$2),'[6]Budget révisé'!$C$8:$AO$496)</f>
        <v>0</v>
      </c>
      <c r="H359" s="204">
        <f>IFERROR(I359/G359,0)</f>
        <v>0</v>
      </c>
      <c r="I359" s="203">
        <f>+SUMPRODUCT(('[6]Budget révisé'!$A$8:$A$496=$A359)*('[6]Budget révisé'!$C$3:$AO$3=I$2),'[6]Budget révisé'!$C$8:$AO$496)</f>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5">
        <f>IF(G361=0,0,(+J361-G361)/G361)</f>
        <v>0</v>
      </c>
      <c r="N361" s="1098">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9"/>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f>+SUMPRODUCT(('[6]Budget révisé'!$A$8:$A$496=$A364)*('[6]Budget révisé'!$C$3:$AO$3=I$2),'[6]Budget révisé'!$C$8:$AO$496)</f>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f>+SUMPRODUCT(('[6]Budget révisé'!$A$8:$A$496=$A365)*('[6]Budget révisé'!$C$3:$AO$3=I$2),'[6]Budget révisé'!$C$8:$AO$496)</f>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f>+SUMPRODUCT(('[6]Budget révisé'!$A$8:$A$496=$A366)*('[6]Budget révisé'!$C$3:$AO$3=I$2),'[6]Budget révisé'!$C$8:$AO$496)</f>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f>+SUMPRODUCT(('[6]Budget révisé'!$A$8:$A$496=$A367)*('[6]Budget révisé'!$C$3:$AO$3=I$2),'[6]Budget révisé'!$C$8:$AO$496)</f>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f>+SUMPRODUCT(('[6]Budget révisé'!$A$8:$A$496=$A368)*('[6]Budget révisé'!$C$3:$AO$3=I$2),'[6]Budget révisé'!$C$8:$AO$496)</f>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f>+SUMPRODUCT(('[6]Budget révisé'!$A$8:$A$496=$A369)*('[6]Budget révisé'!$C$3:$AO$3=I$2),'[6]Budget révisé'!$C$8:$AO$496)</f>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f>+SUMPRODUCT(('[6]Budget révisé'!$A$8:$A$496=$A370)*('[6]Budget révisé'!$C$3:$AO$3=I$2),'[6]Budget révisé'!$C$8:$AO$496)</f>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f>+SUMPRODUCT(('[6]Budget révisé'!$A$8:$A$496=$A371)*('[6]Budget révisé'!$C$3:$AO$3=I$2),'[6]Budget révisé'!$C$8:$AO$496)</f>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f>+SUMPRODUCT(('[6]Budget révisé'!$A$8:$A$496=$A372)*('[6]Budget révisé'!$C$3:$AO$3=I$2),'[6]Budget révisé'!$C$8:$AO$496)</f>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f>+SUMPRODUCT(('[6]Budget révisé'!$A$8:$A$496=$A373)*('[6]Budget révisé'!$C$3:$AO$3=I$2),'[6]Budget révisé'!$C$8:$AO$496)</f>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f>+SUMPRODUCT(('[6]Budget révisé'!$A$8:$A$496=$A374)*('[6]Budget révisé'!$C$3:$AO$3=I$2),'[6]Budget révisé'!$C$8:$AO$496)</f>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f>+SUMPRODUCT(('[6]Budget révisé'!$A$8:$A$496=$A375)*('[6]Budget révisé'!$C$3:$AO$3=I$2),'[6]Budget révisé'!$C$8:$AO$496)</f>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f>+SUMPRODUCT(('[6]Budget révisé'!$A$8:$A$496=$A377)*('[6]Budget révisé'!$C$3:$AO$3=I$2),'[6]Budget révisé'!$C$8:$AO$496)</f>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f>+SUMPRODUCT(('[6]Budget révisé'!$A$8:$A$496=$A378)*('[6]Budget révisé'!$C$3:$AO$3=I$2),'[6]Budget révisé'!$C$8:$AO$496)</f>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f>+SUMPRODUCT(('[6]Budget révisé'!$A$8:$A$496=$A379)*('[6]Budget révisé'!$C$3:$AO$3=I$2),'[6]Budget révisé'!$C$8:$AO$496)</f>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f>+SUMPRODUCT(('[6]Budget révisé'!$A$8:$A$496=$A380)*('[6]Budget révisé'!$C$3:$AO$3=I$2),'[6]Budget révisé'!$C$8:$AO$496)</f>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f>+SUMPRODUCT(('[6]Budget révisé'!$A$8:$A$496=$A381)*('[6]Budget révisé'!$C$3:$AO$3=I$2),'[6]Budget révisé'!$C$8:$AO$496)</f>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f>+SUMPRODUCT(('[6]Budget révisé'!$A$8:$A$496=$A382)*('[6]Budget révisé'!$C$3:$AO$3=I$2),'[6]Budget révisé'!$C$8:$AO$496)</f>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f>+SUMPRODUCT(('[6]Budget révisé'!$A$8:$A$496=$A383)*('[6]Budget révisé'!$C$3:$AO$3=I$2),'[6]Budget révisé'!$C$8:$AO$496)</f>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f>+SUMPRODUCT(('[6]Budget révisé'!$A$8:$A$496=$A384)*('[6]Budget révisé'!$C$3:$AO$3=I$2),'[6]Budget révisé'!$C$8:$AO$496)</f>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f>+SUMPRODUCT(('[6]Budget révisé'!$A$8:$A$496=$A385)*('[6]Budget révisé'!$C$3:$AO$3=I$2),'[6]Budget révisé'!$C$8:$AO$496)</f>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f>+SUMPRODUCT(('[6]Budget révisé'!$A$8:$A$496=$A386)*('[6]Budget révisé'!$C$3:$AO$3=I$2),'[6]Budget révisé'!$C$8:$AO$496)</f>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f>+SUMPRODUCT(('[6]Budget révisé'!$A$8:$A$496=$A387)*('[6]Budget révisé'!$C$3:$AO$3=I$2),'[6]Budget révisé'!$C$8:$AO$496)</f>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f>+SUMPRODUCT(('[6]Budget révisé'!$A$8:$A$496=$A388)*('[6]Budget révisé'!$C$3:$AO$3=I$2),'[6]Budget révisé'!$C$8:$AO$496)</f>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f>+SUMPRODUCT(('[6]Budget révisé'!$A$8:$A$496=$A389)*('[6]Budget révisé'!$C$3:$AO$3=I$2),'[6]Budget révisé'!$C$8:$AO$496)</f>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f>+SUMPRODUCT(('[6]Budget révisé'!$A$8:$A$496=$A390)*('[6]Budget révisé'!$C$3:$AO$3=I$2),'[6]Budget révisé'!$C$8:$AO$496)</f>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f>+SUMPRODUCT(('[6]Budget révisé'!$A$8:$A$496=$A391)*('[6]Budget révisé'!$C$3:$AO$3=I$2),'[6]Budget révisé'!$C$8:$AO$496)</f>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f>+SUMPRODUCT(('[6]Budget révisé'!$A$8:$A$496=$A392)*('[6]Budget révisé'!$C$3:$AO$3=I$2),'[6]Budget révisé'!$C$8:$AO$496)</f>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f>+SUMPRODUCT(('[6]Budget révisé'!$A$8:$A$496=$A393)*('[6]Budget révisé'!$C$3:$AO$3=I$2),'[6]Budget révisé'!$C$8:$AO$496)</f>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100"/>
      <c r="J399" s="369"/>
      <c r="K399" s="369"/>
      <c r="L399" s="1100"/>
      <c r="M399" s="369"/>
      <c r="N399" s="1100"/>
      <c r="O399" s="369"/>
      <c r="P399" s="369"/>
      <c r="Q399" s="1100"/>
      <c r="R399" s="369"/>
      <c r="S399" s="1100"/>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2942</v>
      </c>
      <c r="M400" s="25"/>
      <c r="N400" s="25"/>
      <c r="O400" s="25"/>
      <c r="P400" s="25"/>
      <c r="Q400" s="25"/>
      <c r="R400" s="23" t="s">
        <v>2943</v>
      </c>
      <c r="S400" s="1101"/>
      <c r="T400" s="1101"/>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2944</v>
      </c>
      <c r="M401" s="1102">
        <f>L50</f>
        <v>27472.54</v>
      </c>
      <c r="N401" s="1102"/>
      <c r="O401" s="1102">
        <f>N50</f>
        <v>-267.83217036345013</v>
      </c>
      <c r="P401" s="23"/>
      <c r="Q401" s="1106">
        <f>-O401+(S405*U401)</f>
        <v>-371.81295631020282</v>
      </c>
      <c r="R401" s="23">
        <v>6132</v>
      </c>
      <c r="S401" s="969">
        <v>0.12</v>
      </c>
      <c r="T401" s="969"/>
      <c r="U401" s="1115">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Mars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2945</v>
      </c>
      <c r="M402" s="1102">
        <f>L51</f>
        <v>19688.650000000001</v>
      </c>
      <c r="N402" s="1102"/>
      <c r="O402" s="1102">
        <f>N51</f>
        <v>-191.95005542713989</v>
      </c>
      <c r="P402" s="1103"/>
      <c r="Q402" s="1106">
        <f>-O402+(S405*U402)</f>
        <v>-266.46228535564467</v>
      </c>
      <c r="R402" s="23">
        <v>6139</v>
      </c>
      <c r="S402" s="1104">
        <v>8.5999999999999993E-2</v>
      </c>
      <c r="T402" s="1104"/>
      <c r="U402" s="1115">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102">
        <f>L52</f>
        <v>13578.76</v>
      </c>
      <c r="N403" s="1102"/>
      <c r="O403" s="1102">
        <f>N52</f>
        <v>8955.3646382727584</v>
      </c>
      <c r="P403" s="1103"/>
      <c r="Q403" s="1106">
        <f>-O403+(S405*U403)</f>
        <v>-9061.9721593850336</v>
      </c>
      <c r="R403" s="23">
        <v>6131</v>
      </c>
      <c r="S403" s="1104">
        <v>0.02</v>
      </c>
      <c r="T403" s="1104"/>
      <c r="U403" s="1115">
        <f>S403/S404</f>
        <v>8.8495575221238951E-2</v>
      </c>
      <c r="V403" s="440"/>
      <c r="W403" s="987"/>
      <c r="X403" s="1140" t="s">
        <v>194</v>
      </c>
      <c r="Y403" s="1133"/>
      <c r="Z403" s="1141"/>
      <c r="AA403" s="1132" t="s">
        <v>145</v>
      </c>
      <c r="AB403" s="1133"/>
      <c r="AC403" s="1141"/>
      <c r="AD403" s="1132" t="s">
        <v>79</v>
      </c>
      <c r="AE403" s="1133"/>
      <c r="AF403" s="1141"/>
      <c r="AG403" s="1132" t="s">
        <v>195</v>
      </c>
      <c r="AH403" s="1133"/>
      <c r="AI403" s="1141"/>
      <c r="AJ403" s="1132" t="s">
        <v>196</v>
      </c>
      <c r="AK403" s="1133"/>
      <c r="AL403" s="1133"/>
      <c r="AM403" s="1132" t="s">
        <v>197</v>
      </c>
      <c r="AN403" s="1133"/>
      <c r="AO403" s="113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2946</v>
      </c>
      <c r="H404" s="23"/>
      <c r="I404" s="23"/>
      <c r="J404" s="23"/>
      <c r="K404" s="23"/>
      <c r="L404" s="969"/>
      <c r="M404" s="1105"/>
      <c r="N404" s="23"/>
      <c r="O404" s="1105">
        <f>SUM(O401:O403)</f>
        <v>8495.5824124821684</v>
      </c>
      <c r="P404" s="1103"/>
      <c r="Q404" s="1106">
        <f>SUM(Q401:Q403)</f>
        <v>-9700.2474010508813</v>
      </c>
      <c r="R404" s="23"/>
      <c r="S404" s="1104">
        <f>SUM(S401:S403)</f>
        <v>0.22599999999999998</v>
      </c>
      <c r="T404" s="1104"/>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2942</v>
      </c>
      <c r="H405" s="23"/>
      <c r="I405" s="23"/>
      <c r="J405" s="1102">
        <f>L31+L32+L42+L43+L44+L45</f>
        <v>221389.06</v>
      </c>
      <c r="K405" s="23">
        <f t="shared" ref="K405:K410" si="200">J405/$J$410</f>
        <v>0.27307038242300935</v>
      </c>
      <c r="L405" s="23" t="s">
        <v>1949</v>
      </c>
      <c r="M405" s="1102">
        <f>SUM(M401:M403)</f>
        <v>60739.950000000004</v>
      </c>
      <c r="N405" s="1107">
        <f>M405/$M$439</f>
        <v>0.32496822140958104</v>
      </c>
      <c r="O405" s="1107">
        <f>K405</f>
        <v>0.27307038242300935</v>
      </c>
      <c r="P405" s="1103">
        <f>O405*$M$439</f>
        <v>51039.702598949123</v>
      </c>
      <c r="Q405" s="1106">
        <f>P405-M405</f>
        <v>-9700.2474010508813</v>
      </c>
      <c r="R405" s="79"/>
      <c r="S405" s="1104">
        <f>O404+Q405</f>
        <v>-1204.6649885687129</v>
      </c>
      <c r="T405" s="1104"/>
      <c r="U405" s="79"/>
      <c r="V405" s="306" t="s">
        <v>88</v>
      </c>
      <c r="W405" s="445"/>
      <c r="X405" s="445"/>
      <c r="Y405" s="445"/>
      <c r="Z405" s="446">
        <f>F5+F93+E193+E249+D313+D361</f>
        <v>7086813.9969284376</v>
      </c>
      <c r="AA405" s="445"/>
      <c r="AB405" s="445"/>
      <c r="AC405" s="446">
        <f>I5+I93+H193+H249+G313+G361</f>
        <v>7086813.9969284376</v>
      </c>
      <c r="AD405" s="447"/>
      <c r="AE405" s="448"/>
      <c r="AF405" s="448">
        <f>L5+L93+K193+K249+J313+J361</f>
        <v>10966952.360000003</v>
      </c>
      <c r="AG405" s="447"/>
      <c r="AH405" s="448"/>
      <c r="AI405" s="449"/>
      <c r="AJ405" s="447"/>
      <c r="AK405" s="448"/>
      <c r="AL405" s="448">
        <f>Q5+Q93+P193+P249+O313+O361</f>
        <v>10991670.25</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102">
        <f>L111+L112+L122+L123+L124+L125</f>
        <v>139867.59999999998</v>
      </c>
      <c r="K406" s="23">
        <f t="shared" si="200"/>
        <v>0.17251845696706286</v>
      </c>
      <c r="L406" s="23" t="s">
        <v>2944</v>
      </c>
      <c r="M406" s="1102">
        <f>L130</f>
        <v>11608.21</v>
      </c>
      <c r="N406" s="1102"/>
      <c r="O406" s="1102">
        <f>N130</f>
        <v>-2456.6290472263827</v>
      </c>
      <c r="P406" s="1103"/>
      <c r="Q406" s="1106">
        <f>-O406+(S410*U406)</f>
        <v>5513.2938803452489</v>
      </c>
      <c r="R406" s="79">
        <v>6232</v>
      </c>
      <c r="S406" s="969">
        <v>0.12</v>
      </c>
      <c r="T406" s="969"/>
      <c r="U406" s="1115">
        <f>S406/S409</f>
        <v>0.53097345132743368</v>
      </c>
      <c r="V406" s="452" t="s">
        <v>205</v>
      </c>
      <c r="W406" s="81"/>
      <c r="X406" s="81"/>
      <c r="Y406" s="81"/>
      <c r="Z406" s="82">
        <f>F27+F107+F193+F249+F313+F361</f>
        <v>1255974.8262090271</v>
      </c>
      <c r="AA406" s="81"/>
      <c r="AB406" s="81"/>
      <c r="AC406" s="82">
        <f>I27+I107+I193+I249+I313+I361</f>
        <v>1321285.2340499158</v>
      </c>
      <c r="AD406" s="83"/>
      <c r="AE406" s="84"/>
      <c r="AF406" s="84">
        <f>L27+L107+L193+L249+L313+L361</f>
        <v>1252492.6100000006</v>
      </c>
      <c r="AG406" s="83"/>
      <c r="AH406" s="84">
        <f>AF406-AC406</f>
        <v>-68792.624049915234</v>
      </c>
      <c r="AI406" s="85">
        <f>AH406/AC406</f>
        <v>-5.2064930627474471E-2</v>
      </c>
      <c r="AJ406" s="83"/>
      <c r="AK406" s="84"/>
      <c r="AL406" s="84">
        <f>Q27+Q107+Q193+Q249+Q313+Q361</f>
        <v>1164558.9099999997</v>
      </c>
      <c r="AM406" s="86"/>
      <c r="AN406" s="84">
        <f>AF406-AL406</f>
        <v>87933.700000000885</v>
      </c>
      <c r="AO406" s="453">
        <f>IF(AL406=0,0,AN406/AL406)</f>
        <v>7.550815956575431E-2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337684.71</v>
      </c>
      <c r="K407" s="23">
        <f t="shared" si="200"/>
        <v>0.41651422567177898</v>
      </c>
      <c r="L407" s="23" t="s">
        <v>2945</v>
      </c>
      <c r="M407" s="1102">
        <f>L131</f>
        <v>8319.2199999999993</v>
      </c>
      <c r="N407" s="1102"/>
      <c r="O407" s="1102">
        <f>N131</f>
        <v>-1760.5813171789068</v>
      </c>
      <c r="P407" s="1103"/>
      <c r="Q407" s="1106">
        <f>-O407+(S410*U407)</f>
        <v>3951.1911142474269</v>
      </c>
      <c r="R407" s="79">
        <v>6239</v>
      </c>
      <c r="S407" s="1104">
        <v>8.5999999999999993E-2</v>
      </c>
      <c r="T407" s="1104"/>
      <c r="U407" s="1115">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2947</v>
      </c>
      <c r="H408" s="23"/>
      <c r="I408" s="23"/>
      <c r="J408" s="1102">
        <f>L253+L254+L255+L256</f>
        <v>24071.83</v>
      </c>
      <c r="K408" s="23">
        <f t="shared" si="200"/>
        <v>2.9691186293133321E-2</v>
      </c>
      <c r="L408" s="23" t="s">
        <v>1252</v>
      </c>
      <c r="M408" s="1102">
        <f>L132</f>
        <v>1934.7</v>
      </c>
      <c r="N408" s="1102"/>
      <c r="O408" s="1102">
        <f>N132</f>
        <v>-409.43984120439723</v>
      </c>
      <c r="P408" s="1103"/>
      <c r="Q408" s="1106">
        <f>-O408+(S410*U408)</f>
        <v>918.88398005754152</v>
      </c>
      <c r="R408" s="79">
        <v>6231</v>
      </c>
      <c r="S408" s="1104">
        <v>0.02</v>
      </c>
      <c r="T408" s="1104"/>
      <c r="U408" s="1115">
        <f>S408/S409</f>
        <v>8.8495575221238951E-2</v>
      </c>
      <c r="V408" s="305" t="s">
        <v>103</v>
      </c>
      <c r="W408" s="460" t="s">
        <v>207</v>
      </c>
      <c r="X408" s="455"/>
      <c r="Y408" s="461">
        <f t="shared" ref="Y408:Y414" si="201">Z408/(D$13+D$96)</f>
        <v>457.26165373722631</v>
      </c>
      <c r="Z408" s="87">
        <f t="shared" ref="Z408:Z417" si="202">+SUMIF($C:$C,$V408,F:F)</f>
        <v>101242.83339712818</v>
      </c>
      <c r="AA408" s="455"/>
      <c r="AB408" s="461">
        <f t="shared" ref="AB408:AB414" si="203">IF(AC408=0,0,AC408/(G$13+G$96))</f>
        <v>460.9780035239184</v>
      </c>
      <c r="AC408" s="87">
        <f t="shared" ref="AC408:AC417" si="204">+SUMIF($C:$C,$V408,I:I)</f>
        <v>102065.67471615062</v>
      </c>
      <c r="AD408" s="462"/>
      <c r="AE408" s="461">
        <f t="shared" ref="AE408:AE413" si="205">IF(AF408=0,0,AF408/(J$13+J$96))</f>
        <v>606.50070754716978</v>
      </c>
      <c r="AF408" s="87">
        <f t="shared" ref="AF408:AF417" si="206">+SUMIF($C:$C,$V408,L:L)</f>
        <v>128578.15</v>
      </c>
      <c r="AG408" s="456">
        <f t="shared" ref="AG408:AH413" si="207">AE408-AB408</f>
        <v>145.52270402325138</v>
      </c>
      <c r="AH408" s="457">
        <f t="shared" si="207"/>
        <v>26512.475283849373</v>
      </c>
      <c r="AI408" s="458">
        <f>IF(AC408=0,0,AH408/AC408)</f>
        <v>0.25975897732104153</v>
      </c>
      <c r="AJ408" s="462"/>
      <c r="AK408" s="457">
        <f t="shared" ref="AK408:AK414" si="208">AL408/(O$13+O$96)</f>
        <v>487.35974358974357</v>
      </c>
      <c r="AL408" s="87">
        <f t="shared" ref="AL408:AL417" si="209">+SUMIF($C:$C,$V408,Q:Q)</f>
        <v>133049.21</v>
      </c>
      <c r="AM408" s="459">
        <f t="shared" ref="AM408:AM413" si="210">AE408-Y408</f>
        <v>149.23905380994347</v>
      </c>
      <c r="AN408" s="457">
        <f t="shared" ref="AN408:AN430" si="211">AF408-AL408</f>
        <v>-4471.0599999999977</v>
      </c>
      <c r="AO408" s="214">
        <f>IF(AL408=0,0,AN408/AL408)</f>
        <v>-3.3604558794449048E-2</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2948</v>
      </c>
      <c r="H409" s="23"/>
      <c r="I409" s="23"/>
      <c r="J409" s="1102">
        <f>L317+L318+L319+L320</f>
        <v>87726.720000000001</v>
      </c>
      <c r="K409" s="23">
        <f t="shared" si="200"/>
        <v>0.10820574864501555</v>
      </c>
      <c r="L409" s="969"/>
      <c r="M409" s="1105">
        <f>SUM(M406:M408)</f>
        <v>21862.13</v>
      </c>
      <c r="N409" s="1105"/>
      <c r="O409" s="1105">
        <f t="shared" ref="O409" si="212">SUM(O406:O408)</f>
        <v>-4626.650205609687</v>
      </c>
      <c r="P409" s="969"/>
      <c r="Q409" s="1106">
        <f>SUM(Q406:Q408)</f>
        <v>10383.368974650217</v>
      </c>
      <c r="R409" s="79"/>
      <c r="S409" s="1104">
        <f>SUM(S406:S408)</f>
        <v>0.22599999999999998</v>
      </c>
      <c r="T409" s="1104"/>
      <c r="U409" s="23"/>
      <c r="V409" s="306" t="s">
        <v>104</v>
      </c>
      <c r="W409" s="463" t="s">
        <v>208</v>
      </c>
      <c r="X409" s="445"/>
      <c r="Y409" s="464">
        <f t="shared" si="201"/>
        <v>355.3767996888011</v>
      </c>
      <c r="Z409" s="446">
        <f t="shared" si="202"/>
        <v>78684.389626894175</v>
      </c>
      <c r="AA409" s="445"/>
      <c r="AB409" s="464">
        <f t="shared" si="203"/>
        <v>355.3767996888011</v>
      </c>
      <c r="AC409" s="446">
        <f t="shared" si="204"/>
        <v>78684.389626894175</v>
      </c>
      <c r="AD409" s="465"/>
      <c r="AE409" s="464">
        <f t="shared" si="205"/>
        <v>347.42839622641503</v>
      </c>
      <c r="AF409" s="446">
        <f t="shared" si="206"/>
        <v>73654.819999999992</v>
      </c>
      <c r="AG409" s="447">
        <f t="shared" si="207"/>
        <v>-7.948403462386068</v>
      </c>
      <c r="AH409" s="448">
        <f t="shared" si="207"/>
        <v>-5029.5696268941829</v>
      </c>
      <c r="AI409" s="466">
        <f t="shared" ref="AI409:AI413" si="213">IF(AC409=0,0,AH409/AC409)</f>
        <v>-6.3920806283729315E-2</v>
      </c>
      <c r="AJ409" s="465"/>
      <c r="AK409" s="448">
        <f t="shared" si="208"/>
        <v>224.27813186813188</v>
      </c>
      <c r="AL409" s="446">
        <f t="shared" si="209"/>
        <v>61227.93</v>
      </c>
      <c r="AM409" s="450">
        <f t="shared" si="210"/>
        <v>-7.948403462386068</v>
      </c>
      <c r="AN409" s="448">
        <f t="shared" si="211"/>
        <v>12426.889999999992</v>
      </c>
      <c r="AO409" s="215">
        <f t="shared" ref="AO409:AO413" si="214">IF(AL409=0,0,AN409/AL409)</f>
        <v>0.20296113228064369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102">
        <f>SUM(J405:J409)</f>
        <v>810739.91999999993</v>
      </c>
      <c r="K410" s="23">
        <f t="shared" si="200"/>
        <v>1</v>
      </c>
      <c r="L410" s="23" t="s">
        <v>155</v>
      </c>
      <c r="M410" s="1105">
        <f>SUM(M406:M408)</f>
        <v>21862.13</v>
      </c>
      <c r="N410" s="1107">
        <f>M409/$M$439</f>
        <v>0.11696581084319371</v>
      </c>
      <c r="O410" s="1107">
        <f>K406</f>
        <v>0.17251845696706286</v>
      </c>
      <c r="P410" s="1103">
        <f>O410*$M$439</f>
        <v>32245.498974650218</v>
      </c>
      <c r="Q410" s="1106">
        <f>P410-M409</f>
        <v>10383.368974650217</v>
      </c>
      <c r="R410" s="79"/>
      <c r="S410" s="1104">
        <f>O409+Q410</f>
        <v>5756.7187690405299</v>
      </c>
      <c r="T410" s="1104"/>
      <c r="U410" s="79"/>
      <c r="V410" s="305" t="s">
        <v>105</v>
      </c>
      <c r="W410" s="460" t="s">
        <v>209</v>
      </c>
      <c r="X410" s="455"/>
      <c r="Y410" s="461">
        <f t="shared" si="201"/>
        <v>165.74533332660468</v>
      </c>
      <c r="Z410" s="87">
        <f t="shared" si="202"/>
        <v>36697.866596047759</v>
      </c>
      <c r="AA410" s="455"/>
      <c r="AB410" s="461">
        <f t="shared" si="203"/>
        <v>165.74533332660468</v>
      </c>
      <c r="AC410" s="87">
        <f t="shared" si="204"/>
        <v>36697.866596047759</v>
      </c>
      <c r="AD410" s="462"/>
      <c r="AE410" s="461">
        <f t="shared" si="205"/>
        <v>126.72735849056602</v>
      </c>
      <c r="AF410" s="87">
        <f t="shared" si="206"/>
        <v>26866.199999999997</v>
      </c>
      <c r="AG410" s="456">
        <f t="shared" si="207"/>
        <v>-39.017974836038661</v>
      </c>
      <c r="AH410" s="457">
        <f t="shared" si="207"/>
        <v>-9831.6665960477621</v>
      </c>
      <c r="AI410" s="458">
        <f t="shared" si="213"/>
        <v>-0.26790839653623355</v>
      </c>
      <c r="AJ410" s="462"/>
      <c r="AK410" s="457">
        <f t="shared" si="208"/>
        <v>132.85871794871795</v>
      </c>
      <c r="AL410" s="87">
        <f t="shared" si="209"/>
        <v>36270.43</v>
      </c>
      <c r="AM410" s="459">
        <f t="shared" si="210"/>
        <v>-39.017974836038661</v>
      </c>
      <c r="AN410" s="457">
        <f t="shared" si="211"/>
        <v>-9404.2300000000032</v>
      </c>
      <c r="AO410" s="214">
        <f t="shared" si="214"/>
        <v>-0.25928090733967046</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2944</v>
      </c>
      <c r="M411" s="1102">
        <f>L205</f>
        <v>40996.26</v>
      </c>
      <c r="N411" s="1102"/>
      <c r="O411" s="1102">
        <f>N205</f>
        <v>-9273.7569280617899</v>
      </c>
      <c r="P411" s="1103"/>
      <c r="Q411" s="1106">
        <f>-O411+(S418*U411)</f>
        <v>340.47611757304912</v>
      </c>
      <c r="R411" s="79">
        <v>6432</v>
      </c>
      <c r="S411" s="969">
        <v>0.12</v>
      </c>
      <c r="T411" s="969"/>
      <c r="U411" s="1115">
        <f>S411/S414</f>
        <v>0.53097345132743368</v>
      </c>
      <c r="V411" s="305" t="s">
        <v>106</v>
      </c>
      <c r="W411" s="460" t="s">
        <v>210</v>
      </c>
      <c r="X411" s="455"/>
      <c r="Y411" s="461">
        <f t="shared" si="201"/>
        <v>37.778408451355389</v>
      </c>
      <c r="Z411" s="87">
        <f t="shared" si="202"/>
        <v>8364.5612563156665</v>
      </c>
      <c r="AA411" s="455"/>
      <c r="AB411" s="461">
        <f t="shared" si="203"/>
        <v>37.778408451355389</v>
      </c>
      <c r="AC411" s="87">
        <f t="shared" si="204"/>
        <v>8364.5612563156665</v>
      </c>
      <c r="AD411" s="462"/>
      <c r="AE411" s="461">
        <f t="shared" si="205"/>
        <v>14.261886792452831</v>
      </c>
      <c r="AF411" s="87">
        <f t="shared" si="206"/>
        <v>3023.52</v>
      </c>
      <c r="AG411" s="456">
        <f t="shared" si="207"/>
        <v>-23.516521658902558</v>
      </c>
      <c r="AH411" s="457">
        <f t="shared" si="207"/>
        <v>-5341.041256315666</v>
      </c>
      <c r="AI411" s="458">
        <f t="shared" si="213"/>
        <v>-0.63853214683351267</v>
      </c>
      <c r="AJ411" s="462"/>
      <c r="AK411" s="457">
        <f t="shared" si="208"/>
        <v>7.6225641025641027</v>
      </c>
      <c r="AL411" s="87">
        <f t="shared" si="209"/>
        <v>2080.96</v>
      </c>
      <c r="AM411" s="459">
        <f t="shared" si="210"/>
        <v>-23.516521658902558</v>
      </c>
      <c r="AN411" s="457">
        <f t="shared" si="211"/>
        <v>942.56</v>
      </c>
      <c r="AO411" s="216">
        <f t="shared" si="214"/>
        <v>0.45294479471013377</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2945</v>
      </c>
      <c r="M412" s="1102">
        <f>L206</f>
        <v>29380.649999999998</v>
      </c>
      <c r="N412" s="1102"/>
      <c r="O412" s="1102">
        <f>N206</f>
        <v>-6646.1954651109518</v>
      </c>
      <c r="P412" s="1103"/>
      <c r="Q412" s="1106">
        <f>-O412+(S418*U412)</f>
        <v>244.01088426068873</v>
      </c>
      <c r="R412" s="79">
        <v>6439</v>
      </c>
      <c r="S412" s="1104">
        <v>8.5999999999999993E-2</v>
      </c>
      <c r="T412" s="1104"/>
      <c r="U412" s="1115">
        <f>S412/S414</f>
        <v>0.38053097345132741</v>
      </c>
      <c r="V412" s="306" t="s">
        <v>107</v>
      </c>
      <c r="W412" s="463"/>
      <c r="X412" s="445"/>
      <c r="Y412" s="464">
        <f t="shared" si="201"/>
        <v>44.971760936186357</v>
      </c>
      <c r="Z412" s="446">
        <f t="shared" si="202"/>
        <v>9957.2497777263779</v>
      </c>
      <c r="AA412" s="445"/>
      <c r="AB412" s="464">
        <f t="shared" si="203"/>
        <v>44.971760936186357</v>
      </c>
      <c r="AC412" s="446">
        <f t="shared" si="204"/>
        <v>9957.2497777263779</v>
      </c>
      <c r="AD412" s="465"/>
      <c r="AE412" s="464">
        <f t="shared" si="205"/>
        <v>40.976415094339622</v>
      </c>
      <c r="AF412" s="446">
        <f t="shared" si="206"/>
        <v>8687</v>
      </c>
      <c r="AG412" s="447">
        <f t="shared" si="207"/>
        <v>-3.9953458418467349</v>
      </c>
      <c r="AH412" s="448">
        <f t="shared" si="207"/>
        <v>-1270.2497777263779</v>
      </c>
      <c r="AI412" s="466">
        <f t="shared" si="213"/>
        <v>-0.12757034382805496</v>
      </c>
      <c r="AJ412" s="465"/>
      <c r="AK412" s="448">
        <f t="shared" si="208"/>
        <v>47.027069597069598</v>
      </c>
      <c r="AL412" s="446">
        <f t="shared" si="209"/>
        <v>12838.39</v>
      </c>
      <c r="AM412" s="450">
        <f t="shared" si="210"/>
        <v>-3.9953458418467349</v>
      </c>
      <c r="AN412" s="448">
        <f t="shared" si="211"/>
        <v>-4151.3899999999994</v>
      </c>
      <c r="AO412" s="215">
        <f t="shared" si="214"/>
        <v>-0.32335752380166044</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102">
        <f>L207</f>
        <v>6832.71</v>
      </c>
      <c r="N413" s="1102"/>
      <c r="O413" s="1102">
        <f>N207</f>
        <v>-1545.6261546769647</v>
      </c>
      <c r="P413" s="1103"/>
      <c r="Q413" s="1106">
        <f>-O413+(S418*U413)</f>
        <v>56.746019595507732</v>
      </c>
      <c r="R413" s="79">
        <v>6431</v>
      </c>
      <c r="S413" s="1104">
        <v>0.02</v>
      </c>
      <c r="T413" s="1104"/>
      <c r="U413" s="1115">
        <f>S413/S414</f>
        <v>8.8495575221238951E-2</v>
      </c>
      <c r="V413" s="305" t="s">
        <v>108</v>
      </c>
      <c r="W413" s="460" t="s">
        <v>211</v>
      </c>
      <c r="X413" s="458"/>
      <c r="Y413" s="461">
        <f t="shared" si="201"/>
        <v>145.00310284090287</v>
      </c>
      <c r="Z413" s="87">
        <f t="shared" si="202"/>
        <v>32105.305273257403</v>
      </c>
      <c r="AA413" s="458"/>
      <c r="AB413" s="461">
        <f t="shared" si="203"/>
        <v>145.00310284090287</v>
      </c>
      <c r="AC413" s="87">
        <f t="shared" si="204"/>
        <v>32105.305273257403</v>
      </c>
      <c r="AD413" s="462"/>
      <c r="AE413" s="461">
        <f t="shared" si="205"/>
        <v>179.84405660377359</v>
      </c>
      <c r="AF413" s="87">
        <f t="shared" si="206"/>
        <v>38126.94</v>
      </c>
      <c r="AG413" s="456">
        <f t="shared" si="207"/>
        <v>34.840953762870726</v>
      </c>
      <c r="AH413" s="457">
        <f t="shared" si="207"/>
        <v>6021.634726742599</v>
      </c>
      <c r="AI413" s="458">
        <f t="shared" si="213"/>
        <v>0.18755886840167846</v>
      </c>
      <c r="AJ413" s="462"/>
      <c r="AK413" s="457">
        <f t="shared" si="208"/>
        <v>116.00732600732601</v>
      </c>
      <c r="AL413" s="87">
        <f t="shared" si="209"/>
        <v>31670</v>
      </c>
      <c r="AM413" s="459">
        <f t="shared" si="210"/>
        <v>34.840953762870726</v>
      </c>
      <c r="AN413" s="457">
        <f t="shared" si="211"/>
        <v>6456.9400000000023</v>
      </c>
      <c r="AO413" s="214">
        <f t="shared" si="214"/>
        <v>0.20388190716766663</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2944</v>
      </c>
      <c r="H414" s="23"/>
      <c r="I414" s="23"/>
      <c r="J414" s="23"/>
      <c r="K414" s="23"/>
      <c r="L414" s="23"/>
      <c r="M414" s="1102">
        <f>SUM(M411:M413)</f>
        <v>77209.62000000001</v>
      </c>
      <c r="N414" s="1102"/>
      <c r="O414" s="1102">
        <f t="shared" ref="O414" si="215">SUM(O411:O413)</f>
        <v>-17465.578547849706</v>
      </c>
      <c r="P414" s="969"/>
      <c r="Q414" s="1106">
        <f>SUM(Q411:Q413)</f>
        <v>641.23302142924558</v>
      </c>
      <c r="R414" s="79"/>
      <c r="S414" s="1104">
        <f>SUM(S411:S413)</f>
        <v>0.22599999999999998</v>
      </c>
      <c r="T414" s="1104"/>
      <c r="U414" s="23"/>
      <c r="V414" s="305" t="s">
        <v>109</v>
      </c>
      <c r="W414" s="460" t="s">
        <v>212</v>
      </c>
      <c r="X414" s="455"/>
      <c r="Y414" s="461">
        <f t="shared" si="201"/>
        <v>206.72630497161455</v>
      </c>
      <c r="Z414" s="87">
        <f t="shared" si="202"/>
        <v>45771.511085582155</v>
      </c>
      <c r="AA414" s="455"/>
      <c r="AB414" s="461">
        <f t="shared" si="203"/>
        <v>207.89087338810523</v>
      </c>
      <c r="AC414" s="87">
        <f t="shared" si="204"/>
        <v>46029.359530136135</v>
      </c>
      <c r="AD414" s="462"/>
      <c r="AE414" s="461">
        <f>IF(AF414=0,0,AF414/(J$13+J$13))</f>
        <v>153.92140000000003</v>
      </c>
      <c r="AF414" s="87">
        <f t="shared" si="206"/>
        <v>38480.350000000006</v>
      </c>
      <c r="AG414" s="456">
        <f t="shared" ref="AG414" si="216">AE414-AB414</f>
        <v>-53.9694733881052</v>
      </c>
      <c r="AH414" s="457">
        <f t="shared" ref="AH414" si="217">AF414-AC414</f>
        <v>-7549.0095301361289</v>
      </c>
      <c r="AI414" s="458">
        <f t="shared" ref="AI414" si="218">IF(AC414=0,0,AH414/AC414)</f>
        <v>-0.16400422702370376</v>
      </c>
      <c r="AJ414" s="462"/>
      <c r="AK414" s="457">
        <f t="shared" si="208"/>
        <v>202.88040293040294</v>
      </c>
      <c r="AL414" s="87">
        <f t="shared" si="209"/>
        <v>55386.35</v>
      </c>
      <c r="AM414" s="459">
        <f t="shared" ref="AM414" si="219">AE414-Y414</f>
        <v>-52.804904971614519</v>
      </c>
      <c r="AN414" s="457">
        <f t="shared" ref="AN414" si="220">AF414-AL414</f>
        <v>-16905.999999999993</v>
      </c>
      <c r="AO414" s="214">
        <f t="shared" ref="AO414" si="221">IF(AL414=0,0,AN414/AL414)</f>
        <v>-0.30523766234821381</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7"/>
      <c r="P415" s="1103"/>
      <c r="Q415" s="1106"/>
      <c r="R415" s="79"/>
      <c r="S415" s="1104">
        <f>O414+Q415</f>
        <v>-17465.578547849706</v>
      </c>
      <c r="T415" s="1104"/>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7"/>
      <c r="P416" s="1103"/>
      <c r="Q416" s="1106"/>
      <c r="R416" s="79"/>
      <c r="S416" s="1104"/>
      <c r="T416" s="1104"/>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7"/>
      <c r="P417" s="1103"/>
      <c r="Q417" s="1106"/>
      <c r="R417" s="79"/>
      <c r="S417" s="1104"/>
      <c r="T417" s="1104"/>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2949</v>
      </c>
      <c r="H418" s="23"/>
      <c r="I418" s="23"/>
      <c r="J418" s="23"/>
      <c r="K418" s="23"/>
      <c r="L418" s="23" t="s">
        <v>2947</v>
      </c>
      <c r="M418" s="1102">
        <f>SUM(M411:M413)</f>
        <v>77209.62000000001</v>
      </c>
      <c r="N418" s="1107">
        <f>M414/$M$439</f>
        <v>0.41308352883250016</v>
      </c>
      <c r="O418" s="1107">
        <f>K407</f>
        <v>0.41651422567177898</v>
      </c>
      <c r="P418" s="1103">
        <f>O418*$M$439</f>
        <v>77850.853021429255</v>
      </c>
      <c r="Q418" s="1106">
        <f>P418-M414</f>
        <v>641.23302142924513</v>
      </c>
      <c r="R418" s="79"/>
      <c r="S418" s="1104">
        <f>O414+Q418</f>
        <v>-16824.34552642046</v>
      </c>
      <c r="T418" s="1104"/>
      <c r="U418" s="79"/>
      <c r="V418" s="467" t="s">
        <v>110</v>
      </c>
      <c r="W418" s="88"/>
      <c r="X418" s="89">
        <f>Z418/Z406</f>
        <v>0.2490684609954831</v>
      </c>
      <c r="Y418" s="88"/>
      <c r="Z418" s="90">
        <f>SUM(Z408:Z417)</f>
        <v>312823.71701295173</v>
      </c>
      <c r="AA418" s="89">
        <f>AC418/AC406</f>
        <v>0.23757505093307466</v>
      </c>
      <c r="AB418" s="88"/>
      <c r="AC418" s="90">
        <f>SUM(AC408:AC417)</f>
        <v>313904.40677652822</v>
      </c>
      <c r="AD418" s="91">
        <f>AF418/AF406</f>
        <v>0.2534282258160388</v>
      </c>
      <c r="AE418" s="88"/>
      <c r="AF418" s="90">
        <f>SUM(AF408:AF417)</f>
        <v>317416.98</v>
      </c>
      <c r="AG418" s="92"/>
      <c r="AH418" s="93">
        <f>AF418-AC418</f>
        <v>3512.573223471758</v>
      </c>
      <c r="AI418" s="89">
        <f>AH418/AC418</f>
        <v>1.1189945561906032E-2</v>
      </c>
      <c r="AJ418" s="91">
        <f>IF($AL$406=0,0,AL418/$AL$406)</f>
        <v>0.28553580857493938</v>
      </c>
      <c r="AK418" s="88"/>
      <c r="AL418" s="90">
        <f>SUM(AL408:AL417)</f>
        <v>332523.26999999996</v>
      </c>
      <c r="AM418" s="94"/>
      <c r="AN418" s="93">
        <f t="shared" si="211"/>
        <v>-15106.289999999979</v>
      </c>
      <c r="AO418" s="453">
        <f>IF(AL418=0,0,AN418/AL418)</f>
        <v>-4.5429271761943099E-2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2944</v>
      </c>
      <c r="M419" s="95">
        <f>L261</f>
        <v>2912.1</v>
      </c>
      <c r="N419" s="95"/>
      <c r="O419" s="95">
        <f>N261</f>
        <v>147.62963753489703</v>
      </c>
      <c r="P419" s="1103"/>
      <c r="Q419" s="1106">
        <f>-O419+(S423*U419)</f>
        <v>34.586228633445046</v>
      </c>
      <c r="R419" s="79">
        <v>6532</v>
      </c>
      <c r="S419" s="969">
        <v>0.12</v>
      </c>
      <c r="T419" s="969"/>
      <c r="U419" s="1115">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8750.01</v>
      </c>
      <c r="AG419" s="456"/>
      <c r="AH419" s="457">
        <f t="shared" ref="AH419:AH430" si="232">AF419-AC419</f>
        <v>8750.01</v>
      </c>
      <c r="AI419" s="458">
        <f>IF(AC419=0,0,AH419/AC419)</f>
        <v>0</v>
      </c>
      <c r="AJ419" s="462"/>
      <c r="AK419" s="455"/>
      <c r="AL419" s="87">
        <f>SUMIFS(BV_Data_An_Prec!$P:$P,BV_Data_An_Prec!$V:$V,$V419)</f>
        <v>26894.91</v>
      </c>
      <c r="AM419" s="459"/>
      <c r="AN419" s="457">
        <f t="shared" si="211"/>
        <v>-18144.900000000001</v>
      </c>
      <c r="AO419" s="214">
        <f t="shared" ref="AO419:AO430" si="233">IF(AL419=0,0,AN419/AL419)</f>
        <v>-0.67465925708619223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2945</v>
      </c>
      <c r="M420" s="95">
        <f>L262</f>
        <v>2087</v>
      </c>
      <c r="N420" s="95"/>
      <c r="O420" s="95">
        <f>N262</f>
        <v>105.79624023334281</v>
      </c>
      <c r="P420" s="1103"/>
      <c r="Q420" s="1106">
        <f>-O420+(S423*U420)</f>
        <v>24.791797187302308</v>
      </c>
      <c r="R420" s="79">
        <v>6539</v>
      </c>
      <c r="S420" s="1104">
        <v>8.5999999999999993E-2</v>
      </c>
      <c r="T420" s="1104"/>
      <c r="U420" s="1115">
        <f>S420/S422</f>
        <v>0.38053097345132741</v>
      </c>
      <c r="V420" s="305" t="s">
        <v>112</v>
      </c>
      <c r="W420" s="460" t="s">
        <v>215</v>
      </c>
      <c r="X420" s="455"/>
      <c r="Y420" s="455"/>
      <c r="Z420" s="87">
        <f t="shared" ref="Z420:Z431" si="234">+SUMIF($C:$C,$V420,F:F)</f>
        <v>157771.72304201373</v>
      </c>
      <c r="AA420" s="455"/>
      <c r="AB420" s="455"/>
      <c r="AC420" s="87">
        <f t="shared" ref="AC420:AC431" si="235">+SUMIF($C:$C,$V420,I:I)</f>
        <v>157771.72304201373</v>
      </c>
      <c r="AD420" s="462"/>
      <c r="AE420" s="461"/>
      <c r="AF420" s="87">
        <f t="shared" ref="AF420:AF431" si="236">+SUMIF($C:$C,$V420,L:L)</f>
        <v>149851.76999999999</v>
      </c>
      <c r="AG420" s="456"/>
      <c r="AH420" s="457">
        <f t="shared" si="232"/>
        <v>-7919.9530420137453</v>
      </c>
      <c r="AI420" s="458">
        <f t="shared" ref="AI420:AI430" si="237">IF(AC420=0,0,AH420/AC420)</f>
        <v>-5.0198811861265569E-2</v>
      </c>
      <c r="AJ420" s="462"/>
      <c r="AK420" s="455"/>
      <c r="AL420" s="87">
        <f t="shared" ref="AL420:AL431" si="238">+SUMIF($C:$C,$V420,Q:Q)</f>
        <v>163622.33000000002</v>
      </c>
      <c r="AM420" s="459"/>
      <c r="AN420" s="457">
        <f t="shared" si="211"/>
        <v>-13770.560000000027</v>
      </c>
      <c r="AO420" s="214">
        <f t="shared" si="233"/>
        <v>-8.4160639932214787E-2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485.35</v>
      </c>
      <c r="N421" s="95"/>
      <c r="O421" s="95">
        <f>N263</f>
        <v>24.604939589149467</v>
      </c>
      <c r="P421" s="1108"/>
      <c r="Q421" s="1106">
        <f>-O421+(S423*U421)</f>
        <v>5.7643714389075456</v>
      </c>
      <c r="R421" s="79">
        <v>6531</v>
      </c>
      <c r="S421" s="1104">
        <v>0.02</v>
      </c>
      <c r="T421" s="1104"/>
      <c r="U421" s="1115">
        <f>S421/S422</f>
        <v>8.8495575221238951E-2</v>
      </c>
      <c r="V421" s="306" t="s">
        <v>113</v>
      </c>
      <c r="W421" s="463" t="s">
        <v>216</v>
      </c>
      <c r="X421" s="445"/>
      <c r="Y421" s="445"/>
      <c r="Z421" s="446">
        <f t="shared" si="234"/>
        <v>76902.695390651352</v>
      </c>
      <c r="AA421" s="445"/>
      <c r="AB421" s="445"/>
      <c r="AC421" s="446">
        <f t="shared" si="235"/>
        <v>76902.695390651352</v>
      </c>
      <c r="AD421" s="465"/>
      <c r="AE421" s="464"/>
      <c r="AF421" s="446">
        <f t="shared" si="236"/>
        <v>64514.31</v>
      </c>
      <c r="AG421" s="447"/>
      <c r="AH421" s="448">
        <f t="shared" si="232"/>
        <v>-12388.385390651354</v>
      </c>
      <c r="AI421" s="466">
        <f t="shared" si="237"/>
        <v>-0.16109169292078343</v>
      </c>
      <c r="AJ421" s="465"/>
      <c r="AK421" s="445"/>
      <c r="AL421" s="446">
        <f t="shared" si="238"/>
        <v>72918.259999999995</v>
      </c>
      <c r="AM421" s="450"/>
      <c r="AN421" s="448">
        <f t="shared" si="211"/>
        <v>-8403.9499999999971</v>
      </c>
      <c r="AO421" s="451">
        <f t="shared" si="233"/>
        <v>-0.11525165301530779</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5484.4500000000007</v>
      </c>
      <c r="N422" s="96"/>
      <c r="O422" s="96">
        <f t="shared" ref="O422" si="239">SUM(O419:O421)</f>
        <v>278.03081735738931</v>
      </c>
      <c r="P422" s="969"/>
      <c r="Q422" s="1106">
        <f>SUM(Q419:Q421)</f>
        <v>65.142397259654899</v>
      </c>
      <c r="R422" s="79"/>
      <c r="S422" s="1104">
        <f>SUM(S419:S421)</f>
        <v>0.22599999999999998</v>
      </c>
      <c r="T422" s="1104"/>
      <c r="U422" s="23"/>
      <c r="V422" s="280" t="s">
        <v>114</v>
      </c>
      <c r="W422" s="460" t="s">
        <v>217</v>
      </c>
      <c r="X422" s="455"/>
      <c r="Y422" s="455"/>
      <c r="Z422" s="87">
        <f t="shared" si="234"/>
        <v>133078.37936698849</v>
      </c>
      <c r="AA422" s="455"/>
      <c r="AB422" s="455"/>
      <c r="AC422" s="87">
        <f t="shared" si="235"/>
        <v>133078.37936698849</v>
      </c>
      <c r="AD422" s="462"/>
      <c r="AE422" s="461"/>
      <c r="AF422" s="87">
        <f t="shared" si="236"/>
        <v>145514.43</v>
      </c>
      <c r="AG422" s="456"/>
      <c r="AH422" s="457">
        <f t="shared" si="232"/>
        <v>12436.050633011502</v>
      </c>
      <c r="AI422" s="458">
        <f t="shared" si="237"/>
        <v>9.3449068828203641E-2</v>
      </c>
      <c r="AJ422" s="462"/>
      <c r="AK422" s="455"/>
      <c r="AL422" s="87">
        <f t="shared" si="238"/>
        <v>135752.61000000002</v>
      </c>
      <c r="AM422" s="459"/>
      <c r="AN422" s="457">
        <f t="shared" si="211"/>
        <v>9761.8199999999779</v>
      </c>
      <c r="AO422" s="214">
        <f t="shared" si="233"/>
        <v>7.1908893685358813E-2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5484.4500000000007</v>
      </c>
      <c r="N423" s="1107">
        <f>M422/$M$439</f>
        <v>2.9342664291125968E-2</v>
      </c>
      <c r="O423" s="1109">
        <f>K408</f>
        <v>2.9691186293133321E-2</v>
      </c>
      <c r="P423" s="1103">
        <f>O423*$M$439</f>
        <v>5549.5923972596556</v>
      </c>
      <c r="Q423" s="1106">
        <f>P423-M422</f>
        <v>65.142397259654899</v>
      </c>
      <c r="R423" s="79"/>
      <c r="S423" s="1104">
        <f>O422+Q423</f>
        <v>343.17321461704421</v>
      </c>
      <c r="T423" s="1104"/>
      <c r="U423" s="79"/>
      <c r="V423" s="280" t="s">
        <v>115</v>
      </c>
      <c r="W423" s="460" t="s">
        <v>218</v>
      </c>
      <c r="X423" s="455"/>
      <c r="Y423" s="455"/>
      <c r="Z423" s="87">
        <f t="shared" si="234"/>
        <v>102655.83588045978</v>
      </c>
      <c r="AA423" s="455"/>
      <c r="AB423" s="455"/>
      <c r="AC423" s="87">
        <f t="shared" si="235"/>
        <v>102655.83588045978</v>
      </c>
      <c r="AD423" s="462"/>
      <c r="AE423" s="461"/>
      <c r="AF423" s="87">
        <f t="shared" si="236"/>
        <v>69610.739999999991</v>
      </c>
      <c r="AG423" s="456"/>
      <c r="AH423" s="457">
        <f t="shared" si="232"/>
        <v>-33045.09588045979</v>
      </c>
      <c r="AI423" s="458">
        <f t="shared" si="237"/>
        <v>-0.32190177593936303</v>
      </c>
      <c r="AJ423" s="462"/>
      <c r="AK423" s="455"/>
      <c r="AL423" s="87">
        <f t="shared" si="238"/>
        <v>72341.73</v>
      </c>
      <c r="AM423" s="459"/>
      <c r="AN423" s="457">
        <f t="shared" si="211"/>
        <v>-2730.9900000000052</v>
      </c>
      <c r="AO423" s="214">
        <f t="shared" si="233"/>
        <v>-3.7751239844554522E-2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9"/>
      <c r="P424" s="1108"/>
      <c r="Q424" s="1113"/>
      <c r="R424" s="79"/>
      <c r="S424" s="1104"/>
      <c r="T424" s="1104"/>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9"/>
      <c r="P425" s="1108"/>
      <c r="Q425" s="1113"/>
      <c r="R425" s="79"/>
      <c r="S425" s="1104"/>
      <c r="T425" s="1104"/>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9"/>
      <c r="P426" s="1108"/>
      <c r="Q426" s="1113"/>
      <c r="R426" s="79"/>
      <c r="S426" s="1104"/>
      <c r="T426" s="1104"/>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2948</v>
      </c>
      <c r="M427" s="96"/>
      <c r="N427" s="57"/>
      <c r="O427" s="1109"/>
      <c r="P427" s="1108"/>
      <c r="Q427" s="1113"/>
      <c r="R427" s="79"/>
      <c r="S427" s="1104"/>
      <c r="T427" s="1104"/>
      <c r="U427" s="79"/>
      <c r="V427" s="282" t="s">
        <v>116</v>
      </c>
      <c r="W427" s="463" t="s">
        <v>219</v>
      </c>
      <c r="X427" s="445"/>
      <c r="Y427" s="445"/>
      <c r="Z427" s="446">
        <f t="shared" si="234"/>
        <v>105339.76520449629</v>
      </c>
      <c r="AA427" s="445"/>
      <c r="AB427" s="445"/>
      <c r="AC427" s="446">
        <f t="shared" si="235"/>
        <v>105438.50616277898</v>
      </c>
      <c r="AD427" s="465"/>
      <c r="AE427" s="464"/>
      <c r="AF427" s="446">
        <f t="shared" si="236"/>
        <v>89353.639999999985</v>
      </c>
      <c r="AG427" s="447"/>
      <c r="AH427" s="448">
        <f t="shared" si="232"/>
        <v>-16084.866162778999</v>
      </c>
      <c r="AI427" s="466">
        <f t="shared" si="237"/>
        <v>-0.15255210594454668</v>
      </c>
      <c r="AJ427" s="465"/>
      <c r="AK427" s="445"/>
      <c r="AL427" s="446">
        <f t="shared" si="238"/>
        <v>109966.01</v>
      </c>
      <c r="AM427" s="450"/>
      <c r="AN427" s="448">
        <f t="shared" si="211"/>
        <v>-20612.37000000001</v>
      </c>
      <c r="AO427" s="215">
        <f t="shared" si="233"/>
        <v>-0.18744310173661854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2944</v>
      </c>
      <c r="M428" s="96">
        <f>L325</f>
        <v>115.87</v>
      </c>
      <c r="N428" s="96"/>
      <c r="O428" s="96">
        <f>N325</f>
        <v>-10482.937654662244</v>
      </c>
      <c r="P428" s="1108"/>
      <c r="Q428" s="1106">
        <f>-O428+(S432*U428)</f>
        <v>10622.952835953156</v>
      </c>
      <c r="R428" s="79">
        <v>6732</v>
      </c>
      <c r="S428" s="969">
        <v>0.12</v>
      </c>
      <c r="T428" s="969"/>
      <c r="U428" s="1115">
        <f>S428/S431</f>
        <v>0.53097345132743368</v>
      </c>
      <c r="V428" s="280" t="s">
        <v>117</v>
      </c>
      <c r="W428" s="460" t="s">
        <v>220</v>
      </c>
      <c r="X428" s="455"/>
      <c r="Y428" s="455"/>
      <c r="Z428" s="87">
        <f t="shared" si="234"/>
        <v>105339.76520449629</v>
      </c>
      <c r="AA428" s="455"/>
      <c r="AB428" s="455"/>
      <c r="AC428" s="87">
        <f t="shared" si="235"/>
        <v>105438.50616277898</v>
      </c>
      <c r="AD428" s="462"/>
      <c r="AE428" s="461"/>
      <c r="AF428" s="87">
        <f t="shared" si="236"/>
        <v>83104.98000000001</v>
      </c>
      <c r="AG428" s="456"/>
      <c r="AH428" s="457">
        <f t="shared" si="232"/>
        <v>-22333.526162778973</v>
      </c>
      <c r="AI428" s="458">
        <f t="shared" si="237"/>
        <v>-0.21181565421934029</v>
      </c>
      <c r="AJ428" s="462"/>
      <c r="AK428" s="455"/>
      <c r="AL428" s="87">
        <f t="shared" si="238"/>
        <v>87866.35</v>
      </c>
      <c r="AM428" s="459"/>
      <c r="AN428" s="457">
        <f t="shared" si="211"/>
        <v>-4761.3699999999953</v>
      </c>
      <c r="AO428" s="214">
        <f t="shared" si="233"/>
        <v>-5.4188776477001661E-2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2945</v>
      </c>
      <c r="M429" s="96">
        <f>L326</f>
        <v>7624.96</v>
      </c>
      <c r="N429" s="96"/>
      <c r="O429" s="96">
        <f>N326</f>
        <v>29.147847492057736</v>
      </c>
      <c r="P429" s="1108"/>
      <c r="Q429" s="1106">
        <f>-O429+(S432*U429)</f>
        <v>71.196365766428784</v>
      </c>
      <c r="R429" s="79">
        <v>6739</v>
      </c>
      <c r="S429" s="1104">
        <v>8.5999999999999993E-2</v>
      </c>
      <c r="T429" s="1104"/>
      <c r="U429" s="1115">
        <f>S429/S431</f>
        <v>0.38053097345132741</v>
      </c>
      <c r="V429" s="280" t="s">
        <v>118</v>
      </c>
      <c r="W429" s="460" t="s">
        <v>221</v>
      </c>
      <c r="X429" s="455"/>
      <c r="Y429" s="455"/>
      <c r="Z429" s="87">
        <f t="shared" si="234"/>
        <v>75493.498396555675</v>
      </c>
      <c r="AA429" s="455"/>
      <c r="AB429" s="455"/>
      <c r="AC429" s="87">
        <f t="shared" si="235"/>
        <v>75564.262749991613</v>
      </c>
      <c r="AD429" s="462"/>
      <c r="AE429" s="461"/>
      <c r="AF429" s="87">
        <f t="shared" si="236"/>
        <v>67100.48000000001</v>
      </c>
      <c r="AG429" s="456"/>
      <c r="AH429" s="457">
        <f t="shared" si="232"/>
        <v>-8463.782749991602</v>
      </c>
      <c r="AI429" s="458">
        <f t="shared" si="237"/>
        <v>-0.11200774601605627</v>
      </c>
      <c r="AJ429" s="462"/>
      <c r="AK429" s="455"/>
      <c r="AL429" s="87">
        <f t="shared" si="238"/>
        <v>72105.540000000008</v>
      </c>
      <c r="AM429" s="459"/>
      <c r="AN429" s="457">
        <f t="shared" si="211"/>
        <v>-5005.0599999999977</v>
      </c>
      <c r="AO429" s="214">
        <f t="shared" si="233"/>
        <v>-6.9412974370623909E-2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13873.450000000003</v>
      </c>
      <c r="N430" s="96"/>
      <c r="O430" s="96">
        <f>N327</f>
        <v>12106.982057556295</v>
      </c>
      <c r="P430" s="1108"/>
      <c r="Q430" s="1106">
        <f>-O430+(S432*U430)</f>
        <v>-12083.64619400781</v>
      </c>
      <c r="R430" s="79">
        <v>6731</v>
      </c>
      <c r="S430" s="1104">
        <v>0.02</v>
      </c>
      <c r="T430" s="1104"/>
      <c r="U430" s="1115">
        <f>S430/S431</f>
        <v>8.8495575221238951E-2</v>
      </c>
      <c r="V430" s="280" t="s">
        <v>119</v>
      </c>
      <c r="W430" s="460"/>
      <c r="X430" s="455"/>
      <c r="Y430" s="455"/>
      <c r="Z430" s="87">
        <f t="shared" si="234"/>
        <v>17556.627534082716</v>
      </c>
      <c r="AA430" s="455"/>
      <c r="AB430" s="455"/>
      <c r="AC430" s="87">
        <f t="shared" si="235"/>
        <v>17573.084360463163</v>
      </c>
      <c r="AD430" s="462"/>
      <c r="AE430" s="461"/>
      <c r="AF430" s="87">
        <f t="shared" si="236"/>
        <v>36704.97</v>
      </c>
      <c r="AG430" s="456"/>
      <c r="AH430" s="457">
        <f t="shared" si="232"/>
        <v>19131.885639536838</v>
      </c>
      <c r="AI430" s="97">
        <f t="shared" si="237"/>
        <v>1.0887039091771931</v>
      </c>
      <c r="AJ430" s="462"/>
      <c r="AK430" s="455"/>
      <c r="AL430" s="87">
        <f t="shared" si="238"/>
        <v>37321.479999999996</v>
      </c>
      <c r="AM430" s="459"/>
      <c r="AN430" s="457">
        <f t="shared" si="211"/>
        <v>-616.50999999999476</v>
      </c>
      <c r="AO430" s="214">
        <f t="shared" si="233"/>
        <v>-1.6518905466771275E-2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3"/>
      <c r="Q431" s="1106">
        <f>SUM(Q428:Q430)</f>
        <v>-1389.4969922882246</v>
      </c>
      <c r="R431" s="79"/>
      <c r="S431" s="1104">
        <f>SUM(S428:S430)</f>
        <v>0.22599999999999998</v>
      </c>
      <c r="T431" s="1104"/>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9"/>
      <c r="M432" s="969"/>
      <c r="N432" s="969"/>
      <c r="O432" s="1110">
        <f>SUM(O428:O431)</f>
        <v>1653.1922503861097</v>
      </c>
      <c r="P432" s="969"/>
      <c r="Q432" s="1114">
        <f>SUM(Q428:Q430)</f>
        <v>-1389.4969922882246</v>
      </c>
      <c r="R432" s="79"/>
      <c r="S432" s="1104">
        <f>Q433+O432</f>
        <v>263.6952580978832</v>
      </c>
      <c r="T432" s="1104"/>
      <c r="U432" s="79"/>
      <c r="V432" s="467" t="s">
        <v>120</v>
      </c>
      <c r="W432" s="88"/>
      <c r="X432" s="89">
        <f>Z432/Z406</f>
        <v>0.61636449542254401</v>
      </c>
      <c r="Y432" s="88"/>
      <c r="Z432" s="90">
        <f>SUM(Z419:Z431)</f>
        <v>774138.29001974443</v>
      </c>
      <c r="AA432" s="89">
        <f>AC432/AC406</f>
        <v>0.58611340924655309</v>
      </c>
      <c r="AB432" s="88"/>
      <c r="AC432" s="90">
        <f>SUM(AC419:AC431)</f>
        <v>774422.99311612605</v>
      </c>
      <c r="AD432" s="91">
        <f>AF432/AF406</f>
        <v>0.57046670319276349</v>
      </c>
      <c r="AE432" s="98"/>
      <c r="AF432" s="90">
        <f>SUM(AF419:AF431)</f>
        <v>714505.33</v>
      </c>
      <c r="AG432" s="99"/>
      <c r="AH432" s="93">
        <f t="shared" ref="AH432:AH446" si="244">AF432-AC432</f>
        <v>-59917.663116126088</v>
      </c>
      <c r="AI432" s="89">
        <f>AH432/AC432</f>
        <v>-7.7370718133031119E-2</v>
      </c>
      <c r="AJ432" s="91">
        <f>IF($AL$406=0,0,AL432/$AL$406)</f>
        <v>0.66874179855787641</v>
      </c>
      <c r="AK432" s="88"/>
      <c r="AL432" s="90">
        <f>SUM(AL419:AL431)</f>
        <v>778789.22</v>
      </c>
      <c r="AM432" s="100"/>
      <c r="AN432" s="93">
        <f t="shared" ref="AN432:AN446" si="245">AF432-AL432</f>
        <v>-64283.890000000014</v>
      </c>
      <c r="AO432" s="453">
        <f>IF(AL432=0,0,AN432/AL432)</f>
        <v>-8.2543374187947827E-2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10">
        <f>SUM(M428:M431)</f>
        <v>21614.280000000002</v>
      </c>
      <c r="N433" s="1107">
        <f>M433/$M$439</f>
        <v>0.11563977462359912</v>
      </c>
      <c r="O433" s="1111">
        <f>K409</f>
        <v>0.10820574864501555</v>
      </c>
      <c r="P433" s="1103">
        <f>O433*$M$439</f>
        <v>20224.783007711776</v>
      </c>
      <c r="Q433" s="1106">
        <f>P433-M433</f>
        <v>-1389.4969922882265</v>
      </c>
      <c r="R433" s="79"/>
      <c r="S433" s="969"/>
      <c r="T433" s="969"/>
      <c r="U433" s="79"/>
      <c r="V433" s="300" t="s">
        <v>121</v>
      </c>
      <c r="W433" s="468" t="s">
        <v>211</v>
      </c>
      <c r="X433" s="469"/>
      <c r="Y433" s="469"/>
      <c r="Z433" s="470">
        <f t="shared" ref="Z433:Z450" si="246">+SUMIF($C:$C,$V433,F:F)</f>
        <v>32645.5</v>
      </c>
      <c r="AA433" s="469"/>
      <c r="AB433" s="469"/>
      <c r="AC433" s="470">
        <f t="shared" ref="AC433:AC450" si="247">+SUMIF($C:$C,$V433,I:I)</f>
        <v>32645.5</v>
      </c>
      <c r="AD433" s="471"/>
      <c r="AE433" s="472"/>
      <c r="AF433" s="470">
        <f t="shared" ref="AF433:AF446" si="248">+SUMIF($C:$C,$V433,L:L)</f>
        <v>35704.57</v>
      </c>
      <c r="AG433" s="471"/>
      <c r="AH433" s="473">
        <f t="shared" si="244"/>
        <v>3059.0699999999997</v>
      </c>
      <c r="AI433" s="474">
        <f>IF(AC433=0,0,AH433/AC433)</f>
        <v>9.3705717480203995E-2</v>
      </c>
      <c r="AJ433" s="471"/>
      <c r="AK433" s="469"/>
      <c r="AL433" s="470">
        <f t="shared" ref="AL433:AL450" si="249">+SUMIF($C:$C,$V433,Q:Q)</f>
        <v>56557.75</v>
      </c>
      <c r="AM433" s="475"/>
      <c r="AN433" s="473">
        <f t="shared" si="245"/>
        <v>-20853.18</v>
      </c>
      <c r="AO433" s="213">
        <f t="shared" ref="AO433:AO446" si="250">IF(AL433=0,0,AN433/AL433)</f>
        <v>-0.36870596867803263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9"/>
      <c r="O434" s="1109"/>
      <c r="P434" s="1112"/>
      <c r="Q434" s="1113"/>
      <c r="R434" s="79"/>
      <c r="S434" s="969"/>
      <c r="T434" s="969"/>
      <c r="U434" s="79"/>
      <c r="V434" s="305" t="s">
        <v>122</v>
      </c>
      <c r="W434" s="460" t="s">
        <v>222</v>
      </c>
      <c r="X434" s="455"/>
      <c r="Y434" s="455"/>
      <c r="Z434" s="87">
        <f t="shared" si="246"/>
        <v>13817.867784173815</v>
      </c>
      <c r="AA434" s="455"/>
      <c r="AB434" s="455"/>
      <c r="AC434" s="87">
        <f t="shared" si="247"/>
        <v>13817.867784173815</v>
      </c>
      <c r="AD434" s="462"/>
      <c r="AE434" s="461"/>
      <c r="AF434" s="87">
        <f t="shared" si="248"/>
        <v>7824.2599999999993</v>
      </c>
      <c r="AG434" s="456"/>
      <c r="AH434" s="457">
        <f t="shared" si="244"/>
        <v>-5993.6077841738161</v>
      </c>
      <c r="AI434" s="458">
        <f t="shared" ref="AI434:AI446" si="251">IF(AC434=0,0,AH434/AC434)</f>
        <v>-0.43375778939197457</v>
      </c>
      <c r="AJ434" s="462"/>
      <c r="AK434" s="455"/>
      <c r="AL434" s="87">
        <f t="shared" si="249"/>
        <v>11535.05</v>
      </c>
      <c r="AM434" s="459"/>
      <c r="AN434" s="457">
        <f t="shared" si="245"/>
        <v>-3710.79</v>
      </c>
      <c r="AO434" s="214">
        <f t="shared" si="250"/>
        <v>-0.32169691505455117</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2944</v>
      </c>
      <c r="M435" s="96">
        <f>M401+M406+M411+M419+M428</f>
        <v>83104.98000000001</v>
      </c>
      <c r="N435" s="96"/>
      <c r="O435" s="96">
        <f t="shared" ref="O435:O437" si="252">O401+O406+O411+O419+O428</f>
        <v>-22333.52616277897</v>
      </c>
      <c r="P435" s="1112"/>
      <c r="Q435" s="1113">
        <f>Q401+Q406+Q411+Q419+Q428</f>
        <v>16139.496106194696</v>
      </c>
      <c r="R435" s="79"/>
      <c r="S435" s="969"/>
      <c r="T435" s="969"/>
      <c r="U435" s="79"/>
      <c r="V435" s="306" t="s">
        <v>123</v>
      </c>
      <c r="W435" s="463" t="s">
        <v>223</v>
      </c>
      <c r="X435" s="445"/>
      <c r="Y435" s="445"/>
      <c r="Z435" s="446">
        <f t="shared" si="246"/>
        <v>79957.312500000015</v>
      </c>
      <c r="AA435" s="445"/>
      <c r="AB435" s="445"/>
      <c r="AC435" s="446">
        <f t="shared" si="247"/>
        <v>79957.312500000015</v>
      </c>
      <c r="AD435" s="465"/>
      <c r="AE435" s="464"/>
      <c r="AF435" s="446">
        <f t="shared" si="248"/>
        <v>60450.209999999992</v>
      </c>
      <c r="AG435" s="447"/>
      <c r="AH435" s="448">
        <f t="shared" si="244"/>
        <v>-19507.102500000023</v>
      </c>
      <c r="AI435" s="466">
        <f t="shared" si="251"/>
        <v>-0.24396896156308429</v>
      </c>
      <c r="AJ435" s="465"/>
      <c r="AK435" s="445"/>
      <c r="AL435" s="446">
        <f t="shared" si="249"/>
        <v>85770.74</v>
      </c>
      <c r="AM435" s="450"/>
      <c r="AN435" s="448">
        <f t="shared" si="245"/>
        <v>-25320.530000000013</v>
      </c>
      <c r="AO435" s="451">
        <f t="shared" si="250"/>
        <v>-0.29521174703634379</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2945</v>
      </c>
      <c r="M436" s="96">
        <f>M402+M407+M412+M420+M429</f>
        <v>67100.48000000001</v>
      </c>
      <c r="N436" s="96"/>
      <c r="O436" s="96">
        <f t="shared" si="252"/>
        <v>-8463.7827499915984</v>
      </c>
      <c r="P436" s="1112"/>
      <c r="Q436" s="1113">
        <f>Q402+Q407+Q412+Q420+Q429</f>
        <v>4024.7278761062016</v>
      </c>
      <c r="R436" s="79"/>
      <c r="S436" s="969"/>
      <c r="T436" s="969"/>
      <c r="U436" s="79"/>
      <c r="V436" s="305" t="s">
        <v>124</v>
      </c>
      <c r="W436" s="460" t="s">
        <v>224</v>
      </c>
      <c r="X436" s="455"/>
      <c r="Y436" s="455"/>
      <c r="Z436" s="87">
        <f t="shared" si="246"/>
        <v>58449.340000000004</v>
      </c>
      <c r="AA436" s="455"/>
      <c r="AB436" s="455"/>
      <c r="AC436" s="87">
        <f t="shared" si="247"/>
        <v>58449.340000000004</v>
      </c>
      <c r="AD436" s="462"/>
      <c r="AE436" s="461"/>
      <c r="AF436" s="87">
        <f t="shared" si="248"/>
        <v>51103.839999999997</v>
      </c>
      <c r="AG436" s="456"/>
      <c r="AH436" s="457">
        <f t="shared" si="244"/>
        <v>-7345.5000000000073</v>
      </c>
      <c r="AI436" s="458">
        <f t="shared" si="251"/>
        <v>-0.1256729331759778</v>
      </c>
      <c r="AJ436" s="462"/>
      <c r="AK436" s="455"/>
      <c r="AL436" s="87">
        <f t="shared" si="249"/>
        <v>53521.979999999996</v>
      </c>
      <c r="AM436" s="459"/>
      <c r="AN436" s="457">
        <f t="shared" si="245"/>
        <v>-2418.1399999999994</v>
      </c>
      <c r="AO436" s="214">
        <f t="shared" si="250"/>
        <v>-4.5180316572742629E-2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36704.97</v>
      </c>
      <c r="N437" s="96"/>
      <c r="O437" s="96">
        <f t="shared" si="252"/>
        <v>19131.885639536842</v>
      </c>
      <c r="P437" s="1112"/>
      <c r="Q437" s="1113">
        <f t="shared" ref="Q437" si="253">Q403+Q408+Q413+Q421+Q430</f>
        <v>-20164.223982300886</v>
      </c>
      <c r="R437" s="79"/>
      <c r="S437" s="969"/>
      <c r="T437" s="969"/>
      <c r="U437" s="79"/>
      <c r="V437" s="305" t="s">
        <v>125</v>
      </c>
      <c r="W437" s="460" t="s">
        <v>225</v>
      </c>
      <c r="X437" s="455"/>
      <c r="Y437" s="455"/>
      <c r="Z437" s="87">
        <f t="shared" si="246"/>
        <v>14967.157499999999</v>
      </c>
      <c r="AA437" s="455"/>
      <c r="AB437" s="455"/>
      <c r="AC437" s="87">
        <f t="shared" si="247"/>
        <v>14967.157499999999</v>
      </c>
      <c r="AD437" s="462"/>
      <c r="AE437" s="461"/>
      <c r="AF437" s="87">
        <f t="shared" si="248"/>
        <v>2292.94</v>
      </c>
      <c r="AG437" s="456"/>
      <c r="AH437" s="457">
        <f t="shared" si="244"/>
        <v>-12674.217499999999</v>
      </c>
      <c r="AI437" s="458">
        <f t="shared" si="251"/>
        <v>-0.84680190610675399</v>
      </c>
      <c r="AJ437" s="462"/>
      <c r="AK437" s="455"/>
      <c r="AL437" s="87">
        <f t="shared" si="249"/>
        <v>18231</v>
      </c>
      <c r="AM437" s="459"/>
      <c r="AN437" s="457">
        <f t="shared" si="245"/>
        <v>-15938.06</v>
      </c>
      <c r="AO437" s="214">
        <f t="shared" si="250"/>
        <v>-0.87422851187537709</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-11665.423273233726</v>
      </c>
      <c r="P438" s="1112"/>
      <c r="Q438" s="1106">
        <f>SUM(Q435:Q437)</f>
        <v>0</v>
      </c>
      <c r="R438" s="79"/>
      <c r="S438" s="969"/>
      <c r="T438" s="969"/>
      <c r="U438" s="79"/>
      <c r="V438" s="305" t="s">
        <v>126</v>
      </c>
      <c r="W438" s="460" t="s">
        <v>226</v>
      </c>
      <c r="X438" s="455"/>
      <c r="Y438" s="455"/>
      <c r="Z438" s="87">
        <f t="shared" si="246"/>
        <v>72216.190600000002</v>
      </c>
      <c r="AA438" s="455"/>
      <c r="AB438" s="455"/>
      <c r="AC438" s="87">
        <f t="shared" si="247"/>
        <v>72216.190600000002</v>
      </c>
      <c r="AD438" s="462"/>
      <c r="AE438" s="461"/>
      <c r="AF438" s="87">
        <f t="shared" si="248"/>
        <v>47418.06</v>
      </c>
      <c r="AG438" s="456"/>
      <c r="AH438" s="457">
        <f t="shared" si="244"/>
        <v>-24798.130600000004</v>
      </c>
      <c r="AI438" s="458">
        <f t="shared" si="251"/>
        <v>-0.34338740930486028</v>
      </c>
      <c r="AJ438" s="462"/>
      <c r="AK438" s="455"/>
      <c r="AL438" s="87">
        <f t="shared" si="249"/>
        <v>95042.59</v>
      </c>
      <c r="AM438" s="459"/>
      <c r="AN438" s="457">
        <f t="shared" si="245"/>
        <v>-47624.53</v>
      </c>
      <c r="AO438" s="214">
        <f t="shared" si="250"/>
        <v>-0.50108619725114811</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9"/>
      <c r="M439" s="1110">
        <f>SUM(M435:M438)</f>
        <v>186910.43000000002</v>
      </c>
      <c r="N439" s="1107">
        <f>M439/$M$439</f>
        <v>1</v>
      </c>
      <c r="O439" s="1109"/>
      <c r="P439" s="1112"/>
      <c r="Q439" s="79"/>
      <c r="R439" s="79"/>
      <c r="S439" s="969"/>
      <c r="T439" s="969"/>
      <c r="U439" s="79"/>
      <c r="V439" s="689" t="s">
        <v>1996</v>
      </c>
      <c r="W439" s="690"/>
      <c r="X439" s="691"/>
      <c r="Y439" s="691"/>
      <c r="Z439" s="692">
        <f t="shared" si="246"/>
        <v>0</v>
      </c>
      <c r="AA439" s="691"/>
      <c r="AB439" s="691"/>
      <c r="AC439" s="692">
        <f t="shared" si="247"/>
        <v>0</v>
      </c>
      <c r="AD439" s="693"/>
      <c r="AE439" s="694"/>
      <c r="AF439" s="692">
        <f t="shared" si="248"/>
        <v>0</v>
      </c>
      <c r="AG439" s="695"/>
      <c r="AH439" s="696">
        <f t="shared" ref="AH439" si="254">AF439-AC439</f>
        <v>0</v>
      </c>
      <c r="AI439" s="697">
        <f t="shared" ref="AI439" si="255">IF(AC439=0,0,AH439/AC439)</f>
        <v>0</v>
      </c>
      <c r="AJ439" s="693"/>
      <c r="AK439" s="691"/>
      <c r="AL439" s="692">
        <f t="shared" si="249"/>
        <v>0</v>
      </c>
      <c r="AM439" s="698"/>
      <c r="AN439" s="696">
        <f t="shared" ref="AN439" si="256">AF439-AL439</f>
        <v>0</v>
      </c>
      <c r="AO439" s="699">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2964.71981782071</v>
      </c>
      <c r="AA440" s="455"/>
      <c r="AB440" s="461"/>
      <c r="AC440" s="87">
        <f t="shared" si="247"/>
        <v>2964.71981782071</v>
      </c>
      <c r="AD440" s="462"/>
      <c r="AE440" s="461"/>
      <c r="AF440" s="87">
        <f t="shared" si="248"/>
        <v>4085.52</v>
      </c>
      <c r="AG440" s="456"/>
      <c r="AH440" s="457">
        <f t="shared" si="244"/>
        <v>1120.80018217929</v>
      </c>
      <c r="AI440" s="458">
        <f t="shared" si="251"/>
        <v>0.3780459035090748</v>
      </c>
      <c r="AJ440" s="462"/>
      <c r="AK440" s="455"/>
      <c r="AL440" s="87">
        <f t="shared" si="249"/>
        <v>2456</v>
      </c>
      <c r="AM440" s="459"/>
      <c r="AN440" s="457">
        <f t="shared" si="245"/>
        <v>1629.52</v>
      </c>
      <c r="AO440" s="214">
        <f t="shared" si="250"/>
        <v>0.66348534201954401</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4545</v>
      </c>
      <c r="AA441" s="455"/>
      <c r="AB441" s="455"/>
      <c r="AC441" s="87">
        <f t="shared" si="247"/>
        <v>4545</v>
      </c>
      <c r="AD441" s="462"/>
      <c r="AE441" s="461"/>
      <c r="AF441" s="87">
        <f t="shared" si="248"/>
        <v>2081.04</v>
      </c>
      <c r="AG441" s="456"/>
      <c r="AH441" s="457">
        <f t="shared" si="244"/>
        <v>-2463.96</v>
      </c>
      <c r="AI441" s="97">
        <f t="shared" si="251"/>
        <v>-0.54212541254125413</v>
      </c>
      <c r="AJ441" s="462"/>
      <c r="AK441" s="455"/>
      <c r="AL441" s="87">
        <f t="shared" si="249"/>
        <v>4545</v>
      </c>
      <c r="AM441" s="459"/>
      <c r="AN441" s="457">
        <f t="shared" si="245"/>
        <v>-2463.96</v>
      </c>
      <c r="AO441" s="214">
        <f t="shared" si="250"/>
        <v>-0.54212541254125413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6540.0000000000009</v>
      </c>
      <c r="AA442" s="455"/>
      <c r="AB442" s="455"/>
      <c r="AC442" s="87">
        <f t="shared" si="247"/>
        <v>6540.0000000000009</v>
      </c>
      <c r="AD442" s="462"/>
      <c r="AE442" s="461"/>
      <c r="AF442" s="87">
        <f t="shared" si="248"/>
        <v>4083.05</v>
      </c>
      <c r="AG442" s="456"/>
      <c r="AH442" s="457">
        <f t="shared" si="244"/>
        <v>-2456.9500000000007</v>
      </c>
      <c r="AI442" s="458">
        <f t="shared" si="251"/>
        <v>-0.37568042813455665</v>
      </c>
      <c r="AJ442" s="462"/>
      <c r="AK442" s="455"/>
      <c r="AL442" s="87">
        <f t="shared" si="249"/>
        <v>5550</v>
      </c>
      <c r="AM442" s="459"/>
      <c r="AN442" s="457">
        <f t="shared" si="245"/>
        <v>-1466.9499999999998</v>
      </c>
      <c r="AO442" s="214">
        <f t="shared" si="250"/>
        <v>-0.26431531531531527</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5847.3</v>
      </c>
      <c r="AA443" s="455"/>
      <c r="AB443" s="455"/>
      <c r="AC443" s="87">
        <f t="shared" si="247"/>
        <v>5847.3</v>
      </c>
      <c r="AD443" s="462"/>
      <c r="AE443" s="461"/>
      <c r="AF443" s="87">
        <f t="shared" si="248"/>
        <v>3538.1</v>
      </c>
      <c r="AG443" s="456"/>
      <c r="AH443" s="457">
        <f t="shared" si="244"/>
        <v>-2309.2000000000003</v>
      </c>
      <c r="AI443" s="97">
        <f t="shared" si="251"/>
        <v>-0.39491731226377991</v>
      </c>
      <c r="AJ443" s="462"/>
      <c r="AK443" s="455"/>
      <c r="AL443" s="87">
        <f t="shared" si="249"/>
        <v>5050.71</v>
      </c>
      <c r="AM443" s="459"/>
      <c r="AN443" s="457">
        <f t="shared" si="245"/>
        <v>-1512.6100000000001</v>
      </c>
      <c r="AO443" s="214">
        <f t="shared" si="250"/>
        <v>-0.29948462691383987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2595</v>
      </c>
      <c r="AA444" s="455"/>
      <c r="AB444" s="455"/>
      <c r="AC444" s="87">
        <f t="shared" si="247"/>
        <v>2595</v>
      </c>
      <c r="AD444" s="462"/>
      <c r="AE444" s="461"/>
      <c r="AF444" s="87">
        <f t="shared" si="248"/>
        <v>780.17000000000007</v>
      </c>
      <c r="AG444" s="456"/>
      <c r="AH444" s="457">
        <f t="shared" si="244"/>
        <v>-1814.83</v>
      </c>
      <c r="AI444" s="458">
        <f t="shared" si="251"/>
        <v>-0.69935645472061658</v>
      </c>
      <c r="AJ444" s="462"/>
      <c r="AK444" s="455"/>
      <c r="AL444" s="87">
        <f t="shared" si="249"/>
        <v>1382.58</v>
      </c>
      <c r="AM444" s="459"/>
      <c r="AN444" s="457">
        <f t="shared" si="245"/>
        <v>-602.40999999999985</v>
      </c>
      <c r="AO444" s="214">
        <f t="shared" si="250"/>
        <v>-0.43571438904077875</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11673</v>
      </c>
      <c r="AA445" s="455"/>
      <c r="AB445" s="461"/>
      <c r="AC445" s="87">
        <f t="shared" si="247"/>
        <v>11673</v>
      </c>
      <c r="AD445" s="462"/>
      <c r="AE445" s="461"/>
      <c r="AF445" s="87">
        <f t="shared" si="248"/>
        <v>9485.09</v>
      </c>
      <c r="AG445" s="456"/>
      <c r="AH445" s="457">
        <f t="shared" si="244"/>
        <v>-2187.91</v>
      </c>
      <c r="AI445" s="97">
        <f t="shared" si="251"/>
        <v>-0.18743339330077957</v>
      </c>
      <c r="AJ445" s="462"/>
      <c r="AK445" s="455"/>
      <c r="AL445" s="87">
        <f t="shared" si="249"/>
        <v>16056.42</v>
      </c>
      <c r="AM445" s="459"/>
      <c r="AN445" s="457">
        <f t="shared" si="245"/>
        <v>-6571.33</v>
      </c>
      <c r="AO445" s="214">
        <f t="shared" si="250"/>
        <v>-0.40926495445435535</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9565.7500000000018</v>
      </c>
      <c r="AA446" s="455"/>
      <c r="AB446" s="461"/>
      <c r="AC446" s="87">
        <f t="shared" si="247"/>
        <v>9565.7500000000018</v>
      </c>
      <c r="AD446" s="462"/>
      <c r="AE446" s="461"/>
      <c r="AF446" s="87">
        <f t="shared" si="248"/>
        <v>4977.57</v>
      </c>
      <c r="AG446" s="456"/>
      <c r="AH446" s="457">
        <f t="shared" si="244"/>
        <v>-4588.1800000000021</v>
      </c>
      <c r="AI446" s="458">
        <f t="shared" si="251"/>
        <v>-0.47964665603847073</v>
      </c>
      <c r="AJ446" s="462"/>
      <c r="AK446" s="455"/>
      <c r="AL446" s="87">
        <f t="shared" si="249"/>
        <v>23287.5</v>
      </c>
      <c r="AM446" s="459"/>
      <c r="AN446" s="457">
        <f t="shared" si="245"/>
        <v>-18309.93</v>
      </c>
      <c r="AO446" s="214">
        <f t="shared" si="250"/>
        <v>-0.78625571658615134</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18661.673043282113</v>
      </c>
      <c r="AA447" s="455"/>
      <c r="AB447" s="461"/>
      <c r="AC447" s="87">
        <f t="shared" si="247"/>
        <v>18661.673043282113</v>
      </c>
      <c r="AD447" s="462"/>
      <c r="AE447" s="461"/>
      <c r="AF447" s="446">
        <f>SUMIFS(BV_Data_An_Cour!$P:$P,BV_Data_An_Cour!$V:$V,$V447)</f>
        <v>16245.33</v>
      </c>
      <c r="AG447" s="456"/>
      <c r="AH447" s="457">
        <f t="shared" ref="AH447:AH450" si="258">AF447-AC447</f>
        <v>-2416.3430432821133</v>
      </c>
      <c r="AI447" s="458">
        <f t="shared" ref="AI447:AI450" si="259">IF(AC447=0,0,AH447/AC447)</f>
        <v>-0.12948158708374521</v>
      </c>
      <c r="AJ447" s="462"/>
      <c r="AK447" s="455"/>
      <c r="AL447" s="87">
        <f>SUMIFS(BV_Data_An_Prec!$P:$P,BV_Data_An_Prec!$V:$V,$V447)</f>
        <v>15422.43</v>
      </c>
      <c r="AM447" s="459"/>
      <c r="AN447" s="457">
        <f t="shared" ref="AN447:AN450" si="260">AF447-AL447</f>
        <v>822.89999999999964</v>
      </c>
      <c r="AO447" s="214">
        <f t="shared" ref="AO447:AO450" si="261">IF(AL447=0,0,AN447/AL447)</f>
        <v>5.3357350300828055E-2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0.26628384921913723</v>
      </c>
      <c r="Y451" s="88"/>
      <c r="Z451" s="90">
        <f>+SUM(Z433:Z450)</f>
        <v>334445.81124527665</v>
      </c>
      <c r="AA451" s="89">
        <f>AC451/+AC406</f>
        <v>0.25312158391428891</v>
      </c>
      <c r="AB451" s="88"/>
      <c r="AC451" s="90">
        <f>+SUM(AC433:AC450)</f>
        <v>334445.81124527665</v>
      </c>
      <c r="AD451" s="91">
        <f>AF451/AF406</f>
        <v>0.19965766504602361</v>
      </c>
      <c r="AE451" s="88"/>
      <c r="AF451" s="90">
        <f>+SUM(AF433:AF450)</f>
        <v>250069.75</v>
      </c>
      <c r="AG451" s="99"/>
      <c r="AH451" s="555">
        <f>+SUM(AH433:AH450)</f>
        <v>-84376.061245276695</v>
      </c>
      <c r="AI451" s="89">
        <f>AH451/AC451</f>
        <v>-0.25228619527662965</v>
      </c>
      <c r="AJ451" s="91">
        <f>IF($AL$406=0,0,AL451/$AL$406)</f>
        <v>0.33867737098847162</v>
      </c>
      <c r="AK451" s="89"/>
      <c r="AL451" s="90">
        <f>+SUM(AL433:AL450)</f>
        <v>394409.75</v>
      </c>
      <c r="AM451" s="100"/>
      <c r="AN451" s="93">
        <f>+SUM(AN433:AN450)</f>
        <v>-144340.00000000003</v>
      </c>
      <c r="AO451" s="637">
        <f>IF(AL451=0,0,AN451/AL451)</f>
        <v>-0.36596458378627816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78000</v>
      </c>
      <c r="AA452" s="455"/>
      <c r="AB452" s="461"/>
      <c r="AC452" s="87">
        <f>+SUMPRODUCT(('Budget révisé'!$A$8:$A$496=$A452)*('Budget révisé'!$C$3:$AO$3=AC$2),'Budget révisé'!$C$8:$AO$496)</f>
        <v>78000</v>
      </c>
      <c r="AD452" s="462"/>
      <c r="AE452" s="461"/>
      <c r="AF452" s="87">
        <f>SUMIFS(BV_Data_An_Cour!$P:$P,BV_Data_An_Cour!$V:$V,$V452)</f>
        <v>78000</v>
      </c>
      <c r="AG452" s="456"/>
      <c r="AH452" s="457">
        <f t="shared" ref="AH452:AH460" si="262">AF452-AC452</f>
        <v>0</v>
      </c>
      <c r="AI452" s="458">
        <f>IF(AC452=0,0,AH452/AC452)</f>
        <v>0</v>
      </c>
      <c r="AJ452" s="462"/>
      <c r="AK452" s="455"/>
      <c r="AL452" s="87">
        <f>SUMIFS(BV_Data_An_Prec!$P:$P,BV_Data_An_Prec!$V:$V,$V452)</f>
        <v>78000.26999999999</v>
      </c>
      <c r="AM452" s="459"/>
      <c r="AN452" s="457">
        <f t="shared" ref="AN452:AN460" si="263">AF452-AL452</f>
        <v>-0.26999999998952262</v>
      </c>
      <c r="AO452" s="214">
        <f t="shared" ref="AO452:AO460" si="264">IF(AL452=0,0,AN452/AL452)</f>
        <v>-3.4615264791970934E-6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14430</v>
      </c>
      <c r="AA453" s="455"/>
      <c r="AB453" s="461"/>
      <c r="AC453" s="87">
        <f>+SUMPRODUCT(('Budget révisé'!$A$8:$A$496=$A453)*('Budget révisé'!$C$3:$AO$3=AC$2),'Budget révisé'!$C$8:$AO$496)</f>
        <v>14430</v>
      </c>
      <c r="AD453" s="462"/>
      <c r="AE453" s="461"/>
      <c r="AF453" s="87">
        <f>SUMIFS(BV_Data_An_Cour!$P:$P,BV_Data_An_Cour!$V:$V,$V453)</f>
        <v>14430.000000000002</v>
      </c>
      <c r="AG453" s="456"/>
      <c r="AH453" s="457">
        <f t="shared" si="262"/>
        <v>0</v>
      </c>
      <c r="AI453" s="458">
        <f t="shared" ref="AI453:AI460" si="265">IF(AC453=0,0,AH453/AC453)</f>
        <v>0</v>
      </c>
      <c r="AJ453" s="462"/>
      <c r="AK453" s="455"/>
      <c r="AL453" s="87">
        <f>SUMIFS(BV_Data_An_Prec!$P:$P,BV_Data_An_Prec!$V:$V,$V453)</f>
        <v>14100</v>
      </c>
      <c r="AM453" s="459"/>
      <c r="AN453" s="457">
        <f t="shared" si="263"/>
        <v>330.00000000000182</v>
      </c>
      <c r="AO453" s="214">
        <f t="shared" si="264"/>
        <v>2.3404255319149064E-2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9600</v>
      </c>
      <c r="AA454" s="445"/>
      <c r="AB454" s="464"/>
      <c r="AC454" s="446">
        <f>+SUMPRODUCT(('Budget révisé'!$A$8:$A$496=$A454)*('Budget révisé'!$C$3:$AO$3=AC$2),'Budget révisé'!$C$8:$AO$496)</f>
        <v>9600</v>
      </c>
      <c r="AD454" s="465"/>
      <c r="AE454" s="464"/>
      <c r="AF454" s="446">
        <f>SUMIFS(BV_Data_An_Cour!$P:$P,BV_Data_An_Cour!$V:$V,$V454)</f>
        <v>9600</v>
      </c>
      <c r="AG454" s="447"/>
      <c r="AH454" s="448">
        <f t="shared" si="262"/>
        <v>0</v>
      </c>
      <c r="AI454" s="466">
        <f t="shared" si="265"/>
        <v>0</v>
      </c>
      <c r="AJ454" s="465"/>
      <c r="AK454" s="445"/>
      <c r="AL454" s="446">
        <f>SUMIFS(BV_Data_An_Prec!$P:$P,BV_Data_An_Prec!$V:$V,$V454)</f>
        <v>9450</v>
      </c>
      <c r="AM454" s="450"/>
      <c r="AN454" s="448">
        <f t="shared" si="263"/>
        <v>150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11124.250000000002</v>
      </c>
      <c r="AA456" s="445"/>
      <c r="AB456" s="464"/>
      <c r="AC456" s="446">
        <f>+SUMPRODUCT(('Budget révisé'!$A$8:$A$496=$A456)*('Budget révisé'!$C$3:$AO$3=AC$2),'Budget révisé'!$C$8:$AO$496)</f>
        <v>11124.250000000002</v>
      </c>
      <c r="AD456" s="465"/>
      <c r="AE456" s="464"/>
      <c r="AF456" s="446">
        <f>SUMIF(BV_Data_An_Cour!$V:$V,Print_AAD!$V456,BV_Data_An_Cour!$P:$P)</f>
        <v>11124.33</v>
      </c>
      <c r="AG456" s="447"/>
      <c r="AH456" s="448">
        <f t="shared" si="262"/>
        <v>7.9999999998108251E-2</v>
      </c>
      <c r="AI456" s="466">
        <f t="shared" si="265"/>
        <v>7.191496055743824E-6</v>
      </c>
      <c r="AJ456" s="465"/>
      <c r="AK456" s="445"/>
      <c r="AL456" s="446">
        <f>SUMIF(BV_Data_An_Prec!$V:$V,Print_AAD!$V456,BV_Data_An_Prec!$P:$P)</f>
        <v>4500</v>
      </c>
      <c r="AM456" s="450"/>
      <c r="AN456" s="448">
        <f t="shared" si="263"/>
        <v>6624.33</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11430</v>
      </c>
      <c r="AA457" s="476"/>
      <c r="AB457" s="477"/>
      <c r="AC457" s="87">
        <f>+SUMPRODUCT(('Budget révisé'!$A$8:$A$496=$A457)*('Budget révisé'!$C$3:$AO$3=AC$2),'Budget révisé'!$C$8:$AO$496)</f>
        <v>11430</v>
      </c>
      <c r="AD457" s="462"/>
      <c r="AE457" s="461"/>
      <c r="AF457" s="87">
        <f>SUMIFS(BV_Data_An_Cour!$P:$P,BV_Data_An_Cour!$V:$V,$V457)</f>
        <v>9298.36</v>
      </c>
      <c r="AG457" s="456"/>
      <c r="AH457" s="457">
        <f t="shared" si="262"/>
        <v>-2131.6399999999994</v>
      </c>
      <c r="AI457" s="458">
        <f t="shared" si="265"/>
        <v>-0.18649518810148727</v>
      </c>
      <c r="AJ457" s="462"/>
      <c r="AK457" s="455"/>
      <c r="AL457" s="87">
        <f>SUMIFS(BV_Data_An_Prec!$P:$P,BV_Data_An_Prec!$V:$V,$V457)</f>
        <v>11010</v>
      </c>
      <c r="AM457" s="459"/>
      <c r="AN457" s="457">
        <f t="shared" si="263"/>
        <v>-1711.6399999999994</v>
      </c>
      <c r="AO457" s="214">
        <f t="shared" si="264"/>
        <v>-0.15546230699364208</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18651.500000000004</v>
      </c>
      <c r="AA458" s="455"/>
      <c r="AB458" s="461"/>
      <c r="AC458" s="87">
        <f>+SUMPRODUCT(('Budget révisé'!$A$8:$A$496=$A458)*('Budget révisé'!$C$3:$AO$3=AC$2),'Budget révisé'!$C$8:$AO$496)</f>
        <v>18651.500000000004</v>
      </c>
      <c r="AD458" s="462"/>
      <c r="AE458" s="461"/>
      <c r="AF458" s="87">
        <f>SUMIFS(BV_Data_An_Cour!$P:$P,BV_Data_An_Cour!$V:$V,$V458)</f>
        <v>18651.29</v>
      </c>
      <c r="AG458" s="456"/>
      <c r="AH458" s="457">
        <f t="shared" si="262"/>
        <v>-0.21000000000276486</v>
      </c>
      <c r="AI458" s="458">
        <f t="shared" si="265"/>
        <v>-1.1259148057945195E-5</v>
      </c>
      <c r="AJ458" s="462"/>
      <c r="AK458" s="455"/>
      <c r="AL458" s="87">
        <f>SUMIFS(BV_Data_An_Prec!$P:$P,BV_Data_An_Prec!$V:$V,$V458)</f>
        <v>24075</v>
      </c>
      <c r="AM458" s="459"/>
      <c r="AN458" s="457">
        <f t="shared" si="263"/>
        <v>-5423.7099999999991</v>
      </c>
      <c r="AO458" s="214">
        <f t="shared" si="264"/>
        <v>-0.22528390446521285</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3000</v>
      </c>
      <c r="AA459" s="445"/>
      <c r="AB459" s="464"/>
      <c r="AC459" s="446">
        <f>+SUMPRODUCT(('Budget révisé'!$A$8:$A$496=$A459)*('Budget révisé'!$C$3:$AO$3=AC$2),'Budget révisé'!$C$8:$AO$496)</f>
        <v>3000</v>
      </c>
      <c r="AD459" s="465"/>
      <c r="AE459" s="464"/>
      <c r="AF459" s="446">
        <f>SUMIFS(BV_Data_An_Cour!$P:$P,BV_Data_An_Cour!$V:$V,$V459)</f>
        <v>3032.12</v>
      </c>
      <c r="AG459" s="447"/>
      <c r="AH459" s="448">
        <f t="shared" si="262"/>
        <v>32.119999999999891</v>
      </c>
      <c r="AI459" s="466">
        <f t="shared" si="265"/>
        <v>1.070666666666663E-2</v>
      </c>
      <c r="AJ459" s="465"/>
      <c r="AK459" s="445"/>
      <c r="AL459" s="446">
        <f>SUMIFS(BV_Data_An_Prec!$P:$P,BV_Data_An_Prec!$V:$V,$V459)</f>
        <v>2652</v>
      </c>
      <c r="AM459" s="450"/>
      <c r="AN459" s="448">
        <f t="shared" si="263"/>
        <v>380.11999999999989</v>
      </c>
      <c r="AO459" s="451">
        <f t="shared" si="264"/>
        <v>0.14333333333333328</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2700</v>
      </c>
      <c r="AA460" s="455"/>
      <c r="AB460" s="461"/>
      <c r="AC460" s="87">
        <f>+SUMPRODUCT(('Budget révisé'!$A$8:$A$496=$A460)*('Budget révisé'!$C$3:$AO$3=AC$2),'Budget révisé'!$C$8:$AO$496)</f>
        <v>2700</v>
      </c>
      <c r="AD460" s="462"/>
      <c r="AE460" s="461"/>
      <c r="AF460" s="87">
        <f>SUMIFS(BV_Data_An_Cour!$P:$P,BV_Data_An_Cour!$V:$V,$V460)</f>
        <v>0</v>
      </c>
      <c r="AG460" s="456"/>
      <c r="AH460" s="457">
        <f t="shared" si="262"/>
        <v>-2700</v>
      </c>
      <c r="AI460" s="478">
        <f t="shared" si="265"/>
        <v>-1</v>
      </c>
      <c r="AJ460" s="455"/>
      <c r="AK460" s="455"/>
      <c r="AL460" s="87">
        <f>SUMIFS(BV_Data_An_Prec!$P:$P,BV_Data_An_Prec!$V:$V,$V460)</f>
        <v>2700</v>
      </c>
      <c r="AM460" s="459"/>
      <c r="AN460" s="457">
        <f t="shared" si="263"/>
        <v>-2700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0.11858179550424619</v>
      </c>
      <c r="Y465" s="88"/>
      <c r="Z465" s="90">
        <f>SUM(Z452:Z464)</f>
        <v>148935.75</v>
      </c>
      <c r="AA465" s="89">
        <f>AC465/+AC406</f>
        <v>0.1127203620852494</v>
      </c>
      <c r="AB465" s="88"/>
      <c r="AC465" s="90">
        <f>SUM(AC452:AC464)</f>
        <v>148935.75</v>
      </c>
      <c r="AD465" s="91">
        <f>AF465/AF406</f>
        <v>0.11507940154632923</v>
      </c>
      <c r="AE465" s="88"/>
      <c r="AF465" s="90">
        <f>SUM(AF452:AF464)</f>
        <v>144136.1</v>
      </c>
      <c r="AG465" s="99"/>
      <c r="AH465" s="557">
        <f>SUM(AH452:AH464)</f>
        <v>-4799.6500000000042</v>
      </c>
      <c r="AI465" s="89">
        <f>IF(AC465=0,0,AH465/AC465)</f>
        <v>-3.2226312352809879E-2</v>
      </c>
      <c r="AJ465" s="91">
        <f>IF($AL$406=0,0,AL465/$AL$406)</f>
        <v>0.12578777144043321</v>
      </c>
      <c r="AK465" s="89"/>
      <c r="AL465" s="90">
        <f>SUM(AL452:AL464)</f>
        <v>146487.26999999999</v>
      </c>
      <c r="AM465" s="100"/>
      <c r="AN465" s="93">
        <f>SUM(AN452:AN464)</f>
        <v>-2351.1699999999864</v>
      </c>
      <c r="AO465" s="637">
        <f>IF(AL465=0,0,AN465/AL465)</f>
        <v>-1.6050336660653083E-2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1.2502986011414106</v>
      </c>
      <c r="Y467" s="88"/>
      <c r="Z467" s="90">
        <f>Z418+Z432+Z451+Z465</f>
        <v>1570343.5682779728</v>
      </c>
      <c r="AA467" s="89">
        <f>AC467/+AC406</f>
        <v>1.1895304061791661</v>
      </c>
      <c r="AB467" s="88"/>
      <c r="AC467" s="90">
        <f>AC418+AC432+AC451+AC465</f>
        <v>1571708.9611379309</v>
      </c>
      <c r="AD467" s="91">
        <f>AF467/AF406</f>
        <v>1.1386319956011552</v>
      </c>
      <c r="AE467" s="88"/>
      <c r="AF467" s="90">
        <f>AF418+AF432+AF451+AF465</f>
        <v>1426128.1600000001</v>
      </c>
      <c r="AG467" s="99"/>
      <c r="AH467" s="93">
        <f t="shared" si="266"/>
        <v>-145580.80113793071</v>
      </c>
      <c r="AI467" s="89">
        <f>AH467/AC467</f>
        <v>-9.2625800792361046E-2</v>
      </c>
      <c r="AJ467" s="91">
        <f>IF($AL$406=0,0,AL467/$AL$406)</f>
        <v>1.4187427495617206</v>
      </c>
      <c r="AK467" s="89"/>
      <c r="AL467" s="90">
        <f>AL418+AL432+AL451+AL465</f>
        <v>1652209.51</v>
      </c>
      <c r="AM467" s="100"/>
      <c r="AN467" s="93">
        <f t="shared" si="267"/>
        <v>-226081.34999999986</v>
      </c>
      <c r="AO467" s="453">
        <f>IF(AL467=0,0,AN467/AL467)</f>
        <v>-0.13683576364355865</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138908.82</v>
      </c>
      <c r="AG468" s="251"/>
      <c r="AH468" s="482">
        <f t="shared" si="266"/>
        <v>138908.82</v>
      </c>
      <c r="AI468" s="483" t="e">
        <f t="shared" ref="AI468:AI472" si="268">IF(AH468=0,0,AH468/AC468)</f>
        <v>#DIV/0!</v>
      </c>
      <c r="AJ468" s="252"/>
      <c r="AK468" s="249"/>
      <c r="AL468" s="484">
        <f>-SUMIFS(BV_Data_An_Prec!$P:$P,BV_Data_An_Prec!$V:$V,$V468)</f>
        <v>141107.5</v>
      </c>
      <c r="AM468" s="253"/>
      <c r="AN468" s="482">
        <f t="shared" si="267"/>
        <v>-2198.679999999993</v>
      </c>
      <c r="AO468" s="261">
        <f>IF(AL468=0,0,AN468/AL468)</f>
        <v>-1.5581595592013131E-2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145551.13500000001</v>
      </c>
      <c r="AA469" s="255"/>
      <c r="AB469" s="247"/>
      <c r="AC469" s="254">
        <f t="shared" ref="AC469:AC479" si="270">+SUMIF($C:$C,$V469,I:I)</f>
        <v>147852.33871541501</v>
      </c>
      <c r="AD469" s="258"/>
      <c r="AE469" s="247"/>
      <c r="AF469" s="254">
        <f t="shared" ref="AF469:AF479" si="271">+SUMIF($C:$C,$V469,L:L)</f>
        <v>229570</v>
      </c>
      <c r="AG469" s="256"/>
      <c r="AH469" s="482">
        <f t="shared" si="266"/>
        <v>81717.661284584989</v>
      </c>
      <c r="AI469" s="257">
        <f>IF(AC469=0,0,AH469/AC469)</f>
        <v>0.55269779290995513</v>
      </c>
      <c r="AJ469" s="258"/>
      <c r="AK469" s="255"/>
      <c r="AL469" s="259">
        <f t="shared" ref="AL469:AL479" si="272">+SUMIF($C:$C,$V469,Q:Q)</f>
        <v>240979.1</v>
      </c>
      <c r="AM469" s="260"/>
      <c r="AN469" s="482">
        <f t="shared" si="267"/>
        <v>-11409.100000000006</v>
      </c>
      <c r="AO469" s="261">
        <f>IF(AL469=0,0,AN469/AL469)</f>
        <v>-4.7344769733142854E-2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90715.275000000023</v>
      </c>
      <c r="AA470" s="255"/>
      <c r="AB470" s="247"/>
      <c r="AC470" s="254">
        <f t="shared" si="270"/>
        <v>21787.551410622465</v>
      </c>
      <c r="AD470" s="258"/>
      <c r="AE470" s="247"/>
      <c r="AF470" s="254">
        <f t="shared" si="271"/>
        <v>57276.520000000004</v>
      </c>
      <c r="AG470" s="256"/>
      <c r="AH470" s="482">
        <f t="shared" si="266"/>
        <v>35488.968589377539</v>
      </c>
      <c r="AI470" s="257">
        <f t="shared" si="268"/>
        <v>1.6288644795612499</v>
      </c>
      <c r="AJ470" s="258"/>
      <c r="AK470" s="255"/>
      <c r="AL470" s="259">
        <f t="shared" si="272"/>
        <v>26080</v>
      </c>
      <c r="AM470" s="260"/>
      <c r="AN470" s="482">
        <f t="shared" si="267"/>
        <v>31196.520000000004</v>
      </c>
      <c r="AO470" s="261">
        <f t="shared" ref="AO470:AO472" si="273">IF(AL470=0,0,AN470/AL470)</f>
        <v>1.196185582822086</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8500</v>
      </c>
      <c r="AA473" s="255"/>
      <c r="AB473" s="247"/>
      <c r="AC473" s="254">
        <f t="shared" si="270"/>
        <v>8500</v>
      </c>
      <c r="AD473" s="258"/>
      <c r="AE473" s="247"/>
      <c r="AF473" s="254">
        <f t="shared" si="271"/>
        <v>8500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74498.223694371234</v>
      </c>
      <c r="AA479" s="255"/>
      <c r="AB479" s="247"/>
      <c r="AC479" s="254">
        <f t="shared" si="270"/>
        <v>74498.223694371249</v>
      </c>
      <c r="AD479" s="258"/>
      <c r="AE479" s="247"/>
      <c r="AF479" s="254">
        <f t="shared" si="271"/>
        <v>72714.7</v>
      </c>
      <c r="AG479" s="256"/>
      <c r="AH479" s="482">
        <f t="shared" ref="AH479:AH480" si="280">AF479-AC479</f>
        <v>-1783.5236943712516</v>
      </c>
      <c r="AI479" s="257">
        <f>IF(AH479=0,0,AH479/AC479)</f>
        <v>-2.3940486174383869E-2</v>
      </c>
      <c r="AJ479" s="258"/>
      <c r="AK479" s="255"/>
      <c r="AL479" s="259">
        <f t="shared" si="272"/>
        <v>82700.25</v>
      </c>
      <c r="AM479" s="260"/>
      <c r="AN479" s="482">
        <f t="shared" si="278"/>
        <v>-9985.5500000000029</v>
      </c>
      <c r="AO479" s="261">
        <f t="shared" si="279"/>
        <v>-0.12074389134252923</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0.25419668215646007</v>
      </c>
      <c r="Y480" s="103"/>
      <c r="Z480" s="90">
        <f>SUM(Z468:Z479)</f>
        <v>319264.63369437127</v>
      </c>
      <c r="AA480" s="89">
        <f>AC480/+AC406</f>
        <v>0.19120634009209286</v>
      </c>
      <c r="AB480" s="103"/>
      <c r="AC480" s="90">
        <f>SUM(AC468:AC479)</f>
        <v>252638.1138204087</v>
      </c>
      <c r="AD480" s="89">
        <f>AF480/+AF406</f>
        <v>0.40476888721922266</v>
      </c>
      <c r="AE480" s="103"/>
      <c r="AF480" s="90">
        <f>SUM(AF468:AF479)</f>
        <v>506970.04000000004</v>
      </c>
      <c r="AG480" s="99"/>
      <c r="AH480" s="93">
        <f t="shared" si="280"/>
        <v>254331.92617959133</v>
      </c>
      <c r="AI480" s="89">
        <f>AH480/AC480</f>
        <v>1.0067045004950705</v>
      </c>
      <c r="AJ480" s="109"/>
      <c r="AK480" s="110"/>
      <c r="AL480" s="90">
        <f>SUM(AL468:AL479)</f>
        <v>490866.85</v>
      </c>
      <c r="AM480" s="111"/>
      <c r="AN480" s="93">
        <f t="shared" ref="AN480:AN482" si="281">AF480-AL480</f>
        <v>16103.190000000061</v>
      </c>
      <c r="AO480" s="637">
        <f>IF(AL480=0,0,AN480/AL480)</f>
        <v>3.2805617246306325E-2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6.9084522714263103E-4</v>
      </c>
      <c r="Z482" s="491">
        <f>Z406-Z467+Z480</f>
        <v>4895.8916254256037</v>
      </c>
      <c r="AA482" s="489" t="s">
        <v>258</v>
      </c>
      <c r="AB482" s="490">
        <f>AC482/AC405</f>
        <v>3.1246576153309526E-4</v>
      </c>
      <c r="AC482" s="491">
        <f>AC406-AC467+AC480</f>
        <v>2214.3867323936429</v>
      </c>
      <c r="AD482" s="489" t="s">
        <v>258</v>
      </c>
      <c r="AE482" s="490">
        <f>AF482/AF405</f>
        <v>3.0394450441471633E-2</v>
      </c>
      <c r="AF482" s="217">
        <f>AF406-AF467+AF480</f>
        <v>333334.49000000046</v>
      </c>
      <c r="AG482" s="492"/>
      <c r="AH482" s="492">
        <f>AF482-AC482</f>
        <v>331120.10326760681</v>
      </c>
      <c r="AI482" s="546">
        <f>AH482/AC482</f>
        <v>149.53128937404819</v>
      </c>
      <c r="AJ482" s="493" t="s">
        <v>258</v>
      </c>
      <c r="AK482" s="490">
        <f>IF($AL$405=0,0,AL482/$AL$405)</f>
        <v>2.9260794099965386E-4</v>
      </c>
      <c r="AL482" s="217">
        <f>AL406-AL467+AL480</f>
        <v>3216.2499999996508</v>
      </c>
      <c r="AM482" s="218"/>
      <c r="AN482" s="217">
        <f t="shared" si="281"/>
        <v>330118.24000000081</v>
      </c>
      <c r="AO482" s="494">
        <f>IF(AL482=0,0,AN482/AL482)</f>
        <v>102.64072755539422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Mars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6.9084522714263103E-4</v>
      </c>
      <c r="Z488" s="499">
        <f>Z482</f>
        <v>4895.8916254256037</v>
      </c>
      <c r="AA488" s="497" t="s">
        <v>258</v>
      </c>
      <c r="AB488" s="498">
        <f>AC488/AC405</f>
        <v>3.1246576153309526E-4</v>
      </c>
      <c r="AC488" s="499">
        <f>AC482</f>
        <v>2214.3867323936429</v>
      </c>
      <c r="AD488" s="497" t="s">
        <v>258</v>
      </c>
      <c r="AE488" s="498">
        <f>AF488/AF405</f>
        <v>3.0394450441471633E-2</v>
      </c>
      <c r="AF488" s="499">
        <f>AF482</f>
        <v>333334.49000000046</v>
      </c>
      <c r="AG488" s="500"/>
      <c r="AH488" s="492">
        <f>AF488-AC488</f>
        <v>331120.10326760681</v>
      </c>
      <c r="AI488" s="546">
        <f>AH488/AC488</f>
        <v>149.53128937404819</v>
      </c>
      <c r="AJ488" s="497" t="s">
        <v>258</v>
      </c>
      <c r="AK488" s="498">
        <f>IF($AL$405=0,0,AL488/$AL$405)</f>
        <v>2.9260794099965386E-4</v>
      </c>
      <c r="AL488" s="501">
        <f>AL482</f>
        <v>3216.2499999996508</v>
      </c>
      <c r="AM488" s="502"/>
      <c r="AN488" s="503">
        <f>AF488-AL488</f>
        <v>330118.24000000081</v>
      </c>
      <c r="AO488" s="504">
        <f>IF(AL488=0,0,AN488/AL488)</f>
        <v>102.64072755539422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27501</v>
      </c>
      <c r="AA490" s="455"/>
      <c r="AB490" s="461"/>
      <c r="AC490" s="87">
        <f>+SUMPRODUCT(('Budget révisé'!$A$8:$A$496=$A490)*('Budget révisé'!$C$3:$AO$3=AC$2),'Budget révisé'!$C$8:$AO$496)</f>
        <v>27501</v>
      </c>
      <c r="AD490" s="455"/>
      <c r="AE490" s="461"/>
      <c r="AF490" s="87">
        <f>SUMIFS(BV_Data_An_Cour!$P:$P,BV_Data_An_Cour!$V:$V,$V490)</f>
        <v>27501</v>
      </c>
      <c r="AG490" s="455"/>
      <c r="AH490" s="457">
        <f t="shared" ref="AH490:AH491" si="284">AF490-AC490</f>
        <v>0</v>
      </c>
      <c r="AI490" s="97">
        <f>IF(AC490=0,0,AH490/AC490)</f>
        <v>0</v>
      </c>
      <c r="AJ490" s="455"/>
      <c r="AK490" s="455"/>
      <c r="AL490" s="87">
        <f>SUMIFS(BV_Data_An_Prec!$P:$P,BV_Data_An_Prec!$V:$V,$V490)</f>
        <v>27000</v>
      </c>
      <c r="AM490" s="459"/>
      <c r="AN490" s="457">
        <f t="shared" ref="AN490:AN491" si="285">AF490-AL490</f>
        <v>501</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1368.75</v>
      </c>
      <c r="AA491" s="439"/>
      <c r="AB491" s="439"/>
      <c r="AC491" s="87">
        <f>+SUMPRODUCT(('Budget révisé'!$A$8:$A$496=$A491)*('Budget révisé'!$C$3:$AO$3=AC$2),'Budget révisé'!$C$8:$AO$496)</f>
        <v>1368.75</v>
      </c>
      <c r="AD491" s="439"/>
      <c r="AE491" s="178"/>
      <c r="AF491" s="254">
        <f>SUMIFS(BV_Data_An_Cour!$P:$P,BV_Data_An_Cour!$V:$V,$V491)</f>
        <v>-3716.23</v>
      </c>
      <c r="AG491" s="439"/>
      <c r="AH491" s="457">
        <f t="shared" si="284"/>
        <v>-5084.9799999999996</v>
      </c>
      <c r="AI491" s="97">
        <f t="shared" ref="AI491" si="286">IF(AC491=0,0,AH491/AC491)</f>
        <v>-3.7150538812785383</v>
      </c>
      <c r="AJ491" s="439"/>
      <c r="AK491" s="439"/>
      <c r="AL491" s="87">
        <f>SUMIFS(BV_Data_An_Prec!$P:$P,BV_Data_An_Prec!$V:$V,$V491)</f>
        <v>0</v>
      </c>
      <c r="AM491" s="508"/>
      <c r="AN491" s="457">
        <f t="shared" si="285"/>
        <v>-3716.23</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1754.3886089679449</v>
      </c>
      <c r="AA492" s="439"/>
      <c r="AB492" s="439"/>
      <c r="AC492" s="87">
        <f>+SUMPRODUCT(('Budget révisé'!$A$8:$A$496=$A492)*('Budget révisé'!$C$3:$AO$3=AC$2),'Budget révisé'!$C$8:$AO$496)</f>
        <v>1754.3886089679449</v>
      </c>
      <c r="AD492" s="439"/>
      <c r="AE492" s="178"/>
      <c r="AF492" s="87">
        <f>SUMIFS(BV_Data_An_Cour!$P:$P,BV_Data_An_Cour!$V:$V,$V492)</f>
        <v>1711.77</v>
      </c>
      <c r="AG492" s="439"/>
      <c r="AH492" s="457">
        <f t="shared" ref="AH492:AH496" si="288">AF492-AC492</f>
        <v>-42.618608967944965</v>
      </c>
      <c r="AI492" s="97">
        <f t="shared" ref="AI492:AI496" si="289">IF(AC492=0,0,AH492/AC492)</f>
        <v>-2.4292570500110713E-2</v>
      </c>
      <c r="AJ492" s="439"/>
      <c r="AK492" s="439"/>
      <c r="AL492" s="87">
        <f>SUMIFS(BV_Data_An_Prec!$P:$P,BV_Data_An_Prec!$V:$V,$V492)</f>
        <v>12949.42</v>
      </c>
      <c r="AM492" s="508"/>
      <c r="AN492" s="457">
        <f t="shared" ref="AN492:AN496" si="290">AF492-AL492</f>
        <v>-11237.65</v>
      </c>
      <c r="AO492" s="214">
        <f t="shared" ref="AO492:AO496" si="291">IF(AL492=0,0,AN492/AL492)</f>
        <v>-0.86781106798605645</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-3.6304391500459107E-3</v>
      </c>
      <c r="Z497" s="491">
        <f>Z488-Z490-Z491-Z492-Z496</f>
        <v>-25728.24698354234</v>
      </c>
      <c r="AA497" s="489" t="s">
        <v>258</v>
      </c>
      <c r="AB497" s="490">
        <f>AC497/AC405</f>
        <v>-4.0088186156554467E-3</v>
      </c>
      <c r="AC497" s="491">
        <f>AC488-AC490-AC491-AC492-AC496</f>
        <v>-28409.751876574301</v>
      </c>
      <c r="AD497" s="489" t="s">
        <v>258</v>
      </c>
      <c r="AE497" s="490">
        <f>AF497/AF405</f>
        <v>2.8069598544330717E-2</v>
      </c>
      <c r="AF497" s="217">
        <f>AF488-AF490-AF491-AF492-AF496</f>
        <v>307837.95000000042</v>
      </c>
      <c r="AG497" s="492"/>
      <c r="AH497" s="492">
        <f>AF497-AC497</f>
        <v>336247.70187657472</v>
      </c>
      <c r="AI497" s="546">
        <f>AH497/AC497</f>
        <v>-11.835643737312362</v>
      </c>
      <c r="AJ497" s="493" t="s">
        <v>258</v>
      </c>
      <c r="AK497" s="490">
        <f>IF($AL$405=0,0,AL497/$AL$405)</f>
        <v>-3.3419097520688765E-3</v>
      </c>
      <c r="AL497" s="217">
        <f>AL488-AL490-AL491-AL492-AL496</f>
        <v>-36733.170000000347</v>
      </c>
      <c r="AM497" s="218"/>
      <c r="AN497" s="217">
        <f>AF497-AL497</f>
        <v>344571.12000000075</v>
      </c>
      <c r="AO497" s="509">
        <f>IF(AL497=0,0,AN497/AL497)</f>
        <v>-9.3803807294605264</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v>307837.95</v>
      </c>
      <c r="AG499" s="79"/>
      <c r="AH499" s="79"/>
      <c r="AI499" s="79"/>
      <c r="AJ499" s="79"/>
      <c r="AK499" s="79"/>
      <c r="AL499" s="79">
        <v>-36733.17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c r="AA500" s="79"/>
      <c r="AB500" s="79"/>
      <c r="AC500" s="79"/>
      <c r="AD500" s="79"/>
      <c r="AE500" s="79"/>
      <c r="AF500" s="1033">
        <f>+AF497-AF499</f>
        <v>0</v>
      </c>
      <c r="AG500" s="79"/>
      <c r="AH500" s="79"/>
      <c r="AI500" s="79"/>
      <c r="AJ500" s="79"/>
      <c r="AK500" s="79"/>
      <c r="AL500" s="1033">
        <f>+AL497-AL499</f>
        <v>-3.4924596548080444E-10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3" priority="340" stopIfTrue="1">
      <formula>"esterreur(reference)"</formula>
    </cfRule>
  </conditionalFormatting>
  <conditionalFormatting sqref="M95:M96">
    <cfRule type="expression" dxfId="342" priority="341" stopIfTrue="1">
      <formula>"esterreur(reference)"</formula>
    </cfRule>
  </conditionalFormatting>
  <conditionalFormatting sqref="H275:H280 J275:K280">
    <cfRule type="expression" dxfId="341" priority="342" stopIfTrue="1">
      <formula>"esterreur(reference)"</formula>
    </cfRule>
  </conditionalFormatting>
  <conditionalFormatting sqref="H219:H224 J219:K224">
    <cfRule type="expression" dxfId="340" priority="343" stopIfTrue="1">
      <formula>"esterreur(reference)"</formula>
    </cfRule>
  </conditionalFormatting>
  <conditionalFormatting sqref="H141:H147 J141:K147">
    <cfRule type="expression" dxfId="339" priority="344" stopIfTrue="1">
      <formula>"esterreur(reference)"</formula>
    </cfRule>
  </conditionalFormatting>
  <conditionalFormatting sqref="H137:H139 J137:K139">
    <cfRule type="expression" dxfId="338" priority="345" stopIfTrue="1">
      <formula>"esterreur(reference)"</formula>
    </cfRule>
  </conditionalFormatting>
  <conditionalFormatting sqref="H140 J140:K140">
    <cfRule type="expression" dxfId="337" priority="346" stopIfTrue="1">
      <formula>"esterreur(reference)"</formula>
    </cfRule>
  </conditionalFormatting>
  <conditionalFormatting sqref="L82">
    <cfRule type="expression" dxfId="336" priority="320" stopIfTrue="1">
      <formula>"esterreur(reference)"</formula>
    </cfRule>
  </conditionalFormatting>
  <conditionalFormatting sqref="M311">
    <cfRule type="expression" dxfId="335" priority="347" stopIfTrue="1">
      <formula>"esterreur(reference)"</formula>
    </cfRule>
  </conditionalFormatting>
  <conditionalFormatting sqref="R311">
    <cfRule type="expression" dxfId="334" priority="348" stopIfTrue="1">
      <formula>"esterreur(reference)"</formula>
    </cfRule>
  </conditionalFormatting>
  <conditionalFormatting sqref="AG408:AI413 AH490:AI490 AG431:AI431 AH465:AI467 AH452:AI459 AH419:AI430 AH432:AI450 AH460:AH464 AI491:AI496">
    <cfRule type="cellIs" dxfId="333" priority="349" operator="greaterThan">
      <formula>0</formula>
    </cfRule>
  </conditionalFormatting>
  <conditionalFormatting sqref="AH468:AI479">
    <cfRule type="cellIs" dxfId="332" priority="350" operator="lessThan">
      <formula>0</formula>
    </cfRule>
  </conditionalFormatting>
  <conditionalFormatting sqref="AH491:AH496">
    <cfRule type="cellIs" dxfId="331" priority="351" operator="greaterThan">
      <formula>0</formula>
    </cfRule>
  </conditionalFormatting>
  <conditionalFormatting sqref="J281:K283">
    <cfRule type="expression" dxfId="330" priority="352" stopIfTrue="1">
      <formula>"esterreur(reference)"</formula>
    </cfRule>
  </conditionalFormatting>
  <conditionalFormatting sqref="H316:L316">
    <cfRule type="expression" dxfId="329" priority="359" stopIfTrue="1">
      <formula>"esterreur(reference)"</formula>
    </cfRule>
  </conditionalFormatting>
  <conditionalFormatting sqref="H196:L196">
    <cfRule type="expression" dxfId="328" priority="360" stopIfTrue="1">
      <formula>"esterreur(reference)"</formula>
    </cfRule>
  </conditionalFormatting>
  <conditionalFormatting sqref="H55:H56 J55:K56 H71 J71:K71">
    <cfRule type="expression" dxfId="327" priority="361" stopIfTrue="1">
      <formula>"esterreur(reference)"</formula>
    </cfRule>
  </conditionalFormatting>
  <conditionalFormatting sqref="J61:K70 H61:H70">
    <cfRule type="expression" dxfId="326" priority="362" stopIfTrue="1">
      <formula>"esterreur(reference)"</formula>
    </cfRule>
  </conditionalFormatting>
  <conditionalFormatting sqref="H57:H59 J57:K59">
    <cfRule type="expression" dxfId="325" priority="363" stopIfTrue="1">
      <formula>"esterreur(reference)"</formula>
    </cfRule>
  </conditionalFormatting>
  <conditionalFormatting sqref="H60 J60:K60">
    <cfRule type="expression" dxfId="324" priority="364" stopIfTrue="1">
      <formula>"esterreur(reference)"</formula>
    </cfRule>
  </conditionalFormatting>
  <conditionalFormatting sqref="L19 L21:L23">
    <cfRule type="expression" dxfId="323" priority="338" stopIfTrue="1">
      <formula>"esterreur(reference)"</formula>
    </cfRule>
  </conditionalFormatting>
  <conditionalFormatting sqref="K98">
    <cfRule type="expression" dxfId="322" priority="365" stopIfTrue="1">
      <formula>"esterreur(reference)"</formula>
    </cfRule>
  </conditionalFormatting>
  <conditionalFormatting sqref="L331:L347">
    <cfRule type="expression" dxfId="321" priority="233" stopIfTrue="1">
      <formula>"esterreur(reference)"</formula>
    </cfRule>
  </conditionalFormatting>
  <conditionalFormatting sqref="L16:L17">
    <cfRule type="expression" dxfId="320" priority="339" stopIfTrue="1">
      <formula>"esterreur(reference)"</formula>
    </cfRule>
  </conditionalFormatting>
  <conditionalFormatting sqref="L20">
    <cfRule type="expression" dxfId="319" priority="337" stopIfTrue="1">
      <formula>"esterreur(reference)"</formula>
    </cfRule>
  </conditionalFormatting>
  <conditionalFormatting sqref="L325">
    <cfRule type="expression" dxfId="318" priority="237" stopIfTrue="1">
      <formula>"esterreur(reference)"</formula>
    </cfRule>
  </conditionalFormatting>
  <conditionalFormatting sqref="L326">
    <cfRule type="expression" dxfId="317" priority="236" stopIfTrue="1">
      <formula>"esterreur(reference)"</formula>
    </cfRule>
  </conditionalFormatting>
  <conditionalFormatting sqref="L327">
    <cfRule type="expression" dxfId="316" priority="235" stopIfTrue="1">
      <formula>"esterreur(reference)"</formula>
    </cfRule>
  </conditionalFormatting>
  <conditionalFormatting sqref="L328">
    <cfRule type="expression" dxfId="315" priority="234" stopIfTrue="1">
      <formula>"esterreur(reference)"</formula>
    </cfRule>
  </conditionalFormatting>
  <conditionalFormatting sqref="L42">
    <cfRule type="expression" dxfId="314" priority="336" stopIfTrue="1">
      <formula>"esterreur(reference)"</formula>
    </cfRule>
  </conditionalFormatting>
  <conditionalFormatting sqref="L43">
    <cfRule type="expression" dxfId="313" priority="335" stopIfTrue="1">
      <formula>"esterreur(reference)"</formula>
    </cfRule>
  </conditionalFormatting>
  <conditionalFormatting sqref="L44">
    <cfRule type="expression" dxfId="312" priority="334" stopIfTrue="1">
      <formula>"esterreur(reference)"</formula>
    </cfRule>
  </conditionalFormatting>
  <conditionalFormatting sqref="L45:L48">
    <cfRule type="expression" dxfId="311" priority="333" stopIfTrue="1">
      <formula>"esterreur(reference)"</formula>
    </cfRule>
  </conditionalFormatting>
  <conditionalFormatting sqref="L55">
    <cfRule type="expression" dxfId="310" priority="332" stopIfTrue="1">
      <formula>"esterreur(reference)"</formula>
    </cfRule>
  </conditionalFormatting>
  <conditionalFormatting sqref="L56">
    <cfRule type="expression" dxfId="309" priority="331" stopIfTrue="1">
      <formula>"esterreur(reference)"</formula>
    </cfRule>
  </conditionalFormatting>
  <conditionalFormatting sqref="L271">
    <cfRule type="expression" dxfId="308" priority="248" stopIfTrue="1">
      <formula>"esterreur(reference)"</formula>
    </cfRule>
  </conditionalFormatting>
  <conditionalFormatting sqref="L58">
    <cfRule type="expression" dxfId="307" priority="330" stopIfTrue="1">
      <formula>"esterreur(reference)"</formula>
    </cfRule>
  </conditionalFormatting>
  <conditionalFormatting sqref="L61">
    <cfRule type="expression" dxfId="306" priority="329" stopIfTrue="1">
      <formula>"esterreur(reference)"</formula>
    </cfRule>
  </conditionalFormatting>
  <conditionalFormatting sqref="L274">
    <cfRule type="expression" dxfId="305" priority="246" stopIfTrue="1">
      <formula>"esterreur(reference)"</formula>
    </cfRule>
  </conditionalFormatting>
  <conditionalFormatting sqref="L63">
    <cfRule type="expression" dxfId="304" priority="328" stopIfTrue="1">
      <formula>"esterreur(reference)"</formula>
    </cfRule>
  </conditionalFormatting>
  <conditionalFormatting sqref="L62">
    <cfRule type="expression" dxfId="303" priority="327" stopIfTrue="1">
      <formula>"esterreur(reference)"</formula>
    </cfRule>
  </conditionalFormatting>
  <conditionalFormatting sqref="L64">
    <cfRule type="expression" dxfId="302" priority="326" stopIfTrue="1">
      <formula>"esterreur(reference)"</formula>
    </cfRule>
  </conditionalFormatting>
  <conditionalFormatting sqref="L65">
    <cfRule type="expression" dxfId="301" priority="325" stopIfTrue="1">
      <formula>"esterreur(reference)"</formula>
    </cfRule>
  </conditionalFormatting>
  <conditionalFormatting sqref="L69 L66:L67">
    <cfRule type="expression" dxfId="300" priority="324" stopIfTrue="1">
      <formula>"esterreur(reference)"</formula>
    </cfRule>
  </conditionalFormatting>
  <conditionalFormatting sqref="L70">
    <cfRule type="expression" dxfId="299" priority="323" stopIfTrue="1">
      <formula>"esterreur(reference)"</formula>
    </cfRule>
  </conditionalFormatting>
  <conditionalFormatting sqref="L76:L77">
    <cfRule type="expression" dxfId="298" priority="322" stopIfTrue="1">
      <formula>"esterreur(reference)"</formula>
    </cfRule>
  </conditionalFormatting>
  <conditionalFormatting sqref="L78:L81">
    <cfRule type="expression" dxfId="297" priority="321" stopIfTrue="1">
      <formula>"esterreur(reference)"</formula>
    </cfRule>
  </conditionalFormatting>
  <conditionalFormatting sqref="L57">
    <cfRule type="expression" dxfId="296" priority="319" stopIfTrue="1">
      <formula>"esterreur(reference)"</formula>
    </cfRule>
  </conditionalFormatting>
  <conditionalFormatting sqref="L94:L95">
    <cfRule type="expression" dxfId="295" priority="318" stopIfTrue="1">
      <formula>"esterreur(reference)"</formula>
    </cfRule>
  </conditionalFormatting>
  <conditionalFormatting sqref="L98">
    <cfRule type="expression" dxfId="294" priority="317" stopIfTrue="1">
      <formula>"esterreur(reference)"</formula>
    </cfRule>
  </conditionalFormatting>
  <conditionalFormatting sqref="L99">
    <cfRule type="expression" dxfId="293" priority="316" stopIfTrue="1">
      <formula>"esterreur(reference)"</formula>
    </cfRule>
  </conditionalFormatting>
  <conditionalFormatting sqref="L101">
    <cfRule type="expression" dxfId="292" priority="315" stopIfTrue="1">
      <formula>"esterreur(reference)"</formula>
    </cfRule>
  </conditionalFormatting>
  <conditionalFormatting sqref="L102">
    <cfRule type="expression" dxfId="291" priority="314" stopIfTrue="1">
      <formula>"esterreur(reference)"</formula>
    </cfRule>
  </conditionalFormatting>
  <conditionalFormatting sqref="L103">
    <cfRule type="expression" dxfId="290" priority="313" stopIfTrue="1">
      <formula>"esterreur(reference)"</formula>
    </cfRule>
  </conditionalFormatting>
  <conditionalFormatting sqref="L111">
    <cfRule type="expression" dxfId="289" priority="312" stopIfTrue="1">
      <formula>"esterreur(reference)"</formula>
    </cfRule>
  </conditionalFormatting>
  <conditionalFormatting sqref="L112">
    <cfRule type="expression" dxfId="288" priority="311" stopIfTrue="1">
      <formula>"esterreur(reference)"</formula>
    </cfRule>
  </conditionalFormatting>
  <conditionalFormatting sqref="L207">
    <cfRule type="expression" dxfId="287" priority="271" stopIfTrue="1">
      <formula>"esterreur(reference)"</formula>
    </cfRule>
  </conditionalFormatting>
  <conditionalFormatting sqref="L114">
    <cfRule type="expression" dxfId="286" priority="310" stopIfTrue="1">
      <formula>"esterreur(reference)"</formula>
    </cfRule>
  </conditionalFormatting>
  <conditionalFormatting sqref="L227">
    <cfRule type="expression" dxfId="285" priority="267" stopIfTrue="1">
      <formula>"esterreur(reference)"</formula>
    </cfRule>
  </conditionalFormatting>
  <conditionalFormatting sqref="L116:L119">
    <cfRule type="expression" dxfId="284" priority="309" stopIfTrue="1">
      <formula>"esterreur(reference)"</formula>
    </cfRule>
  </conditionalFormatting>
  <conditionalFormatting sqref="L120">
    <cfRule type="expression" dxfId="283" priority="308" stopIfTrue="1">
      <formula>"esterreur(reference)"</formula>
    </cfRule>
  </conditionalFormatting>
  <conditionalFormatting sqref="L130">
    <cfRule type="expression" dxfId="282" priority="305" stopIfTrue="1">
      <formula>"esterreur(reference)"</formula>
    </cfRule>
  </conditionalFormatting>
  <conditionalFormatting sqref="L124">
    <cfRule type="expression" dxfId="281" priority="307" stopIfTrue="1">
      <formula>"esterreur(reference)"</formula>
    </cfRule>
  </conditionalFormatting>
  <conditionalFormatting sqref="L123">
    <cfRule type="expression" dxfId="280" priority="306" stopIfTrue="1">
      <formula>"esterreur(reference)"</formula>
    </cfRule>
  </conditionalFormatting>
  <conditionalFormatting sqref="L138">
    <cfRule type="expression" dxfId="279" priority="299" stopIfTrue="1">
      <formula>"esterreur(reference)"</formula>
    </cfRule>
  </conditionalFormatting>
  <conditionalFormatting sqref="L131">
    <cfRule type="expression" dxfId="278" priority="304" stopIfTrue="1">
      <formula>"esterreur(reference)"</formula>
    </cfRule>
  </conditionalFormatting>
  <conditionalFormatting sqref="L132">
    <cfRule type="expression" dxfId="277" priority="303" stopIfTrue="1">
      <formula>"esterreur(reference)"</formula>
    </cfRule>
  </conditionalFormatting>
  <conditionalFormatting sqref="L133">
    <cfRule type="expression" dxfId="276" priority="302" stopIfTrue="1">
      <formula>"esterreur(reference)"</formula>
    </cfRule>
  </conditionalFormatting>
  <conditionalFormatting sqref="L139">
    <cfRule type="expression" dxfId="275" priority="298" stopIfTrue="1">
      <formula>"esterreur(reference)"</formula>
    </cfRule>
  </conditionalFormatting>
  <conditionalFormatting sqref="L136">
    <cfRule type="expression" dxfId="274" priority="301" stopIfTrue="1">
      <formula>"esterreur(reference)"</formula>
    </cfRule>
  </conditionalFormatting>
  <conditionalFormatting sqref="L137">
    <cfRule type="expression" dxfId="273" priority="300" stopIfTrue="1">
      <formula>"esterreur(reference)"</formula>
    </cfRule>
  </conditionalFormatting>
  <conditionalFormatting sqref="L140">
    <cfRule type="expression" dxfId="272" priority="297" stopIfTrue="1">
      <formula>"esterreur(reference)"</formula>
    </cfRule>
  </conditionalFormatting>
  <conditionalFormatting sqref="L141">
    <cfRule type="expression" dxfId="271" priority="296" stopIfTrue="1">
      <formula>"esterreur(reference)"</formula>
    </cfRule>
  </conditionalFormatting>
  <conditionalFormatting sqref="L142">
    <cfRule type="expression" dxfId="270" priority="295" stopIfTrue="1">
      <formula>"esterreur(reference)"</formula>
    </cfRule>
  </conditionalFormatting>
  <conditionalFormatting sqref="L143">
    <cfRule type="expression" dxfId="269" priority="294" stopIfTrue="1">
      <formula>"esterreur(reference)"</formula>
    </cfRule>
  </conditionalFormatting>
  <conditionalFormatting sqref="L144">
    <cfRule type="expression" dxfId="268" priority="293" stopIfTrue="1">
      <formula>"esterreur(reference)"</formula>
    </cfRule>
  </conditionalFormatting>
  <conditionalFormatting sqref="L145">
    <cfRule type="expression" dxfId="267" priority="292" stopIfTrue="1">
      <formula>"esterreur(reference)"</formula>
    </cfRule>
  </conditionalFormatting>
  <conditionalFormatting sqref="L146">
    <cfRule type="expression" dxfId="266" priority="291" stopIfTrue="1">
      <formula>"esterreur(reference)"</formula>
    </cfRule>
  </conditionalFormatting>
  <conditionalFormatting sqref="L147">
    <cfRule type="expression" dxfId="265" priority="290" stopIfTrue="1">
      <formula>"esterreur(reference)"</formula>
    </cfRule>
  </conditionalFormatting>
  <conditionalFormatting sqref="L155">
    <cfRule type="expression" dxfId="264" priority="289" stopIfTrue="1">
      <formula>"esterreur(reference)"</formula>
    </cfRule>
  </conditionalFormatting>
  <conditionalFormatting sqref="L157">
    <cfRule type="expression" dxfId="263" priority="287" stopIfTrue="1">
      <formula>"esterreur(reference)"</formula>
    </cfRule>
  </conditionalFormatting>
  <conditionalFormatting sqref="L156">
    <cfRule type="expression" dxfId="262" priority="288" stopIfTrue="1">
      <formula>"esterreur(reference)"</formula>
    </cfRule>
  </conditionalFormatting>
  <conditionalFormatting sqref="L115">
    <cfRule type="expression" dxfId="261" priority="286" stopIfTrue="1">
      <formula>"esterreur(reference)"</formula>
    </cfRule>
  </conditionalFormatting>
  <conditionalFormatting sqref="L113">
    <cfRule type="expression" dxfId="260" priority="285" stopIfTrue="1">
      <formula>"esterreur(reference)"</formula>
    </cfRule>
  </conditionalFormatting>
  <conditionalFormatting sqref="L171">
    <cfRule type="expression" dxfId="259" priority="284" stopIfTrue="1">
      <formula>"esterreur(reference)"</formula>
    </cfRule>
  </conditionalFormatting>
  <conditionalFormatting sqref="L174">
    <cfRule type="expression" dxfId="258" priority="283" stopIfTrue="1">
      <formula>"esterreur(reference)"</formula>
    </cfRule>
  </conditionalFormatting>
  <conditionalFormatting sqref="L177">
    <cfRule type="expression" dxfId="257"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5"/>
  <sheetViews>
    <sheetView topLeftCell="L1" workbookViewId="0">
      <pane ySplit="1" topLeftCell="A273" activePane="bottomLeft" state="frozen"/>
      <selection pane="bottomLeft" activeCell="O335" sqref="O335"/>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customWidth="1"/>
    <col min="13" max="13" width="39.75" customWidth="1"/>
    <col min="14" max="14" width="14.875" customWidth="1"/>
    <col min="15" max="15" width="12.875" style="578"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32869</v>
      </c>
      <c r="J2" s="1015">
        <v>0</v>
      </c>
      <c r="K2" s="1015">
        <v>32869</v>
      </c>
      <c r="L2" s="153" t="str">
        <f t="shared" ref="L2:L65" si="0">+B2</f>
        <v>10</v>
      </c>
      <c r="M2" s="154" t="str">
        <f t="shared" ref="M2:M65" si="1">+A2</f>
        <v>PROFIT/PERTES JANVIER</v>
      </c>
      <c r="N2" s="155">
        <f>+IF(OR($Q2=Parametres!$G$2,$Q2=Parametres!$G$3),I2,C2)</f>
        <v>32869</v>
      </c>
      <c r="O2" s="155">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013" t="s">
        <v>2208</v>
      </c>
      <c r="B3" s="1013" t="s">
        <v>2209</v>
      </c>
      <c r="C3" s="1014"/>
      <c r="D3" s="1014"/>
      <c r="E3" s="1014"/>
      <c r="F3" s="1013" t="s">
        <v>1</v>
      </c>
      <c r="G3" s="1013" t="s">
        <v>2207</v>
      </c>
      <c r="H3" s="1014"/>
      <c r="I3" s="1015">
        <v>112899</v>
      </c>
      <c r="J3" s="1015">
        <v>0</v>
      </c>
      <c r="K3" s="1015">
        <v>112899</v>
      </c>
      <c r="L3" s="153" t="str">
        <f t="shared" si="0"/>
        <v>20</v>
      </c>
      <c r="M3" s="154" t="str">
        <f t="shared" si="1"/>
        <v>PROFIT/PERTES FEVRIER</v>
      </c>
      <c r="N3" s="155">
        <f>+IF(OR($Q3=Parametres!$G$2,$Q3=Parametres!$G$3),I3,C3)</f>
        <v>112899</v>
      </c>
      <c r="O3" s="155">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2228</v>
      </c>
      <c r="B4" s="1013" t="s">
        <v>2229</v>
      </c>
      <c r="C4" s="1014"/>
      <c r="D4" s="1014"/>
      <c r="E4" s="1014"/>
      <c r="F4" s="1013" t="s">
        <v>1</v>
      </c>
      <c r="G4" s="1013" t="s">
        <v>2230</v>
      </c>
      <c r="H4" s="1014"/>
      <c r="I4" s="1015">
        <v>1.03</v>
      </c>
      <c r="J4" s="1015">
        <v>0</v>
      </c>
      <c r="K4" s="1015">
        <v>1.03</v>
      </c>
      <c r="L4" s="153" t="str">
        <f t="shared" si="0"/>
        <v>229</v>
      </c>
      <c r="M4" s="154" t="str">
        <f t="shared" si="1"/>
        <v>CUMUL. VIS. CARR. VW</v>
      </c>
      <c r="N4" s="155">
        <f>+IF(OR($Q4=Parametres!$G$2,$Q4=Parametres!$G$3),I4,C4)</f>
        <v>1.03</v>
      </c>
      <c r="O4" s="155">
        <f>+IF(OR($Q4=Parametres!$G$2,$Q4=Parametres!$G$3),J4,D4)</f>
        <v>0</v>
      </c>
      <c r="P4" s="155">
        <f>+IF(OR($Q4=Parametres!$G$2,$Q4=Parametres!$G$3),K4,E4)</f>
        <v>1.03</v>
      </c>
      <c r="Q4" s="154" t="str">
        <f t="shared" si="2"/>
        <v>1-Mémo</v>
      </c>
      <c r="R4" s="153" t="str">
        <f t="shared" si="3"/>
        <v>23</v>
      </c>
      <c r="S4" s="154">
        <f t="shared" si="4"/>
        <v>0</v>
      </c>
      <c r="T4" s="156" t="str">
        <f>+VLOOKUP($L4,Data_Validation!$A:$D,1,0)</f>
        <v>229</v>
      </c>
      <c r="U4" s="156">
        <f>+VLOOKUP($L4,Data_Validation!$A:$D,3,0)</f>
        <v>0</v>
      </c>
      <c r="V4" s="156">
        <f>+VLOOKUP($L4,Data_Validation!$A:$D,4,0)</f>
        <v>0</v>
      </c>
      <c r="W4" s="156">
        <f>+VLOOKUP($L4,Data_Validation!$A:$E,5,0)</f>
        <v>0</v>
      </c>
      <c r="X4" s="156">
        <f>+VLOOKUP($L4,Data_Validation!$A:$F,6,0)</f>
        <v>0</v>
      </c>
    </row>
    <row r="5" spans="1:24" ht="15.75" hidden="1" customHeight="1">
      <c r="A5" s="1013" t="s">
        <v>2231</v>
      </c>
      <c r="B5" s="1013" t="s">
        <v>2232</v>
      </c>
      <c r="C5" s="1014"/>
      <c r="D5" s="1014"/>
      <c r="E5" s="1014"/>
      <c r="F5" s="1013" t="s">
        <v>1</v>
      </c>
      <c r="G5" s="1013" t="s">
        <v>2230</v>
      </c>
      <c r="H5" s="1014"/>
      <c r="I5" s="1015">
        <v>13.56</v>
      </c>
      <c r="J5" s="1015">
        <v>0</v>
      </c>
      <c r="K5" s="1015">
        <v>13.56</v>
      </c>
      <c r="L5" s="153" t="str">
        <f t="shared" si="0"/>
        <v>230</v>
      </c>
      <c r="M5" s="154" t="str">
        <f t="shared" si="1"/>
        <v>CUMUL. VIS. VEH. SERV. VW</v>
      </c>
      <c r="N5" s="155">
        <f>+IF(OR($Q5=Parametres!$G$2,$Q5=Parametres!$G$3),I5,C5)</f>
        <v>13.56</v>
      </c>
      <c r="O5" s="155">
        <f>+IF(OR($Q5=Parametres!$G$2,$Q5=Parametres!$G$3),J5,D5)</f>
        <v>0</v>
      </c>
      <c r="P5" s="155">
        <f>+IF(OR($Q5=Parametres!$G$2,$Q5=Parametres!$G$3),K5,E5)</f>
        <v>13.56</v>
      </c>
      <c r="Q5" s="154" t="str">
        <f t="shared" si="2"/>
        <v>1-Mémo</v>
      </c>
      <c r="R5" s="153" t="str">
        <f t="shared" si="3"/>
        <v>23</v>
      </c>
      <c r="S5" s="154">
        <f t="shared" si="4"/>
        <v>0</v>
      </c>
      <c r="T5" s="156" t="str">
        <f>+VLOOKUP($L5,Data_Validation!$A:$D,1,0)</f>
        <v>230</v>
      </c>
      <c r="U5" s="156">
        <f>+VLOOKUP($L5,Data_Validation!$A:$D,3,0)</f>
        <v>0</v>
      </c>
      <c r="V5" s="156">
        <f>+VLOOKUP($L5,Data_Validation!$A:$D,4,0)</f>
        <v>0</v>
      </c>
      <c r="W5" s="156" t="str">
        <f>+VLOOKUP($L5,Data_Validation!$A:$E,5,0)</f>
        <v>$</v>
      </c>
      <c r="X5" s="156">
        <f>+VLOOKUP($L5,Data_Validation!$A:$F,6,0)</f>
        <v>0</v>
      </c>
    </row>
    <row r="6" spans="1:24" ht="15.75" hidden="1" customHeight="1">
      <c r="A6" s="1013" t="s">
        <v>2233</v>
      </c>
      <c r="B6" s="1013" t="s">
        <v>2234</v>
      </c>
      <c r="C6" s="1014"/>
      <c r="D6" s="1014"/>
      <c r="E6" s="1014"/>
      <c r="F6" s="1013" t="s">
        <v>1</v>
      </c>
      <c r="G6" s="1013" t="s">
        <v>2230</v>
      </c>
      <c r="H6" s="1014"/>
      <c r="I6" s="1015">
        <v>22.67</v>
      </c>
      <c r="J6" s="1015">
        <v>0</v>
      </c>
      <c r="K6" s="1015">
        <v>22.67</v>
      </c>
      <c r="L6" s="153" t="str">
        <f t="shared" si="0"/>
        <v>234</v>
      </c>
      <c r="M6" s="154" t="str">
        <f t="shared" si="1"/>
        <v>TOTAL HRES PROD. SERVICE</v>
      </c>
      <c r="N6" s="155">
        <f>+IF(OR($Q6=Parametres!$G$2,$Q6=Parametres!$G$3),I6,C6)</f>
        <v>22.67</v>
      </c>
      <c r="O6" s="155">
        <f>+IF(OR($Q6=Parametres!$G$2,$Q6=Parametres!$G$3),J6,D6)</f>
        <v>0</v>
      </c>
      <c r="P6" s="155">
        <f>+IF(OR($Q6=Parametres!$G$2,$Q6=Parametres!$G$3),K6,E6)</f>
        <v>22.67</v>
      </c>
      <c r="Q6" s="154" t="str">
        <f t="shared" si="2"/>
        <v>1-Mémo</v>
      </c>
      <c r="R6" s="153" t="str">
        <f t="shared" si="3"/>
        <v>23</v>
      </c>
      <c r="S6" s="154">
        <f t="shared" si="4"/>
        <v>0</v>
      </c>
      <c r="T6" s="156" t="str">
        <f>+VLOOKUP($L6,Data_Validation!$A:$D,1,0)</f>
        <v>234</v>
      </c>
      <c r="U6" s="156">
        <f>+VLOOKUP($L6,Data_Validation!$A:$D,3,0)</f>
        <v>0</v>
      </c>
      <c r="V6" s="156">
        <f>+VLOOKUP($L6,Data_Validation!$A:$D,4,0)</f>
        <v>0</v>
      </c>
      <c r="W6" s="156">
        <f>+VLOOKUP($L6,Data_Validation!$A:$E,5,0)</f>
        <v>0</v>
      </c>
      <c r="X6" s="156">
        <f>+VLOOKUP($L6,Data_Validation!$A:$F,6,0)</f>
        <v>0</v>
      </c>
    </row>
    <row r="7" spans="1:24" ht="15" hidden="1" customHeight="1">
      <c r="A7" s="1013" t="s">
        <v>2235</v>
      </c>
      <c r="B7" s="1013" t="s">
        <v>2236</v>
      </c>
      <c r="C7" s="1014"/>
      <c r="D7" s="1014"/>
      <c r="E7" s="1014"/>
      <c r="F7" s="1013" t="s">
        <v>1</v>
      </c>
      <c r="G7" s="1013" t="s">
        <v>2230</v>
      </c>
      <c r="H7" s="1014"/>
      <c r="I7" s="1015">
        <v>22.7</v>
      </c>
      <c r="J7" s="1015">
        <v>0</v>
      </c>
      <c r="K7" s="1015">
        <v>22.7</v>
      </c>
      <c r="L7" s="153" t="str">
        <f t="shared" si="0"/>
        <v>236</v>
      </c>
      <c r="M7" s="154" t="str">
        <f t="shared" si="1"/>
        <v>HEURES VENDU VW - SERVICE</v>
      </c>
      <c r="N7" s="155">
        <f>+IF(OR($Q7=Parametres!$G$2,$Q7=Parametres!$G$3),I7,C7)</f>
        <v>22.7</v>
      </c>
      <c r="O7" s="155">
        <f>+IF(OR($Q7=Parametres!$G$2,$Q7=Parametres!$G$3),J7,D7)</f>
        <v>0</v>
      </c>
      <c r="P7" s="155">
        <f>+IF(OR($Q7=Parametres!$G$2,$Q7=Parametres!$G$3),K7,E7)</f>
        <v>22.7</v>
      </c>
      <c r="Q7" s="154" t="str">
        <f t="shared" si="2"/>
        <v>1-Mémo</v>
      </c>
      <c r="R7" s="153" t="str">
        <f t="shared" si="3"/>
        <v>23</v>
      </c>
      <c r="S7" s="154">
        <f t="shared" si="4"/>
        <v>0</v>
      </c>
      <c r="T7" s="156" t="str">
        <f>+VLOOKUP($L7,Data_Validation!$A:$D,1,0)</f>
        <v>236</v>
      </c>
      <c r="U7" s="156">
        <f>+VLOOKUP($L7,Data_Validation!$A:$D,3,0)</f>
        <v>0</v>
      </c>
      <c r="V7" s="156">
        <f>+VLOOKUP($L7,Data_Validation!$A:$D,4,0)</f>
        <v>0</v>
      </c>
      <c r="W7" s="156">
        <f>+VLOOKUP($L7,Data_Validation!$A:$E,5,0)</f>
        <v>0</v>
      </c>
      <c r="X7" s="156">
        <f>+VLOOKUP($L7,Data_Validation!$A:$F,6,0)</f>
        <v>0</v>
      </c>
    </row>
    <row r="8" spans="1:24" ht="15" hidden="1" customHeight="1">
      <c r="A8" s="1013" t="s">
        <v>2237</v>
      </c>
      <c r="B8" s="1013" t="s">
        <v>2238</v>
      </c>
      <c r="C8" s="1014"/>
      <c r="D8" s="1014"/>
      <c r="E8" s="1014"/>
      <c r="F8" s="1013" t="s">
        <v>1</v>
      </c>
      <c r="G8" s="1013" t="s">
        <v>2230</v>
      </c>
      <c r="H8" s="1014"/>
      <c r="I8" s="1015">
        <v>25.58</v>
      </c>
      <c r="J8" s="1015">
        <v>0</v>
      </c>
      <c r="K8" s="1015">
        <v>25.58</v>
      </c>
      <c r="L8" s="153" t="str">
        <f t="shared" si="0"/>
        <v>238</v>
      </c>
      <c r="M8" s="154" t="str">
        <f t="shared" si="1"/>
        <v>TOT. HEURES DISP. SERVICE</v>
      </c>
      <c r="N8" s="155">
        <f>+IF(OR($Q8=Parametres!$G$2,$Q8=Parametres!$G$3),I8,C8)</f>
        <v>25.58</v>
      </c>
      <c r="O8" s="155">
        <f>+IF(OR($Q8=Parametres!$G$2,$Q8=Parametres!$G$3),J8,D8)</f>
        <v>0</v>
      </c>
      <c r="P8" s="155">
        <f>+IF(OR($Q8=Parametres!$G$2,$Q8=Parametres!$G$3),K8,E8)</f>
        <v>25.58</v>
      </c>
      <c r="Q8" s="154" t="str">
        <f t="shared" si="2"/>
        <v>1-Mémo</v>
      </c>
      <c r="R8" s="153" t="str">
        <f t="shared" si="3"/>
        <v>23</v>
      </c>
      <c r="S8" s="154">
        <f t="shared" si="4"/>
        <v>0</v>
      </c>
      <c r="T8" s="156" t="str">
        <f>+VLOOKUP($L8,Data_Validation!$A:$D,1,0)</f>
        <v>238</v>
      </c>
      <c r="U8" s="156">
        <f>+VLOOKUP($L8,Data_Validation!$A:$D,3,0)</f>
        <v>0</v>
      </c>
      <c r="V8" s="156">
        <f>+VLOOKUP($L8,Data_Validation!$A:$D,4,0)</f>
        <v>0</v>
      </c>
      <c r="W8" s="156">
        <f>+VLOOKUP($L8,Data_Validation!$A:$E,5,0)</f>
        <v>0</v>
      </c>
      <c r="X8" s="156">
        <f>+VLOOKUP($L8,Data_Validation!$A:$F,6,0)</f>
        <v>0</v>
      </c>
    </row>
    <row r="9" spans="1:24" ht="15" hidden="1" customHeight="1">
      <c r="A9" s="1013" t="s">
        <v>2239</v>
      </c>
      <c r="B9" s="1013" t="s">
        <v>2240</v>
      </c>
      <c r="C9" s="1014"/>
      <c r="D9" s="1014"/>
      <c r="E9" s="1014"/>
      <c r="F9" s="1013" t="s">
        <v>1</v>
      </c>
      <c r="G9" s="1013" t="s">
        <v>2241</v>
      </c>
      <c r="H9" s="1014"/>
      <c r="I9" s="1015">
        <v>134.94999999999999</v>
      </c>
      <c r="J9" s="1015">
        <v>0</v>
      </c>
      <c r="K9" s="1015">
        <v>134.94999999999999</v>
      </c>
      <c r="L9" s="153" t="str">
        <f t="shared" si="0"/>
        <v>243</v>
      </c>
      <c r="M9" s="154" t="str">
        <f t="shared" si="1"/>
        <v>TAUX M/O CLIENT VW</v>
      </c>
      <c r="N9" s="155">
        <f>+IF(OR($Q9=Parametres!$G$2,$Q9=Parametres!$G$3),I9,C9)</f>
        <v>134.94999999999999</v>
      </c>
      <c r="O9" s="575">
        <f>+IF(OR($Q9=Parametres!$G$2,$Q9=Parametres!$G$3),J9,D9)</f>
        <v>0</v>
      </c>
      <c r="P9" s="155">
        <f>+IF(OR($Q9=Parametres!$G$2,$Q9=Parametres!$G$3),K9,E9)</f>
        <v>134.94999999999999</v>
      </c>
      <c r="Q9" s="154" t="str">
        <f t="shared" si="2"/>
        <v>1-Mémo</v>
      </c>
      <c r="R9" s="153" t="str">
        <f t="shared" si="3"/>
        <v>24</v>
      </c>
      <c r="S9" s="154">
        <f t="shared" si="4"/>
        <v>0</v>
      </c>
      <c r="T9" s="156" t="str">
        <f>+VLOOKUP($L9,Data_Validation!$A:$D,1,0)</f>
        <v>243</v>
      </c>
      <c r="U9" s="156">
        <f>+VLOOKUP($L9,Data_Validation!$A:$D,3,0)</f>
        <v>0</v>
      </c>
      <c r="V9" s="156">
        <f>+VLOOKUP($L9,Data_Validation!$A:$D,4,0)</f>
        <v>0</v>
      </c>
      <c r="W9" s="156">
        <f>+VLOOKUP($L9,Data_Validation!$A:$E,5,0)</f>
        <v>0</v>
      </c>
      <c r="X9" s="156">
        <f>+VLOOKUP($L9,Data_Validation!$A:$F,6,0)</f>
        <v>0</v>
      </c>
    </row>
    <row r="10" spans="1:24" ht="15" hidden="1" customHeight="1">
      <c r="A10" s="1013" t="s">
        <v>2242</v>
      </c>
      <c r="B10" s="1013" t="s">
        <v>2243</v>
      </c>
      <c r="C10" s="1014"/>
      <c r="D10" s="1014"/>
      <c r="E10" s="1014"/>
      <c r="F10" s="1013" t="s">
        <v>1</v>
      </c>
      <c r="G10" s="1013" t="s">
        <v>2241</v>
      </c>
      <c r="H10" s="1014"/>
      <c r="I10" s="1015">
        <v>119.44</v>
      </c>
      <c r="J10" s="1015">
        <v>0</v>
      </c>
      <c r="K10" s="1015">
        <v>119.44</v>
      </c>
      <c r="L10" s="153" t="str">
        <f t="shared" si="0"/>
        <v>244</v>
      </c>
      <c r="M10" s="154" t="str">
        <f t="shared" si="1"/>
        <v>TAUX M/O GARANTIE VW</v>
      </c>
      <c r="N10" s="155">
        <f>+IF(OR($Q10=Parametres!$G$2,$Q10=Parametres!$G$3),I10,C10)</f>
        <v>119.44</v>
      </c>
      <c r="O10" s="576">
        <f>+IF(OR($Q10=Parametres!$G$2,$Q10=Parametres!$G$3),J10,D10)</f>
        <v>0</v>
      </c>
      <c r="P10" s="155">
        <f>+IF(OR($Q10=Parametres!$G$2,$Q10=Parametres!$G$3),K10,E10)</f>
        <v>119.44</v>
      </c>
      <c r="Q10" s="154" t="str">
        <f t="shared" si="2"/>
        <v>1-Mémo</v>
      </c>
      <c r="R10" s="153" t="str">
        <f t="shared" si="3"/>
        <v>24</v>
      </c>
      <c r="S10" s="154">
        <f t="shared" si="4"/>
        <v>0</v>
      </c>
      <c r="T10" s="156" t="str">
        <f>+VLOOKUP($L10,Data_Validation!$A:$D,1,0)</f>
        <v>244</v>
      </c>
      <c r="U10" s="156">
        <f>+VLOOKUP($L10,Data_Validation!$A:$D,3,0)</f>
        <v>0</v>
      </c>
      <c r="V10" s="156">
        <f>+VLOOKUP($L10,Data_Validation!$A:$D,4,0)</f>
        <v>0</v>
      </c>
      <c r="W10" s="156">
        <f>+VLOOKUP($L10,Data_Validation!$A:$E,5,0)</f>
        <v>0</v>
      </c>
      <c r="X10" s="156">
        <f>+VLOOKUP($L10,Data_Validation!$A:$F,6,0)</f>
        <v>0</v>
      </c>
    </row>
    <row r="11" spans="1:24" ht="15" hidden="1" customHeight="1">
      <c r="A11" s="1013" t="s">
        <v>2244</v>
      </c>
      <c r="B11" s="1013" t="s">
        <v>2245</v>
      </c>
      <c r="C11" s="1014"/>
      <c r="D11" s="1014"/>
      <c r="E11" s="1014"/>
      <c r="F11" s="1013" t="s">
        <v>1</v>
      </c>
      <c r="G11" s="1013" t="s">
        <v>2241</v>
      </c>
      <c r="H11" s="1014"/>
      <c r="I11" s="1015">
        <v>134.94999999999999</v>
      </c>
      <c r="J11" s="1015">
        <v>0</v>
      </c>
      <c r="K11" s="1015">
        <v>134.94999999999999</v>
      </c>
      <c r="L11" s="153" t="str">
        <f t="shared" si="0"/>
        <v>245</v>
      </c>
      <c r="M11" s="154" t="str">
        <f t="shared" si="1"/>
        <v>TAUX M/O INTERNE VW</v>
      </c>
      <c r="N11" s="155">
        <f>+IF(OR($Q11=Parametres!$G$2,$Q11=Parametres!$G$3),I11,C11)</f>
        <v>134.94999999999999</v>
      </c>
      <c r="O11" s="576">
        <f>+IF(OR($Q11=Parametres!$G$2,$Q11=Parametres!$G$3),J11,D11)</f>
        <v>0</v>
      </c>
      <c r="P11" s="155">
        <f>+IF(OR($Q11=Parametres!$G$2,$Q11=Parametres!$G$3),K11,E11)</f>
        <v>134.94999999999999</v>
      </c>
      <c r="Q11" s="154" t="str">
        <f t="shared" si="2"/>
        <v>1-Mémo</v>
      </c>
      <c r="R11" s="153" t="str">
        <f t="shared" si="3"/>
        <v>24</v>
      </c>
      <c r="S11" s="154">
        <f t="shared" si="4"/>
        <v>0</v>
      </c>
      <c r="T11" s="156" t="str">
        <f>+VLOOKUP($L11,Data_Validation!$A:$D,1,0)</f>
        <v>245</v>
      </c>
      <c r="U11" s="156">
        <f>+VLOOKUP($L11,Data_Validation!$A:$D,3,0)</f>
        <v>0</v>
      </c>
      <c r="V11" s="156">
        <f>+VLOOKUP($L11,Data_Validation!$A:$D,4,0)</f>
        <v>0</v>
      </c>
      <c r="W11" s="156">
        <f>+VLOOKUP($L11,Data_Validation!$A:$E,5,0)</f>
        <v>0</v>
      </c>
      <c r="X11" s="156">
        <f>+VLOOKUP($L11,Data_Validation!$A:$F,6,0)</f>
        <v>0</v>
      </c>
    </row>
    <row r="12" spans="1:24" ht="15" hidden="1" customHeight="1">
      <c r="A12" s="1013" t="s">
        <v>2246</v>
      </c>
      <c r="B12" s="1013" t="s">
        <v>2247</v>
      </c>
      <c r="C12" s="1014"/>
      <c r="D12" s="1014"/>
      <c r="E12" s="1014"/>
      <c r="F12" s="1013" t="s">
        <v>1</v>
      </c>
      <c r="G12" s="1013" t="s">
        <v>2241</v>
      </c>
      <c r="H12" s="1014"/>
      <c r="I12" s="1015">
        <v>60</v>
      </c>
      <c r="J12" s="1015">
        <v>0</v>
      </c>
      <c r="K12" s="1015">
        <v>60</v>
      </c>
      <c r="L12" s="153" t="str">
        <f t="shared" si="0"/>
        <v>246</v>
      </c>
      <c r="M12" s="154" t="str">
        <f t="shared" si="1"/>
        <v>TAUX M/O CARR. VW</v>
      </c>
      <c r="N12" s="155">
        <f>+IF(OR($Q12=Parametres!$G$2,$Q12=Parametres!$G$3),I12,C12)</f>
        <v>60</v>
      </c>
      <c r="O12" s="155">
        <f>+IF(OR($Q12=Parametres!$G$2,$Q12=Parametres!$G$3),J12,D12)</f>
        <v>0</v>
      </c>
      <c r="P12" s="155">
        <f>+IF(OR($Q12=Parametres!$G$2,$Q12=Parametres!$G$3),K12,E12)</f>
        <v>60</v>
      </c>
      <c r="Q12" s="154" t="str">
        <f t="shared" si="2"/>
        <v>1-Mémo</v>
      </c>
      <c r="R12" s="153" t="str">
        <f t="shared" si="3"/>
        <v>24</v>
      </c>
      <c r="S12" s="154">
        <f t="shared" si="4"/>
        <v>0</v>
      </c>
      <c r="T12" s="156" t="str">
        <f>+VLOOKUP($L12,Data_Validation!$A:$D,1,0)</f>
        <v>246</v>
      </c>
      <c r="U12" s="156">
        <f>+VLOOKUP($L12,Data_Validation!$A:$D,3,0)</f>
        <v>0</v>
      </c>
      <c r="V12" s="156">
        <f>+VLOOKUP($L12,Data_Validation!$A:$D,4,0)</f>
        <v>0</v>
      </c>
      <c r="W12" s="156">
        <f>+VLOOKUP($L12,Data_Validation!$A:$E,5,0)</f>
        <v>0</v>
      </c>
      <c r="X12" s="156">
        <f>+VLOOKUP($L12,Data_Validation!$A:$F,6,0)</f>
        <v>0</v>
      </c>
    </row>
    <row r="13" spans="1:24" ht="15" hidden="1" customHeight="1">
      <c r="A13" s="1013" t="s">
        <v>2248</v>
      </c>
      <c r="B13" s="1013" t="s">
        <v>2249</v>
      </c>
      <c r="C13" s="1014"/>
      <c r="D13" s="1014"/>
      <c r="E13" s="1014"/>
      <c r="F13" s="1013" t="s">
        <v>1</v>
      </c>
      <c r="G13" s="1013" t="s">
        <v>2249</v>
      </c>
      <c r="H13" s="1014"/>
      <c r="I13" s="1015">
        <v>0.08</v>
      </c>
      <c r="J13" s="1015">
        <v>0</v>
      </c>
      <c r="K13" s="1015">
        <v>0.08</v>
      </c>
      <c r="L13" s="153" t="str">
        <f t="shared" si="0"/>
        <v>255</v>
      </c>
      <c r="M13" s="154" t="str">
        <f t="shared" si="1"/>
        <v>BAIES TRAVAIL PRODUCTIVES - SERVICE VW</v>
      </c>
      <c r="N13" s="155">
        <f>+IF(OR($Q13=Parametres!$G$2,$Q13=Parametres!$G$3),I13,C13)</f>
        <v>0.08</v>
      </c>
      <c r="O13" s="155">
        <f>+IF(OR($Q13=Parametres!$G$2,$Q13=Parametres!$G$3),J13,D13)</f>
        <v>0</v>
      </c>
      <c r="P13" s="155">
        <f>+IF(OR($Q13=Parametres!$G$2,$Q13=Parametres!$G$3),K13,E13)</f>
        <v>0.08</v>
      </c>
      <c r="Q13" s="154" t="str">
        <f t="shared" si="2"/>
        <v>1-Mémo</v>
      </c>
      <c r="R13" s="153" t="str">
        <f t="shared" si="3"/>
        <v>255</v>
      </c>
      <c r="S13" s="154">
        <f t="shared" si="4"/>
        <v>0</v>
      </c>
      <c r="T13" s="156" t="str">
        <f>+VLOOKUP($L13,Data_Validation!$A:$D,1,0)</f>
        <v>255</v>
      </c>
      <c r="U13" s="156">
        <f>+VLOOKUP($L13,Data_Validation!$A:$D,3,0)</f>
        <v>0</v>
      </c>
      <c r="V13" s="156">
        <f>+VLOOKUP($L13,Data_Validation!$A:$D,4,0)</f>
        <v>0</v>
      </c>
      <c r="W13" s="156">
        <f>+VLOOKUP($L13,Data_Validation!$A:$E,5,0)</f>
        <v>0</v>
      </c>
      <c r="X13" s="156">
        <f>+VLOOKUP($L13,Data_Validation!$A:$F,6,0)</f>
        <v>0</v>
      </c>
    </row>
    <row r="14" spans="1:24" ht="15" hidden="1" customHeight="1">
      <c r="A14" s="1013" t="s">
        <v>2250</v>
      </c>
      <c r="B14" s="1013" t="s">
        <v>2251</v>
      </c>
      <c r="C14" s="1014"/>
      <c r="D14" s="1014"/>
      <c r="E14" s="1014"/>
      <c r="F14" s="1013" t="s">
        <v>1</v>
      </c>
      <c r="G14" s="1013" t="s">
        <v>2251</v>
      </c>
      <c r="H14" s="1014"/>
      <c r="I14" s="1015">
        <v>815.26</v>
      </c>
      <c r="J14" s="1015">
        <v>0</v>
      </c>
      <c r="K14" s="1015">
        <v>815.26</v>
      </c>
      <c r="L14" s="153" t="str">
        <f t="shared" si="0"/>
        <v>257</v>
      </c>
      <c r="M14" s="154" t="str">
        <f t="shared" si="1"/>
        <v>HEURES VENDUES - SERVICE - CLIENT VW</v>
      </c>
      <c r="N14" s="155">
        <f>+IF(OR($Q14=Parametres!$G$2,$Q14=Parametres!$G$3),I14,C14)</f>
        <v>815.26</v>
      </c>
      <c r="O14" s="155">
        <f>+IF(OR($Q14=Parametres!$G$2,$Q14=Parametres!$G$3),J14,D14)</f>
        <v>0</v>
      </c>
      <c r="P14" s="155">
        <f>+IF(OR($Q14=Parametres!$G$2,$Q14=Parametres!$G$3),K14,E14)</f>
        <v>815.26</v>
      </c>
      <c r="Q14" s="154" t="str">
        <f t="shared" si="2"/>
        <v>1-Mémo</v>
      </c>
      <c r="R14" s="153" t="str">
        <f t="shared" si="3"/>
        <v>257</v>
      </c>
      <c r="S14" s="154">
        <f t="shared" si="4"/>
        <v>0</v>
      </c>
      <c r="T14" s="156" t="str">
        <f>+VLOOKUP($L14,Data_Validation!$A:$D,1,0)</f>
        <v>257</v>
      </c>
      <c r="U14" s="156">
        <f>+VLOOKUP($L14,Data_Validation!$A:$D,3,0)</f>
        <v>0</v>
      </c>
      <c r="V14" s="156">
        <f>+VLOOKUP($L14,Data_Validation!$A:$D,4,0)</f>
        <v>0</v>
      </c>
      <c r="W14" s="156">
        <f>+VLOOKUP($L14,Data_Validation!$A:$E,5,0)</f>
        <v>0</v>
      </c>
      <c r="X14" s="156">
        <f>+VLOOKUP($L14,Data_Validation!$A:$F,6,0)</f>
        <v>0</v>
      </c>
    </row>
    <row r="15" spans="1:24" ht="15" hidden="1" customHeight="1">
      <c r="A15" s="1013" t="s">
        <v>2252</v>
      </c>
      <c r="B15" s="1013" t="s">
        <v>2253</v>
      </c>
      <c r="C15" s="1014"/>
      <c r="D15" s="1014"/>
      <c r="E15" s="1014"/>
      <c r="F15" s="1013" t="s">
        <v>1</v>
      </c>
      <c r="G15" s="1013" t="s">
        <v>2251</v>
      </c>
      <c r="H15" s="1014"/>
      <c r="I15" s="1015">
        <v>769.1</v>
      </c>
      <c r="J15" s="1015">
        <v>0</v>
      </c>
      <c r="K15" s="1015">
        <v>769.1</v>
      </c>
      <c r="L15" s="153" t="str">
        <f t="shared" si="0"/>
        <v>258</v>
      </c>
      <c r="M15" s="154" t="str">
        <f t="shared" si="1"/>
        <v>HEURES VENDUES - SERVICE - GARANTIE VW</v>
      </c>
      <c r="N15" s="155">
        <f>+IF(OR($Q15=Parametres!$G$2,$Q15=Parametres!$G$3),I15,C15)</f>
        <v>769.1</v>
      </c>
      <c r="O15" s="155">
        <f>+IF(OR($Q15=Parametres!$G$2,$Q15=Parametres!$G$3),J15,D15)</f>
        <v>0</v>
      </c>
      <c r="P15" s="155">
        <f>+IF(OR($Q15=Parametres!$G$2,$Q15=Parametres!$G$3),K15,E15)</f>
        <v>769.1</v>
      </c>
      <c r="Q15" s="154" t="str">
        <f t="shared" si="2"/>
        <v>1-Mémo</v>
      </c>
      <c r="R15" s="153" t="str">
        <f t="shared" si="3"/>
        <v>257</v>
      </c>
      <c r="S15" s="154">
        <f t="shared" si="4"/>
        <v>0</v>
      </c>
      <c r="T15" s="156" t="str">
        <f>+VLOOKUP($L15,Data_Validation!$A:$D,1,0)</f>
        <v>258</v>
      </c>
      <c r="U15" s="156">
        <f>+VLOOKUP($L15,Data_Validation!$A:$D,3,0)</f>
        <v>0</v>
      </c>
      <c r="V15" s="156">
        <f>+VLOOKUP($L15,Data_Validation!$A:$D,4,0)</f>
        <v>0</v>
      </c>
      <c r="W15" s="156">
        <f>+VLOOKUP($L15,Data_Validation!$A:$E,5,0)</f>
        <v>0</v>
      </c>
      <c r="X15" s="156">
        <f>+VLOOKUP($L15,Data_Validation!$A:$F,6,0)</f>
        <v>0</v>
      </c>
    </row>
    <row r="16" spans="1:24" ht="15" hidden="1" customHeight="1">
      <c r="A16" s="1013" t="s">
        <v>2254</v>
      </c>
      <c r="B16" s="1013" t="s">
        <v>2255</v>
      </c>
      <c r="C16" s="1014"/>
      <c r="D16" s="1014"/>
      <c r="E16" s="1014"/>
      <c r="F16" s="1013" t="s">
        <v>1</v>
      </c>
      <c r="G16" s="1013" t="s">
        <v>2251</v>
      </c>
      <c r="H16" s="1014"/>
      <c r="I16" s="1015">
        <v>685.62</v>
      </c>
      <c r="J16" s="1015">
        <v>0</v>
      </c>
      <c r="K16" s="1015">
        <v>685.62</v>
      </c>
      <c r="L16" s="153" t="str">
        <f t="shared" si="0"/>
        <v>259</v>
      </c>
      <c r="M16" s="154" t="str">
        <f t="shared" si="1"/>
        <v>HEURES VENDUES - SERVICE - INTERNE VW</v>
      </c>
      <c r="N16" s="155">
        <f>+IF(OR($Q16=Parametres!$G$2,$Q16=Parametres!$G$3),I16,C16)</f>
        <v>685.62</v>
      </c>
      <c r="O16" s="155">
        <f>+IF(OR($Q16=Parametres!$G$2,$Q16=Parametres!$G$3),J16,D16)</f>
        <v>0</v>
      </c>
      <c r="P16" s="155">
        <f>+IF(OR($Q16=Parametres!$G$2,$Q16=Parametres!$G$3),K16,E16)</f>
        <v>685.62</v>
      </c>
      <c r="Q16" s="154" t="str">
        <f t="shared" si="2"/>
        <v>1-Mémo</v>
      </c>
      <c r="R16" s="153" t="str">
        <f t="shared" si="3"/>
        <v>257</v>
      </c>
      <c r="S16" s="154">
        <f t="shared" si="4"/>
        <v>0</v>
      </c>
      <c r="T16" s="156" t="str">
        <f>+VLOOKUP($L16,Data_Validation!$A:$D,1,0)</f>
        <v>259</v>
      </c>
      <c r="U16" s="156">
        <f>+VLOOKUP($L16,Data_Validation!$A:$D,3,0)</f>
        <v>0</v>
      </c>
      <c r="V16" s="156">
        <f>+VLOOKUP($L16,Data_Validation!$A:$D,4,0)</f>
        <v>0</v>
      </c>
      <c r="W16" s="156">
        <f>+VLOOKUP($L16,Data_Validation!$A:$E,5,0)</f>
        <v>0</v>
      </c>
      <c r="X16" s="156">
        <f>+VLOOKUP($L16,Data_Validation!$A:$F,6,0)</f>
        <v>0</v>
      </c>
    </row>
    <row r="17" spans="1:24" ht="15" hidden="1" customHeight="1">
      <c r="A17" s="1013" t="s">
        <v>2256</v>
      </c>
      <c r="B17" s="1013" t="s">
        <v>2257</v>
      </c>
      <c r="C17" s="1014"/>
      <c r="D17" s="1014"/>
      <c r="E17" s="1014"/>
      <c r="F17" s="1013" t="s">
        <v>1</v>
      </c>
      <c r="G17" s="1013" t="s">
        <v>2211</v>
      </c>
      <c r="H17" s="1014"/>
      <c r="I17" s="1015">
        <v>-1964.44</v>
      </c>
      <c r="J17" s="1015">
        <v>0</v>
      </c>
      <c r="K17" s="1015">
        <v>-1964.44</v>
      </c>
      <c r="L17" s="153" t="str">
        <f t="shared" si="0"/>
        <v>300</v>
      </c>
      <c r="M17" s="154" t="str">
        <f t="shared" si="1"/>
        <v>REC VEH PASSE DU 30-60</v>
      </c>
      <c r="N17" s="155">
        <f>+IF(OR($Q17=Parametres!$G$2,$Q17=Parametres!$G$3),I17,C17)</f>
        <v>-1964.44</v>
      </c>
      <c r="O17" s="155">
        <f>+IF(OR($Q17=Parametres!$G$2,$Q17=Parametres!$G$3),J17,D17)</f>
        <v>0</v>
      </c>
      <c r="P17" s="155">
        <f>+IF(OR($Q17=Parametres!$G$2,$Q17=Parametres!$G$3),K17,E17)</f>
        <v>-1964.44</v>
      </c>
      <c r="Q17" s="154" t="str">
        <f t="shared" si="2"/>
        <v>1-Mémo</v>
      </c>
      <c r="R17" s="153" t="str">
        <f t="shared" si="3"/>
        <v>30</v>
      </c>
      <c r="S17" s="154">
        <f t="shared" si="4"/>
        <v>0</v>
      </c>
      <c r="T17" s="156" t="str">
        <f>+VLOOKUP($L17,Data_Validation!$A:$D,1,0)</f>
        <v>300</v>
      </c>
      <c r="U17" s="156">
        <f>+VLOOKUP($L17,Data_Validation!$A:$D,3,0)</f>
        <v>0</v>
      </c>
      <c r="V17" s="156">
        <f>+VLOOKUP($L17,Data_Validation!$A:$D,4,0)</f>
        <v>0</v>
      </c>
      <c r="W17" s="156">
        <f>+VLOOKUP($L17,Data_Validation!$A:$E,5,0)</f>
        <v>0</v>
      </c>
      <c r="X17" s="156">
        <f>+VLOOKUP($L17,Data_Validation!$A:$F,6,0)</f>
        <v>0</v>
      </c>
    </row>
    <row r="18" spans="1:24" ht="15" hidden="1" customHeight="1">
      <c r="A18" s="1013" t="s">
        <v>2258</v>
      </c>
      <c r="B18" s="1013" t="s">
        <v>2259</v>
      </c>
      <c r="C18" s="1014"/>
      <c r="D18" s="1014"/>
      <c r="E18" s="1014"/>
      <c r="F18" s="1013" t="s">
        <v>1</v>
      </c>
      <c r="G18" s="1013" t="s">
        <v>2211</v>
      </c>
      <c r="H18" s="1014"/>
      <c r="I18" s="1015">
        <v>34141.97</v>
      </c>
      <c r="J18" s="1015">
        <v>0</v>
      </c>
      <c r="K18" s="1015">
        <v>34141.97</v>
      </c>
      <c r="L18" s="153" t="str">
        <f t="shared" si="0"/>
        <v>301</v>
      </c>
      <c r="M18" s="154" t="str">
        <f t="shared" si="1"/>
        <v>CLIENT S P ET A PASSE DU 30-60</v>
      </c>
      <c r="N18" s="155">
        <f>+IF(OR($Q18=Parametres!$G$2,$Q18=Parametres!$G$3),I18,C18)</f>
        <v>34141.97</v>
      </c>
      <c r="O18" s="155">
        <f>+IF(OR($Q18=Parametres!$G$2,$Q18=Parametres!$G$3),J18,D18)</f>
        <v>0</v>
      </c>
      <c r="P18" s="155">
        <f>+IF(OR($Q18=Parametres!$G$2,$Q18=Parametres!$G$3),K18,E18)</f>
        <v>34141.97</v>
      </c>
      <c r="Q18" s="154" t="str">
        <f t="shared" si="2"/>
        <v>1-Mémo</v>
      </c>
      <c r="R18" s="153" t="str">
        <f t="shared" si="3"/>
        <v>30</v>
      </c>
      <c r="S18" s="154">
        <f t="shared" si="4"/>
        <v>0</v>
      </c>
      <c r="T18" s="156" t="str">
        <f>+VLOOKUP($L18,Data_Validation!$A:$D,1,0)</f>
        <v>301</v>
      </c>
      <c r="U18" s="156">
        <f>+VLOOKUP($L18,Data_Validation!$A:$D,3,0)</f>
        <v>0</v>
      </c>
      <c r="V18" s="156">
        <f>+VLOOKUP($L18,Data_Validation!$A:$D,4,0)</f>
        <v>0</v>
      </c>
      <c r="W18" s="156">
        <f>+VLOOKUP($L18,Data_Validation!$A:$E,5,0)</f>
        <v>0</v>
      </c>
      <c r="X18" s="156">
        <f>+VLOOKUP($L18,Data_Validation!$A:$F,6,0)</f>
        <v>0</v>
      </c>
    </row>
    <row r="19" spans="1:24" ht="15" hidden="1" customHeight="1">
      <c r="A19" s="1013" t="s">
        <v>2260</v>
      </c>
      <c r="B19" s="1013" t="s">
        <v>2261</v>
      </c>
      <c r="C19" s="1014"/>
      <c r="D19" s="1014"/>
      <c r="E19" s="1014"/>
      <c r="F19" s="1013" t="s">
        <v>1</v>
      </c>
      <c r="G19" s="1013" t="s">
        <v>2211</v>
      </c>
      <c r="H19" s="1014"/>
      <c r="I19" s="1015">
        <v>17975.259999999998</v>
      </c>
      <c r="J19" s="1015">
        <v>0</v>
      </c>
      <c r="K19" s="1015">
        <v>17975.259999999998</v>
      </c>
      <c r="L19" s="153" t="str">
        <f t="shared" si="0"/>
        <v>302</v>
      </c>
      <c r="M19" s="154" t="str">
        <f t="shared" si="1"/>
        <v>RECLAM GARANTIE VW PASSE DU 30-60</v>
      </c>
      <c r="N19" s="155">
        <f>+IF(OR($Q19=Parametres!$G$2,$Q19=Parametres!$G$3),I19,C19)</f>
        <v>17975.259999999998</v>
      </c>
      <c r="O19" s="575">
        <f>+IF(OR($Q19=Parametres!$G$2,$Q19=Parametres!$G$3),J19,D19)</f>
        <v>0</v>
      </c>
      <c r="P19" s="155">
        <f>+IF(OR($Q19=Parametres!$G$2,$Q19=Parametres!$G$3),K19,E19)</f>
        <v>17975.259999999998</v>
      </c>
      <c r="Q19" s="154" t="str">
        <f t="shared" si="2"/>
        <v>1-Mémo</v>
      </c>
      <c r="R19" s="153" t="str">
        <f t="shared" si="3"/>
        <v>30</v>
      </c>
      <c r="S19" s="154">
        <f t="shared" si="4"/>
        <v>0</v>
      </c>
      <c r="T19" s="156" t="str">
        <f>+VLOOKUP($L19,Data_Validation!$A:$D,1,0)</f>
        <v>302</v>
      </c>
      <c r="U19" s="156">
        <f>+VLOOKUP($L19,Data_Validation!$A:$D,3,0)</f>
        <v>0</v>
      </c>
      <c r="V19" s="156">
        <f>+VLOOKUP($L19,Data_Validation!$A:$D,4,0)</f>
        <v>0</v>
      </c>
      <c r="W19" s="156">
        <f>+VLOOKUP($L19,Data_Validation!$A:$E,5,0)</f>
        <v>0</v>
      </c>
      <c r="X19" s="156">
        <f>+VLOOKUP($L19,Data_Validation!$A:$F,6,0)</f>
        <v>0</v>
      </c>
    </row>
    <row r="20" spans="1:24" ht="15" hidden="1" customHeight="1">
      <c r="A20" s="1013" t="s">
        <v>2262</v>
      </c>
      <c r="B20" s="1013" t="s">
        <v>2263</v>
      </c>
      <c r="C20" s="1014"/>
      <c r="D20" s="1014"/>
      <c r="E20" s="1014"/>
      <c r="F20" s="1013" t="s">
        <v>1</v>
      </c>
      <c r="G20" s="1013" t="s">
        <v>2211</v>
      </c>
      <c r="H20" s="1014"/>
      <c r="I20" s="1015">
        <v>15294.65</v>
      </c>
      <c r="J20" s="1015">
        <v>0</v>
      </c>
      <c r="K20" s="1015">
        <v>15294.65</v>
      </c>
      <c r="L20" s="153" t="str">
        <f t="shared" si="0"/>
        <v>307</v>
      </c>
      <c r="M20" s="154" t="str">
        <f t="shared" si="1"/>
        <v>AUTRE REC MANUFACTURIER VW PASSE DU 30-60</v>
      </c>
      <c r="N20" s="155">
        <f>+IF(OR($Q20=Parametres!$G$2,$Q20=Parametres!$G$3),I20,C20)</f>
        <v>15294.65</v>
      </c>
      <c r="O20" s="155">
        <f>+IF(OR($Q20=Parametres!$G$2,$Q20=Parametres!$G$3),J20,D20)</f>
        <v>0</v>
      </c>
      <c r="P20" s="155">
        <f>+IF(OR($Q20=Parametres!$G$2,$Q20=Parametres!$G$3),K20,E20)</f>
        <v>15294.65</v>
      </c>
      <c r="Q20" s="154" t="str">
        <f t="shared" si="2"/>
        <v>1-Mémo</v>
      </c>
      <c r="R20" s="153" t="str">
        <f t="shared" si="3"/>
        <v>30</v>
      </c>
      <c r="S20" s="154">
        <f t="shared" si="4"/>
        <v>0</v>
      </c>
      <c r="T20" s="156" t="str">
        <f>+VLOOKUP($L20,Data_Validation!$A:$D,1,0)</f>
        <v>307</v>
      </c>
      <c r="U20" s="156">
        <f>+VLOOKUP($L20,Data_Validation!$A:$D,3,0)</f>
        <v>0</v>
      </c>
      <c r="V20" s="156">
        <f>+VLOOKUP($L20,Data_Validation!$A:$D,4,0)</f>
        <v>0</v>
      </c>
      <c r="W20" s="156">
        <f>+VLOOKUP($L20,Data_Validation!$A:$E,5,0)</f>
        <v>0</v>
      </c>
      <c r="X20" s="156">
        <f>+VLOOKUP($L20,Data_Validation!$A:$F,6,0)</f>
        <v>0</v>
      </c>
    </row>
    <row r="21" spans="1:24" ht="15" hidden="1" customHeight="1">
      <c r="A21" s="1013" t="s">
        <v>2264</v>
      </c>
      <c r="B21" s="1013" t="s">
        <v>2265</v>
      </c>
      <c r="C21" s="1014"/>
      <c r="D21" s="1014"/>
      <c r="E21" s="1014"/>
      <c r="F21" s="1013" t="s">
        <v>1</v>
      </c>
      <c r="G21" s="1013" t="s">
        <v>2266</v>
      </c>
      <c r="H21" s="1014"/>
      <c r="I21" s="1015">
        <v>2704.9</v>
      </c>
      <c r="J21" s="1015">
        <v>0</v>
      </c>
      <c r="K21" s="1015">
        <v>2704.9</v>
      </c>
      <c r="L21" s="153" t="str">
        <f t="shared" si="0"/>
        <v>311</v>
      </c>
      <c r="M21" s="154" t="str">
        <f t="shared" si="1"/>
        <v>CLIENT VEH PLUS DE 60</v>
      </c>
      <c r="N21" s="155">
        <f>+IF(OR($Q21=Parametres!$G$2,$Q21=Parametres!$G$3),I21,C21)</f>
        <v>2704.9</v>
      </c>
      <c r="O21" s="155">
        <f>+IF(OR($Q21=Parametres!$G$2,$Q21=Parametres!$G$3),J21,D21)</f>
        <v>0</v>
      </c>
      <c r="P21" s="155">
        <f>+IF(OR($Q21=Parametres!$G$2,$Q21=Parametres!$G$3),K21,E21)</f>
        <v>2704.9</v>
      </c>
      <c r="Q21" s="154" t="str">
        <f t="shared" si="2"/>
        <v>1-Mémo</v>
      </c>
      <c r="R21" s="153" t="str">
        <f t="shared" si="3"/>
        <v>31</v>
      </c>
      <c r="S21" s="154">
        <f t="shared" si="4"/>
        <v>0</v>
      </c>
      <c r="T21" s="156" t="str">
        <f>+VLOOKUP($L21,Data_Validation!$A:$D,1,0)</f>
        <v>311</v>
      </c>
      <c r="U21" s="156">
        <f>+VLOOKUP($L21,Data_Validation!$A:$D,3,0)</f>
        <v>0</v>
      </c>
      <c r="V21" s="156">
        <f>+VLOOKUP($L21,Data_Validation!$A:$D,4,0)</f>
        <v>0</v>
      </c>
      <c r="W21" s="156">
        <f>+VLOOKUP($L21,Data_Validation!$A:$E,5,0)</f>
        <v>0</v>
      </c>
      <c r="X21" s="156">
        <f>+VLOOKUP($L21,Data_Validation!$A:$F,6,0)</f>
        <v>0</v>
      </c>
    </row>
    <row r="22" spans="1:24" ht="15" hidden="1" customHeight="1">
      <c r="A22" s="1013" t="s">
        <v>2267</v>
      </c>
      <c r="B22" s="1013" t="s">
        <v>2268</v>
      </c>
      <c r="C22" s="1014"/>
      <c r="D22" s="1014"/>
      <c r="E22" s="1014"/>
      <c r="F22" s="1013" t="s">
        <v>1</v>
      </c>
      <c r="G22" s="1013" t="s">
        <v>2266</v>
      </c>
      <c r="H22" s="1014"/>
      <c r="I22" s="1015">
        <v>-22960.52</v>
      </c>
      <c r="J22" s="1015">
        <v>0</v>
      </c>
      <c r="K22" s="1015">
        <v>-22960.52</v>
      </c>
      <c r="L22" s="153" t="str">
        <f t="shared" si="0"/>
        <v>312</v>
      </c>
      <c r="M22" s="154" t="str">
        <f t="shared" si="1"/>
        <v>CLIENT S P ET A PLUS DE 60</v>
      </c>
      <c r="N22" s="155">
        <f>+IF(OR($Q22=Parametres!$G$2,$Q22=Parametres!$G$3),I22,C22)</f>
        <v>-22960.52</v>
      </c>
      <c r="O22" s="572">
        <f>+IF(OR($Q22=Parametres!$G$2,$Q22=Parametres!$G$3),J22,D22)</f>
        <v>0</v>
      </c>
      <c r="P22" s="155">
        <f>+IF(OR($Q22=Parametres!$G$2,$Q22=Parametres!$G$3),K22,E22)</f>
        <v>-22960.52</v>
      </c>
      <c r="Q22" s="154" t="str">
        <f t="shared" si="2"/>
        <v>1-Mémo</v>
      </c>
      <c r="R22" s="153" t="str">
        <f t="shared" si="3"/>
        <v>31</v>
      </c>
      <c r="S22" s="154">
        <f t="shared" si="4"/>
        <v>0</v>
      </c>
      <c r="T22" s="156" t="str">
        <f>+VLOOKUP($L22,Data_Validation!$A:$D,1,0)</f>
        <v>312</v>
      </c>
      <c r="U22" s="156">
        <f>+VLOOKUP($L22,Data_Validation!$A:$D,3,0)</f>
        <v>0</v>
      </c>
      <c r="V22" s="156">
        <f>+VLOOKUP($L22,Data_Validation!$A:$D,4,0)</f>
        <v>0</v>
      </c>
      <c r="W22" s="156">
        <f>+VLOOKUP($L22,Data_Validation!$A:$E,5,0)</f>
        <v>0</v>
      </c>
      <c r="X22" s="156">
        <f>+VLOOKUP($L22,Data_Validation!$A:$F,6,0)</f>
        <v>0</v>
      </c>
    </row>
    <row r="23" spans="1:24" ht="15" hidden="1" customHeight="1">
      <c r="A23" s="1013" t="s">
        <v>2269</v>
      </c>
      <c r="B23" s="1013" t="s">
        <v>2270</v>
      </c>
      <c r="C23" s="1014"/>
      <c r="D23" s="1014"/>
      <c r="E23" s="1014"/>
      <c r="F23" s="1013" t="s">
        <v>1</v>
      </c>
      <c r="G23" s="1013" t="s">
        <v>2266</v>
      </c>
      <c r="H23" s="1014"/>
      <c r="I23" s="1015">
        <v>7881.15</v>
      </c>
      <c r="J23" s="1015">
        <v>0</v>
      </c>
      <c r="K23" s="1015">
        <v>7881.15</v>
      </c>
      <c r="L23" s="153" t="str">
        <f t="shared" si="0"/>
        <v>313</v>
      </c>
      <c r="M23" s="154" t="str">
        <f t="shared" si="1"/>
        <v>RECLAMATIONS DE GARATIE VW PLUS DE 60</v>
      </c>
      <c r="N23" s="155">
        <f>+IF(OR($Q23=Parametres!$G$2,$Q23=Parametres!$G$3),I23,C23)</f>
        <v>7881.15</v>
      </c>
      <c r="O23" s="155">
        <f>+IF(OR($Q23=Parametres!$G$2,$Q23=Parametres!$G$3),J23,D23)</f>
        <v>0</v>
      </c>
      <c r="P23" s="155">
        <f>+IF(OR($Q23=Parametres!$G$2,$Q23=Parametres!$G$3),K23,E23)</f>
        <v>7881.15</v>
      </c>
      <c r="Q23" s="154" t="str">
        <f t="shared" si="2"/>
        <v>1-Mémo</v>
      </c>
      <c r="R23" s="153" t="str">
        <f t="shared" si="3"/>
        <v>31</v>
      </c>
      <c r="S23" s="154">
        <f t="shared" si="4"/>
        <v>0</v>
      </c>
      <c r="T23" s="156" t="str">
        <f>+VLOOKUP($L23,Data_Validation!$A:$D,1,0)</f>
        <v>313</v>
      </c>
      <c r="U23" s="156">
        <f>+VLOOKUP($L23,Data_Validation!$A:$D,3,0)</f>
        <v>0</v>
      </c>
      <c r="V23" s="156">
        <f>+VLOOKUP($L23,Data_Validation!$A:$D,4,0)</f>
        <v>0</v>
      </c>
      <c r="W23" s="156">
        <f>+VLOOKUP($L23,Data_Validation!$A:$E,5,0)</f>
        <v>0</v>
      </c>
      <c r="X23" s="156">
        <f>+VLOOKUP($L23,Data_Validation!$A:$F,6,0)</f>
        <v>0</v>
      </c>
    </row>
    <row r="24" spans="1:24" ht="15" hidden="1" customHeight="1">
      <c r="A24" s="1013" t="s">
        <v>2271</v>
      </c>
      <c r="B24" s="1013" t="s">
        <v>2272</v>
      </c>
      <c r="C24" s="1014"/>
      <c r="D24" s="1014"/>
      <c r="E24" s="1014"/>
      <c r="F24" s="1013" t="s">
        <v>1</v>
      </c>
      <c r="G24" s="1013" t="s">
        <v>2266</v>
      </c>
      <c r="H24" s="1014"/>
      <c r="I24" s="1015">
        <v>-20279.21</v>
      </c>
      <c r="J24" s="1015">
        <v>0</v>
      </c>
      <c r="K24" s="1015">
        <v>-20279.21</v>
      </c>
      <c r="L24" s="153" t="str">
        <f t="shared" si="0"/>
        <v>316</v>
      </c>
      <c r="M24" s="154" t="str">
        <f t="shared" si="1"/>
        <v>AUTRE REC MANUFACTURIER VW PLUS DE 60</v>
      </c>
      <c r="N24" s="155">
        <f>+IF(OR($Q24=Parametres!$G$2,$Q24=Parametres!$G$3),I24,C24)</f>
        <v>-20279.21</v>
      </c>
      <c r="O24" s="155">
        <f>+IF(OR($Q24=Parametres!$G$2,$Q24=Parametres!$G$3),J24,D24)</f>
        <v>0</v>
      </c>
      <c r="P24" s="155">
        <f>+IF(OR($Q24=Parametres!$G$2,$Q24=Parametres!$G$3),K24,E24)</f>
        <v>-20279.21</v>
      </c>
      <c r="Q24" s="154" t="str">
        <f t="shared" si="2"/>
        <v>1-Mémo</v>
      </c>
      <c r="R24" s="153" t="str">
        <f t="shared" si="3"/>
        <v>31</v>
      </c>
      <c r="S24" s="154">
        <f t="shared" si="4"/>
        <v>0</v>
      </c>
      <c r="T24" s="156" t="str">
        <f>+VLOOKUP($L24,Data_Validation!$A:$D,1,0)</f>
        <v>316</v>
      </c>
      <c r="U24" s="156">
        <f>+VLOOKUP($L24,Data_Validation!$A:$D,3,0)</f>
        <v>0</v>
      </c>
      <c r="V24" s="156">
        <f>+VLOOKUP($L24,Data_Validation!$A:$D,4,0)</f>
        <v>0</v>
      </c>
      <c r="W24" s="156">
        <f>+VLOOKUP($L24,Data_Validation!$A:$E,5,0)</f>
        <v>0</v>
      </c>
      <c r="X24" s="156">
        <f>+VLOOKUP($L24,Data_Validation!$A:$F,6,0)</f>
        <v>0</v>
      </c>
    </row>
    <row r="25" spans="1:24" ht="15" hidden="1" customHeight="1">
      <c r="A25" s="1013" t="s">
        <v>2273</v>
      </c>
      <c r="B25" s="1013" t="s">
        <v>2274</v>
      </c>
      <c r="C25" s="1014"/>
      <c r="D25" s="1014"/>
      <c r="E25" s="1014"/>
      <c r="F25" s="1013" t="s">
        <v>1</v>
      </c>
      <c r="G25" s="1013" t="s">
        <v>2275</v>
      </c>
      <c r="H25" s="1014"/>
      <c r="I25" s="1015">
        <v>0.15</v>
      </c>
      <c r="J25" s="1015">
        <v>0</v>
      </c>
      <c r="K25" s="1015">
        <v>0.15</v>
      </c>
      <c r="L25" s="153" t="str">
        <f t="shared" si="0"/>
        <v>350</v>
      </c>
      <c r="M25" s="154" t="str">
        <f t="shared" si="1"/>
        <v>UNITES USAGES +30JRS</v>
      </c>
      <c r="N25" s="155">
        <f>+IF(OR($Q25=Parametres!$G$2,$Q25=Parametres!$G$3),I25,C25)</f>
        <v>0.15</v>
      </c>
      <c r="O25" s="155">
        <f>+IF(OR($Q25=Parametres!$G$2,$Q25=Parametres!$G$3),J25,D25)</f>
        <v>0</v>
      </c>
      <c r="P25" s="155">
        <f>+IF(OR($Q25=Parametres!$G$2,$Q25=Parametres!$G$3),K25,E25)</f>
        <v>0.15</v>
      </c>
      <c r="Q25" s="154" t="str">
        <f t="shared" si="2"/>
        <v>1-Mémo</v>
      </c>
      <c r="R25" s="153" t="str">
        <f t="shared" si="3"/>
        <v>35</v>
      </c>
      <c r="S25" s="154">
        <f t="shared" si="4"/>
        <v>0</v>
      </c>
      <c r="T25" s="156" t="str">
        <f>+VLOOKUP($L25,Data_Validation!$A:$D,1,0)</f>
        <v>350</v>
      </c>
      <c r="U25" s="156">
        <f>+VLOOKUP($L25,Data_Validation!$A:$D,3,0)</f>
        <v>0</v>
      </c>
      <c r="V25" s="156">
        <f>+VLOOKUP($L25,Data_Validation!$A:$D,4,0)</f>
        <v>0</v>
      </c>
      <c r="W25" s="156">
        <f>+VLOOKUP($L25,Data_Validation!$A:$E,5,0)</f>
        <v>0</v>
      </c>
      <c r="X25" s="156">
        <f>+VLOOKUP($L25,Data_Validation!$A:$F,6,0)</f>
        <v>0</v>
      </c>
    </row>
    <row r="26" spans="1:24" ht="15.75" hidden="1" customHeight="1">
      <c r="A26" s="1013" t="s">
        <v>2276</v>
      </c>
      <c r="B26" s="1013" t="s">
        <v>2277</v>
      </c>
      <c r="C26" s="1014"/>
      <c r="D26" s="1014"/>
      <c r="E26" s="1014"/>
      <c r="F26" s="1013" t="s">
        <v>1</v>
      </c>
      <c r="G26" s="1013" t="s">
        <v>2278</v>
      </c>
      <c r="H26" s="1014"/>
      <c r="I26" s="1015">
        <v>259205.35</v>
      </c>
      <c r="J26" s="1015">
        <v>0</v>
      </c>
      <c r="K26" s="1015">
        <v>259205.35</v>
      </c>
      <c r="L26" s="153" t="str">
        <f t="shared" si="0"/>
        <v>360</v>
      </c>
      <c r="M26" s="154" t="str">
        <f t="shared" si="1"/>
        <v>OCCASION VW + 60 JRS</v>
      </c>
      <c r="N26" s="155">
        <f>+IF(OR($Q26=Parametres!$G$2,$Q26=Parametres!$G$3),I26,C26)</f>
        <v>259205.35</v>
      </c>
      <c r="O26" s="155">
        <f>+IF(OR($Q26=Parametres!$G$2,$Q26=Parametres!$G$3),J26,D26)</f>
        <v>0</v>
      </c>
      <c r="P26" s="155">
        <f>+IF(OR($Q26=Parametres!$G$2,$Q26=Parametres!$G$3),K26,E26)</f>
        <v>259205.35</v>
      </c>
      <c r="Q26" s="154" t="str">
        <f t="shared" si="2"/>
        <v>1-Mémo</v>
      </c>
      <c r="R26" s="153" t="str">
        <f t="shared" si="3"/>
        <v>36</v>
      </c>
      <c r="S26" s="154">
        <f t="shared" si="4"/>
        <v>0</v>
      </c>
      <c r="T26" s="156" t="str">
        <f>+VLOOKUP($L26,Data_Validation!$A:$D,1,0)</f>
        <v>360</v>
      </c>
      <c r="U26" s="156">
        <f>+VLOOKUP($L26,Data_Validation!$A:$D,3,0)</f>
        <v>0</v>
      </c>
      <c r="V26" s="156">
        <f>+VLOOKUP($L26,Data_Validation!$A:$D,4,0)</f>
        <v>0</v>
      </c>
      <c r="W26" s="156">
        <f>+VLOOKUP($L26,Data_Validation!$A:$E,5,0)</f>
        <v>0</v>
      </c>
      <c r="X26" s="156">
        <f>+VLOOKUP($L26,Data_Validation!$A:$F,6,0)</f>
        <v>0</v>
      </c>
    </row>
    <row r="27" spans="1:24" ht="15" hidden="1" customHeight="1">
      <c r="A27" s="1013" t="s">
        <v>2279</v>
      </c>
      <c r="B27" s="1013" t="s">
        <v>2280</v>
      </c>
      <c r="C27" s="1014"/>
      <c r="D27" s="1014"/>
      <c r="E27" s="1014"/>
      <c r="F27" s="1013" t="s">
        <v>1</v>
      </c>
      <c r="G27" s="1013" t="s">
        <v>2906</v>
      </c>
      <c r="H27" s="1014"/>
      <c r="I27" s="1015">
        <v>425000</v>
      </c>
      <c r="J27" s="1015">
        <v>0</v>
      </c>
      <c r="K27" s="1015">
        <v>425000</v>
      </c>
      <c r="L27" s="153" t="str">
        <f t="shared" si="0"/>
        <v>370</v>
      </c>
      <c r="M27" s="154" t="str">
        <f t="shared" si="1"/>
        <v>AVOIR DU PROP. MIM. REQUIS</v>
      </c>
      <c r="N27" s="155">
        <f>+IF(OR($Q27=Parametres!$G$2,$Q27=Parametres!$G$3),I27,C27)</f>
        <v>425000</v>
      </c>
      <c r="O27" s="155">
        <f>+IF(OR($Q27=Parametres!$G$2,$Q27=Parametres!$G$3),J27,D27)</f>
        <v>0</v>
      </c>
      <c r="P27" s="155">
        <f>+IF(OR($Q27=Parametres!$G$2,$Q27=Parametres!$G$3),K27,E27)</f>
        <v>425000</v>
      </c>
      <c r="Q27" s="154" t="str">
        <f t="shared" si="2"/>
        <v>1-Mémo</v>
      </c>
      <c r="R27" s="153" t="str">
        <f t="shared" si="3"/>
        <v>37</v>
      </c>
      <c r="S27" s="154">
        <f t="shared" si="4"/>
        <v>0</v>
      </c>
      <c r="T27" s="156" t="str">
        <f>+VLOOKUP($L27,Data_Validation!$A:$D,1,0)</f>
        <v>370</v>
      </c>
      <c r="U27" s="156">
        <f>+VLOOKUP($L27,Data_Validation!$A:$D,3,0)</f>
        <v>0</v>
      </c>
      <c r="V27" s="156">
        <f>+VLOOKUP($L27,Data_Validation!$A:$D,4,0)</f>
        <v>0</v>
      </c>
      <c r="W27" s="156">
        <f>+VLOOKUP($L27,Data_Validation!$A:$E,5,0)</f>
        <v>0</v>
      </c>
      <c r="X27" s="156">
        <f>+VLOOKUP($L27,Data_Validation!$A:$F,6,0)</f>
        <v>0</v>
      </c>
    </row>
    <row r="28" spans="1:24" ht="15" hidden="1" customHeight="1">
      <c r="A28" s="1013" t="s">
        <v>2281</v>
      </c>
      <c r="B28" s="1013" t="s">
        <v>2282</v>
      </c>
      <c r="C28" s="1014"/>
      <c r="D28" s="1014"/>
      <c r="E28" s="1014"/>
      <c r="F28" s="1013" t="s">
        <v>1</v>
      </c>
      <c r="G28" s="1013" t="s">
        <v>2906</v>
      </c>
      <c r="H28" s="1014"/>
      <c r="I28" s="1015">
        <v>737500</v>
      </c>
      <c r="J28" s="1015">
        <v>0</v>
      </c>
      <c r="K28" s="1015">
        <v>737500</v>
      </c>
      <c r="L28" s="153" t="str">
        <f t="shared" si="0"/>
        <v>372</v>
      </c>
      <c r="M28" s="154" t="str">
        <f t="shared" si="1"/>
        <v>FONDS DE ROULEMENT/MIN. REQUIS</v>
      </c>
      <c r="N28" s="155">
        <f>+IF(OR($Q28=Parametres!$G$2,$Q28=Parametres!$G$3),I28,C28)</f>
        <v>737500</v>
      </c>
      <c r="O28" s="155">
        <f>+IF(OR($Q28=Parametres!$G$2,$Q28=Parametres!$G$3),J28,D28)</f>
        <v>0</v>
      </c>
      <c r="P28" s="155">
        <f>+IF(OR($Q28=Parametres!$G$2,$Q28=Parametres!$G$3),K28,E28)</f>
        <v>737500</v>
      </c>
      <c r="Q28" s="154" t="str">
        <f t="shared" si="2"/>
        <v>1-Mémo</v>
      </c>
      <c r="R28" s="153" t="str">
        <f t="shared" si="3"/>
        <v>37</v>
      </c>
      <c r="S28" s="154">
        <f t="shared" si="4"/>
        <v>0</v>
      </c>
      <c r="T28" s="156" t="str">
        <f>+VLOOKUP($L28,Data_Validation!$A:$D,1,0)</f>
        <v>372</v>
      </c>
      <c r="U28" s="156">
        <f>+VLOOKUP($L28,Data_Validation!$A:$D,3,0)</f>
        <v>0</v>
      </c>
      <c r="V28" s="156">
        <f>+VLOOKUP($L28,Data_Validation!$A:$D,4,0)</f>
        <v>0</v>
      </c>
      <c r="W28" s="156">
        <f>+VLOOKUP($L28,Data_Validation!$A:$E,5,0)</f>
        <v>0</v>
      </c>
      <c r="X28" s="156">
        <f>+VLOOKUP($L28,Data_Validation!$A:$F,6,0)</f>
        <v>0</v>
      </c>
    </row>
    <row r="29" spans="1:24" ht="15" hidden="1" customHeight="1">
      <c r="A29" s="1013" t="s">
        <v>2283</v>
      </c>
      <c r="B29" s="1013" t="s">
        <v>2284</v>
      </c>
      <c r="C29" s="1014"/>
      <c r="D29" s="1014"/>
      <c r="E29" s="1014"/>
      <c r="F29" s="1013" t="s">
        <v>1</v>
      </c>
      <c r="G29" s="1013" t="s">
        <v>2213</v>
      </c>
      <c r="H29" s="1014"/>
      <c r="I29" s="1015">
        <v>0.24</v>
      </c>
      <c r="J29" s="1015">
        <v>0</v>
      </c>
      <c r="K29" s="1015">
        <v>0.24</v>
      </c>
      <c r="L29" s="153" t="str">
        <f t="shared" si="0"/>
        <v>401</v>
      </c>
      <c r="M29" s="154" t="str">
        <f t="shared" si="1"/>
        <v>UNITES NEUVES VENDUES JANVIER</v>
      </c>
      <c r="N29" s="155">
        <f>+IF(OR($Q29=Parametres!$G$2,$Q29=Parametres!$G$3),I29,C29)</f>
        <v>0.24</v>
      </c>
      <c r="O29" s="155">
        <f>+IF(OR($Q29=Parametres!$G$2,$Q29=Parametres!$G$3),J29,D29)</f>
        <v>0</v>
      </c>
      <c r="P29" s="155">
        <f>+IF(OR($Q29=Parametres!$G$2,$Q29=Parametres!$G$3),K29,E29)</f>
        <v>0.24</v>
      </c>
      <c r="Q29" s="154" t="str">
        <f t="shared" si="2"/>
        <v>1-Mémo</v>
      </c>
      <c r="R29" s="153" t="str">
        <f t="shared" si="3"/>
        <v>40</v>
      </c>
      <c r="S29" s="154">
        <f t="shared" si="4"/>
        <v>0</v>
      </c>
      <c r="T29" s="156" t="str">
        <f>+VLOOKUP($L29,Data_Validation!$A:$D,1,0)</f>
        <v>401</v>
      </c>
      <c r="U29" s="156">
        <f>+VLOOKUP($L29,Data_Validation!$A:$D,3,0)</f>
        <v>0</v>
      </c>
      <c r="V29" s="156">
        <f>+VLOOKUP($L29,Data_Validation!$A:$D,4,0)</f>
        <v>0</v>
      </c>
      <c r="W29" s="156">
        <f>+VLOOKUP($L29,Data_Validation!$A:$E,5,0)</f>
        <v>0</v>
      </c>
      <c r="X29" s="156">
        <f>+VLOOKUP($L29,Data_Validation!$A:$F,6,0)</f>
        <v>0</v>
      </c>
    </row>
    <row r="30" spans="1:24" ht="15" hidden="1" customHeight="1">
      <c r="A30" s="1013" t="s">
        <v>2285</v>
      </c>
      <c r="B30" s="1013" t="s">
        <v>2286</v>
      </c>
      <c r="C30" s="1014"/>
      <c r="D30" s="1014"/>
      <c r="E30" s="1014"/>
      <c r="F30" s="1013" t="s">
        <v>1</v>
      </c>
      <c r="G30" s="1013" t="s">
        <v>2213</v>
      </c>
      <c r="H30" s="1014"/>
      <c r="I30" s="1015">
        <v>0.52</v>
      </c>
      <c r="J30" s="1015">
        <v>0</v>
      </c>
      <c r="K30" s="1015">
        <v>0.52</v>
      </c>
      <c r="L30" s="153" t="str">
        <f t="shared" si="0"/>
        <v>402</v>
      </c>
      <c r="M30" s="154" t="str">
        <f t="shared" si="1"/>
        <v>UNITES NEUVES VENDUES FEVRIER</v>
      </c>
      <c r="N30" s="155">
        <f>+IF(OR($Q30=Parametres!$G$2,$Q30=Parametres!$G$3),I30,C30)</f>
        <v>0.52</v>
      </c>
      <c r="O30" s="575">
        <f>+IF(OR($Q30=Parametres!$G$2,$Q30=Parametres!$G$3),J30,D30)</f>
        <v>0</v>
      </c>
      <c r="P30" s="155">
        <f>+IF(OR($Q30=Parametres!$G$2,$Q30=Parametres!$G$3),K30,E30)</f>
        <v>0.52</v>
      </c>
      <c r="Q30" s="154" t="str">
        <f t="shared" si="2"/>
        <v>1-Mémo</v>
      </c>
      <c r="R30" s="153" t="str">
        <f t="shared" si="3"/>
        <v>40</v>
      </c>
      <c r="S30" s="154">
        <f t="shared" si="4"/>
        <v>0</v>
      </c>
      <c r="T30" s="156" t="str">
        <f>+VLOOKUP($L30,Data_Validation!$A:$D,1,0)</f>
        <v>402</v>
      </c>
      <c r="U30" s="156">
        <f>+VLOOKUP($L30,Data_Validation!$A:$D,3,0)</f>
        <v>0</v>
      </c>
      <c r="V30" s="156">
        <f>+VLOOKUP($L30,Data_Validation!$A:$D,4,0)</f>
        <v>0</v>
      </c>
      <c r="W30" s="156">
        <f>+VLOOKUP($L30,Data_Validation!$A:$E,5,0)</f>
        <v>0</v>
      </c>
      <c r="X30" s="156">
        <f>+VLOOKUP($L30,Data_Validation!$A:$F,6,0)</f>
        <v>0</v>
      </c>
    </row>
    <row r="31" spans="1:24" ht="15" hidden="1" customHeight="1">
      <c r="A31" s="1013" t="s">
        <v>2304</v>
      </c>
      <c r="B31" s="1013" t="s">
        <v>2305</v>
      </c>
      <c r="C31" s="1014"/>
      <c r="D31" s="1014"/>
      <c r="E31" s="1014"/>
      <c r="F31" s="1013" t="s">
        <v>1</v>
      </c>
      <c r="G31" s="1013" t="s">
        <v>2306</v>
      </c>
      <c r="H31" s="1014"/>
      <c r="I31" s="1015">
        <v>0.15</v>
      </c>
      <c r="J31" s="1015">
        <v>0</v>
      </c>
      <c r="K31" s="1015">
        <v>0.15</v>
      </c>
      <c r="L31" s="153" t="str">
        <f t="shared" si="0"/>
        <v>421</v>
      </c>
      <c r="M31" s="154" t="str">
        <f t="shared" si="1"/>
        <v>UNITES USAGES DET./ JANV.</v>
      </c>
      <c r="N31" s="155">
        <f>+IF(OR($Q31=Parametres!$G$2,$Q31=Parametres!$G$3),I31,C31)</f>
        <v>0.15</v>
      </c>
      <c r="O31" s="155">
        <f>+IF(OR($Q31=Parametres!$G$2,$Q31=Parametres!$G$3),J31,D31)</f>
        <v>0</v>
      </c>
      <c r="P31" s="155">
        <f>+IF(OR($Q31=Parametres!$G$2,$Q31=Parametres!$G$3),K31,E31)</f>
        <v>0.15</v>
      </c>
      <c r="Q31" s="154" t="str">
        <f t="shared" si="2"/>
        <v>1-Mémo</v>
      </c>
      <c r="R31" s="153" t="str">
        <f t="shared" si="3"/>
        <v>42</v>
      </c>
      <c r="S31" s="154">
        <f t="shared" si="4"/>
        <v>0</v>
      </c>
      <c r="T31" s="156" t="str">
        <f>+VLOOKUP($L31,Data_Validation!$A:$D,1,0)</f>
        <v>421</v>
      </c>
      <c r="U31" s="156">
        <f>+VLOOKUP($L31,Data_Validation!$A:$D,3,0)</f>
        <v>0</v>
      </c>
      <c r="V31" s="156">
        <f>+VLOOKUP($L31,Data_Validation!$A:$D,4,0)</f>
        <v>0</v>
      </c>
      <c r="W31" s="156">
        <f>+VLOOKUP($L31,Data_Validation!$A:$E,5,0)</f>
        <v>0</v>
      </c>
      <c r="X31" s="156">
        <f>+VLOOKUP($L31,Data_Validation!$A:$F,6,0)</f>
        <v>0</v>
      </c>
    </row>
    <row r="32" spans="1:24" ht="15" hidden="1" customHeight="1">
      <c r="A32" s="1013" t="s">
        <v>2307</v>
      </c>
      <c r="B32" s="1013" t="s">
        <v>2308</v>
      </c>
      <c r="C32" s="1014"/>
      <c r="D32" s="1014"/>
      <c r="E32" s="1014"/>
      <c r="F32" s="1013" t="s">
        <v>1</v>
      </c>
      <c r="G32" s="1013" t="s">
        <v>2306</v>
      </c>
      <c r="H32" s="1014"/>
      <c r="I32" s="1015">
        <v>0.3</v>
      </c>
      <c r="J32" s="1015">
        <v>0</v>
      </c>
      <c r="K32" s="1015">
        <v>0.3</v>
      </c>
      <c r="L32" s="153" t="str">
        <f t="shared" si="0"/>
        <v>422</v>
      </c>
      <c r="M32" s="154" t="str">
        <f t="shared" si="1"/>
        <v>UNITES USAGES DET./ FEVR.</v>
      </c>
      <c r="N32" s="155">
        <f>+IF(OR($Q32=Parametres!$G$2,$Q32=Parametres!$G$3),I32,C32)</f>
        <v>0.3</v>
      </c>
      <c r="O32" s="576">
        <f>+IF(OR($Q32=Parametres!$G$2,$Q32=Parametres!$G$3),J32,D32)</f>
        <v>0</v>
      </c>
      <c r="P32" s="155">
        <f>+IF(OR($Q32=Parametres!$G$2,$Q32=Parametres!$G$3),K32,E32)</f>
        <v>0.3</v>
      </c>
      <c r="Q32" s="154" t="str">
        <f t="shared" si="2"/>
        <v>1-Mémo</v>
      </c>
      <c r="R32" s="153" t="str">
        <f t="shared" si="3"/>
        <v>42</v>
      </c>
      <c r="S32" s="154">
        <f t="shared" si="4"/>
        <v>0</v>
      </c>
      <c r="T32" s="156" t="str">
        <f>+VLOOKUP($L32,Data_Validation!$A:$D,1,0)</f>
        <v>422</v>
      </c>
      <c r="U32" s="156">
        <f>+VLOOKUP($L32,Data_Validation!$A:$D,3,0)</f>
        <v>0</v>
      </c>
      <c r="V32" s="156">
        <f>+VLOOKUP($L32,Data_Validation!$A:$D,4,0)</f>
        <v>0</v>
      </c>
      <c r="W32" s="156">
        <f>+VLOOKUP($L32,Data_Validation!$A:$E,5,0)</f>
        <v>0</v>
      </c>
      <c r="X32" s="156">
        <f>+VLOOKUP($L32,Data_Validation!$A:$F,6,0)</f>
        <v>0</v>
      </c>
    </row>
    <row r="33" spans="1:24" ht="15" hidden="1" customHeight="1">
      <c r="A33" s="1013" t="s">
        <v>2327</v>
      </c>
      <c r="B33" s="1013" t="s">
        <v>2328</v>
      </c>
      <c r="C33" s="1015"/>
      <c r="D33" s="1015"/>
      <c r="E33" s="1015"/>
      <c r="F33" s="1013" t="s">
        <v>1</v>
      </c>
      <c r="G33" s="1013" t="s">
        <v>2215</v>
      </c>
      <c r="H33" s="1014"/>
      <c r="I33" s="1014">
        <v>1</v>
      </c>
      <c r="J33" s="1014">
        <v>0</v>
      </c>
      <c r="K33" s="1014">
        <v>1</v>
      </c>
      <c r="L33" s="153" t="str">
        <f t="shared" si="0"/>
        <v>500</v>
      </c>
      <c r="M33" s="154" t="str">
        <f t="shared" si="1"/>
        <v>PROPRIETAIRES</v>
      </c>
      <c r="N33" s="155">
        <f>+IF(OR($Q33=Parametres!$G$2,$Q33=Parametres!$G$3),I33,C33)</f>
        <v>1</v>
      </c>
      <c r="O33" s="155">
        <f>+IF(OR($Q33=Parametres!$G$2,$Q33=Parametres!$G$3),J33,D33)</f>
        <v>0</v>
      </c>
      <c r="P33" s="155">
        <f>+IF(OR($Q33=Parametres!$G$2,$Q33=Parametres!$G$3),K33,E33)</f>
        <v>1</v>
      </c>
      <c r="Q33" s="154" t="str">
        <f t="shared" si="2"/>
        <v>1-Mémo</v>
      </c>
      <c r="R33" s="153" t="str">
        <f t="shared" si="3"/>
        <v>50</v>
      </c>
      <c r="S33" s="154">
        <f t="shared" si="4"/>
        <v>0</v>
      </c>
      <c r="T33" s="156" t="str">
        <f>+VLOOKUP($L33,Data_Validation!$A:$D,1,0)</f>
        <v>500</v>
      </c>
      <c r="U33" s="156">
        <f>+VLOOKUP($L33,Data_Validation!$A:$D,3,0)</f>
        <v>0</v>
      </c>
      <c r="V33" s="156">
        <f>+VLOOKUP($L33,Data_Validation!$A:$D,4,0)</f>
        <v>0</v>
      </c>
      <c r="W33" s="156" t="str">
        <f>+VLOOKUP($L33,Data_Validation!$A:$E,5,0)</f>
        <v>$</v>
      </c>
      <c r="X33" s="156">
        <f>+VLOOKUP($L33,Data_Validation!$A:$F,6,0)</f>
        <v>0</v>
      </c>
    </row>
    <row r="34" spans="1:24" ht="15.75" hidden="1" customHeight="1">
      <c r="A34" s="1013" t="s">
        <v>2329</v>
      </c>
      <c r="B34" s="1013" t="s">
        <v>1526</v>
      </c>
      <c r="C34" s="1015"/>
      <c r="D34" s="1015"/>
      <c r="E34" s="1015"/>
      <c r="F34" s="1013" t="s">
        <v>1</v>
      </c>
      <c r="G34" s="1013" t="s">
        <v>2215</v>
      </c>
      <c r="H34" s="1014"/>
      <c r="I34" s="1014">
        <v>0.2</v>
      </c>
      <c r="J34" s="1014">
        <v>0</v>
      </c>
      <c r="K34" s="1014">
        <v>0.2</v>
      </c>
      <c r="L34" s="153" t="str">
        <f t="shared" si="0"/>
        <v>511</v>
      </c>
      <c r="M34" s="154" t="str">
        <f t="shared" si="1"/>
        <v>DIR. GENERAL NEUFS</v>
      </c>
      <c r="N34" s="155">
        <f>+IF(OR($Q34=Parametres!$G$2,$Q34=Parametres!$G$3),I34,C34)</f>
        <v>0.2</v>
      </c>
      <c r="O34" s="155">
        <f>+IF(OR($Q34=Parametres!$G$2,$Q34=Parametres!$G$3),J34,D34)</f>
        <v>0</v>
      </c>
      <c r="P34" s="155">
        <f>+IF(OR($Q34=Parametres!$G$2,$Q34=Parametres!$G$3),K34,E34)</f>
        <v>0.2</v>
      </c>
      <c r="Q34" s="154" t="str">
        <f t="shared" si="2"/>
        <v>1-Mémo</v>
      </c>
      <c r="R34" s="153" t="str">
        <f t="shared" si="3"/>
        <v>50</v>
      </c>
      <c r="S34" s="154">
        <f t="shared" si="4"/>
        <v>0</v>
      </c>
      <c r="T34" s="156" t="str">
        <f>+VLOOKUP($L34,Data_Validation!$A:$D,1,0)</f>
        <v>511</v>
      </c>
      <c r="U34" s="156">
        <f>+VLOOKUP($L34,Data_Validation!$A:$D,3,0)</f>
        <v>0</v>
      </c>
      <c r="V34" s="156">
        <f>+VLOOKUP($L34,Data_Validation!$A:$D,4,0)</f>
        <v>0</v>
      </c>
      <c r="W34" s="156" t="str">
        <f>+VLOOKUP($L34,Data_Validation!$A:$E,5,0)</f>
        <v>$</v>
      </c>
      <c r="X34" s="156">
        <f>+VLOOKUP($L34,Data_Validation!$A:$F,6,0)</f>
        <v>0</v>
      </c>
    </row>
    <row r="35" spans="1:24" ht="15" hidden="1" customHeight="1">
      <c r="A35" s="1013" t="s">
        <v>2330</v>
      </c>
      <c r="B35" s="1013" t="s">
        <v>884</v>
      </c>
      <c r="C35" s="1015"/>
      <c r="D35" s="1015"/>
      <c r="E35" s="1015"/>
      <c r="F35" s="1013" t="s">
        <v>1</v>
      </c>
      <c r="G35" s="1013" t="s">
        <v>2215</v>
      </c>
      <c r="H35" s="1014"/>
      <c r="I35" s="1014">
        <v>0.2</v>
      </c>
      <c r="J35" s="1014">
        <v>0</v>
      </c>
      <c r="K35" s="1014">
        <v>0.2</v>
      </c>
      <c r="L35" s="153" t="str">
        <f t="shared" si="0"/>
        <v>512</v>
      </c>
      <c r="M35" s="154" t="str">
        <f t="shared" si="1"/>
        <v>DIR. GENERAL USAGES</v>
      </c>
      <c r="N35" s="155">
        <f>+IF(OR($Q35=Parametres!$G$2,$Q35=Parametres!$G$3),I35,C35)</f>
        <v>0.2</v>
      </c>
      <c r="O35" s="155">
        <f>+IF(OR($Q35=Parametres!$G$2,$Q35=Parametres!$G$3),J35,D35)</f>
        <v>0</v>
      </c>
      <c r="P35" s="155">
        <f>+IF(OR($Q35=Parametres!$G$2,$Q35=Parametres!$G$3),K35,E35)</f>
        <v>0.2</v>
      </c>
      <c r="Q35" s="154" t="str">
        <f t="shared" si="2"/>
        <v>1-Mémo</v>
      </c>
      <c r="R35" s="153" t="str">
        <f t="shared" si="3"/>
        <v>50</v>
      </c>
      <c r="S35" s="154">
        <f t="shared" si="4"/>
        <v>0</v>
      </c>
      <c r="T35" s="156" t="str">
        <f>+VLOOKUP($L35,Data_Validation!$A:$D,1,0)</f>
        <v>512</v>
      </c>
      <c r="U35" s="156">
        <f>+VLOOKUP($L35,Data_Validation!$A:$D,3,0)</f>
        <v>0</v>
      </c>
      <c r="V35" s="156">
        <f>+VLOOKUP($L35,Data_Validation!$A:$D,4,0)</f>
        <v>0</v>
      </c>
      <c r="W35" s="156" t="str">
        <f>+VLOOKUP($L35,Data_Validation!$A:$E,5,0)</f>
        <v>$</v>
      </c>
      <c r="X35" s="156">
        <f>+VLOOKUP($L35,Data_Validation!$A:$F,6,0)</f>
        <v>0</v>
      </c>
    </row>
    <row r="36" spans="1:24" ht="15" hidden="1" customHeight="1">
      <c r="A36" s="1013" t="s">
        <v>2331</v>
      </c>
      <c r="B36" s="1013" t="s">
        <v>2332</v>
      </c>
      <c r="C36" s="1015"/>
      <c r="D36" s="1015"/>
      <c r="E36" s="1015"/>
      <c r="F36" s="1013" t="s">
        <v>1</v>
      </c>
      <c r="G36" s="1013" t="s">
        <v>2215</v>
      </c>
      <c r="H36" s="1014"/>
      <c r="I36" s="1014">
        <v>0.2</v>
      </c>
      <c r="J36" s="1014">
        <v>0</v>
      </c>
      <c r="K36" s="1014">
        <v>0.2</v>
      </c>
      <c r="L36" s="153" t="str">
        <f t="shared" si="0"/>
        <v>514</v>
      </c>
      <c r="M36" s="154" t="str">
        <f t="shared" si="1"/>
        <v>DIR. GENERAL SERVICE</v>
      </c>
      <c r="N36" s="155">
        <f>+IF(OR($Q36=Parametres!$G$2,$Q36=Parametres!$G$3),I36,C36)</f>
        <v>0.2</v>
      </c>
      <c r="O36" s="155">
        <f>+IF(OR($Q36=Parametres!$G$2,$Q36=Parametres!$G$3),J36,D36)</f>
        <v>0</v>
      </c>
      <c r="P36" s="155">
        <f>+IF(OR($Q36=Parametres!$G$2,$Q36=Parametres!$G$3),K36,E36)</f>
        <v>0.2</v>
      </c>
      <c r="Q36" s="154" t="str">
        <f t="shared" si="2"/>
        <v>1-Mémo</v>
      </c>
      <c r="R36" s="153" t="str">
        <f t="shared" si="3"/>
        <v>50</v>
      </c>
      <c r="S36" s="154">
        <f t="shared" si="4"/>
        <v>0</v>
      </c>
      <c r="T36" s="156" t="str">
        <f>+VLOOKUP($L36,Data_Validation!$A:$D,1,0)</f>
        <v>514</v>
      </c>
      <c r="U36" s="156">
        <f>+VLOOKUP($L36,Data_Validation!$A:$D,3,0)</f>
        <v>0</v>
      </c>
      <c r="V36" s="156">
        <f>+VLOOKUP($L36,Data_Validation!$A:$D,4,0)</f>
        <v>0</v>
      </c>
      <c r="W36" s="156" t="str">
        <f>+VLOOKUP($L36,Data_Validation!$A:$E,5,0)</f>
        <v>$</v>
      </c>
      <c r="X36" s="156">
        <f>+VLOOKUP($L36,Data_Validation!$A:$F,6,0)</f>
        <v>0</v>
      </c>
    </row>
    <row r="37" spans="1:24" ht="15" hidden="1" customHeight="1">
      <c r="A37" s="1013" t="s">
        <v>2333</v>
      </c>
      <c r="B37" s="1013" t="s">
        <v>2334</v>
      </c>
      <c r="C37" s="1015"/>
      <c r="D37" s="1015"/>
      <c r="E37" s="1015"/>
      <c r="F37" s="1013" t="s">
        <v>1</v>
      </c>
      <c r="G37" s="1013" t="s">
        <v>2215</v>
      </c>
      <c r="H37" s="1014"/>
      <c r="I37" s="1014">
        <v>0.2</v>
      </c>
      <c r="J37" s="1014">
        <v>0</v>
      </c>
      <c r="K37" s="1014">
        <v>0.2</v>
      </c>
      <c r="L37" s="153" t="str">
        <f t="shared" si="0"/>
        <v>515</v>
      </c>
      <c r="M37" s="154" t="str">
        <f t="shared" si="1"/>
        <v>DIR. GENERAL CARROSS.</v>
      </c>
      <c r="N37" s="155">
        <f>+IF(OR($Q37=Parametres!$G$2,$Q37=Parametres!$G$3),I37,C37)</f>
        <v>0.2</v>
      </c>
      <c r="O37" s="155">
        <f>+IF(OR($Q37=Parametres!$G$2,$Q37=Parametres!$G$3),J37,D37)</f>
        <v>0</v>
      </c>
      <c r="P37" s="155">
        <f>+IF(OR($Q37=Parametres!$G$2,$Q37=Parametres!$G$3),K37,E37)</f>
        <v>0.2</v>
      </c>
      <c r="Q37" s="154" t="str">
        <f t="shared" si="2"/>
        <v>1-Mémo</v>
      </c>
      <c r="R37" s="153" t="str">
        <f t="shared" si="3"/>
        <v>50</v>
      </c>
      <c r="S37" s="154">
        <f t="shared" si="4"/>
        <v>0</v>
      </c>
      <c r="T37" s="156" t="str">
        <f>+VLOOKUP($L37,Data_Validation!$A:$D,1,0)</f>
        <v>515</v>
      </c>
      <c r="U37" s="156">
        <f>+VLOOKUP($L37,Data_Validation!$A:$D,3,0)</f>
        <v>0</v>
      </c>
      <c r="V37" s="156">
        <f>+VLOOKUP($L37,Data_Validation!$A:$D,4,0)</f>
        <v>0</v>
      </c>
      <c r="W37" s="156" t="str">
        <f>+VLOOKUP($L37,Data_Validation!$A:$E,5,0)</f>
        <v>$</v>
      </c>
      <c r="X37" s="156">
        <f>+VLOOKUP($L37,Data_Validation!$A:$F,6,0)</f>
        <v>0</v>
      </c>
    </row>
    <row r="38" spans="1:24" ht="15" hidden="1" customHeight="1">
      <c r="A38" s="1013" t="s">
        <v>2335</v>
      </c>
      <c r="B38" s="1013" t="s">
        <v>2336</v>
      </c>
      <c r="C38" s="1015"/>
      <c r="D38" s="1015"/>
      <c r="E38" s="1015"/>
      <c r="F38" s="1013" t="s">
        <v>1</v>
      </c>
      <c r="G38" s="1013" t="s">
        <v>2215</v>
      </c>
      <c r="H38" s="1014"/>
      <c r="I38" s="1014">
        <v>0.2</v>
      </c>
      <c r="J38" s="1014">
        <v>0</v>
      </c>
      <c r="K38" s="1014">
        <v>0.2</v>
      </c>
      <c r="L38" s="153" t="str">
        <f t="shared" si="0"/>
        <v>517</v>
      </c>
      <c r="M38" s="154" t="str">
        <f t="shared" si="1"/>
        <v>DIR. GENERAL PIECES</v>
      </c>
      <c r="N38" s="155">
        <f>+IF(OR($Q38=Parametres!$G$2,$Q38=Parametres!$G$3),I38,C38)</f>
        <v>0.2</v>
      </c>
      <c r="O38" s="155">
        <f>+IF(OR($Q38=Parametres!$G$2,$Q38=Parametres!$G$3),J38,D38)</f>
        <v>0</v>
      </c>
      <c r="P38" s="155">
        <f>+IF(OR($Q38=Parametres!$G$2,$Q38=Parametres!$G$3),K38,E38)</f>
        <v>0.2</v>
      </c>
      <c r="Q38" s="154" t="str">
        <f t="shared" si="2"/>
        <v>1-Mémo</v>
      </c>
      <c r="R38" s="153" t="str">
        <f t="shared" si="3"/>
        <v>50</v>
      </c>
      <c r="S38" s="154">
        <f t="shared" si="4"/>
        <v>0</v>
      </c>
      <c r="T38" s="156" t="str">
        <f>+VLOOKUP($L38,Data_Validation!$A:$D,1,0)</f>
        <v>517</v>
      </c>
      <c r="U38" s="156">
        <f>+VLOOKUP($L38,Data_Validation!$A:$D,3,0)</f>
        <v>0</v>
      </c>
      <c r="V38" s="156">
        <f>+VLOOKUP($L38,Data_Validation!$A:$D,4,0)</f>
        <v>0</v>
      </c>
      <c r="W38" s="156" t="str">
        <f>+VLOOKUP($L38,Data_Validation!$A:$E,5,0)</f>
        <v>$</v>
      </c>
      <c r="X38" s="156">
        <f>+VLOOKUP($L38,Data_Validation!$A:$F,6,0)</f>
        <v>0</v>
      </c>
    </row>
    <row r="39" spans="1:24" ht="15" hidden="1" customHeight="1">
      <c r="A39" s="1013" t="s">
        <v>2337</v>
      </c>
      <c r="B39" s="1013" t="s">
        <v>2338</v>
      </c>
      <c r="C39" s="1015"/>
      <c r="D39" s="1015"/>
      <c r="E39" s="1015"/>
      <c r="F39" s="1013" t="s">
        <v>1</v>
      </c>
      <c r="G39" s="1013" t="s">
        <v>2215</v>
      </c>
      <c r="H39" s="1014"/>
      <c r="I39" s="1014">
        <v>2</v>
      </c>
      <c r="J39" s="1014">
        <v>0</v>
      </c>
      <c r="K39" s="1014">
        <v>2</v>
      </c>
      <c r="L39" s="153" t="str">
        <f t="shared" si="0"/>
        <v>521</v>
      </c>
      <c r="M39" s="154" t="str">
        <f t="shared" si="1"/>
        <v>DIR. SERVICE NEUFS</v>
      </c>
      <c r="N39" s="155">
        <f>+IF(OR($Q39=Parametres!$G$2,$Q39=Parametres!$G$3),I39,C39)</f>
        <v>2</v>
      </c>
      <c r="O39" s="575">
        <f>+IF(OR($Q39=Parametres!$G$2,$Q39=Parametres!$G$3),J39,D39)</f>
        <v>0</v>
      </c>
      <c r="P39" s="155">
        <f>+IF(OR($Q39=Parametres!$G$2,$Q39=Parametres!$G$3),K39,E39)</f>
        <v>2</v>
      </c>
      <c r="Q39" s="154" t="str">
        <f t="shared" si="2"/>
        <v>1-Mémo</v>
      </c>
      <c r="R39" s="153" t="str">
        <f t="shared" si="3"/>
        <v>50</v>
      </c>
      <c r="S39" s="154">
        <f t="shared" si="4"/>
        <v>0</v>
      </c>
      <c r="T39" s="156" t="str">
        <f>+VLOOKUP($L39,Data_Validation!$A:$D,1,0)</f>
        <v>521</v>
      </c>
      <c r="U39" s="156">
        <f>+VLOOKUP($L39,Data_Validation!$A:$D,3,0)</f>
        <v>0</v>
      </c>
      <c r="V39" s="156">
        <f>+VLOOKUP($L39,Data_Validation!$A:$D,4,0)</f>
        <v>0</v>
      </c>
      <c r="W39" s="156" t="str">
        <f>+VLOOKUP($L39,Data_Validation!$A:$E,5,0)</f>
        <v>$</v>
      </c>
      <c r="X39" s="156">
        <f>+VLOOKUP($L39,Data_Validation!$A:$F,6,0)</f>
        <v>0</v>
      </c>
    </row>
    <row r="40" spans="1:24" ht="15.75" hidden="1" customHeight="1">
      <c r="A40" s="1013" t="s">
        <v>2339</v>
      </c>
      <c r="B40" s="1013" t="s">
        <v>2340</v>
      </c>
      <c r="C40" s="1015"/>
      <c r="D40" s="1015"/>
      <c r="E40" s="1015"/>
      <c r="F40" s="1013" t="s">
        <v>1</v>
      </c>
      <c r="G40" s="1013" t="s">
        <v>2215</v>
      </c>
      <c r="H40" s="1014"/>
      <c r="I40" s="1014">
        <v>1</v>
      </c>
      <c r="J40" s="1014">
        <v>0</v>
      </c>
      <c r="K40" s="1014">
        <v>1</v>
      </c>
      <c r="L40" s="153" t="str">
        <f t="shared" si="0"/>
        <v>522</v>
      </c>
      <c r="M40" s="154" t="str">
        <f t="shared" si="1"/>
        <v>DIR. SERVICE USAGES</v>
      </c>
      <c r="N40" s="155">
        <f>+IF(OR($Q40=Parametres!$G$2,$Q40=Parametres!$G$3),I40,C40)</f>
        <v>1</v>
      </c>
      <c r="O40" s="155">
        <f>+IF(OR($Q40=Parametres!$G$2,$Q40=Parametres!$G$3),J40,D40)</f>
        <v>0</v>
      </c>
      <c r="P40" s="155">
        <f>+IF(OR($Q40=Parametres!$G$2,$Q40=Parametres!$G$3),K40,E40)</f>
        <v>1</v>
      </c>
      <c r="Q40" s="154" t="str">
        <f t="shared" si="2"/>
        <v>1-Mémo</v>
      </c>
      <c r="R40" s="153" t="str">
        <f t="shared" si="3"/>
        <v>50</v>
      </c>
      <c r="S40" s="154">
        <f t="shared" si="4"/>
        <v>0</v>
      </c>
      <c r="T40" s="156" t="str">
        <f>+VLOOKUP($L40,Data_Validation!$A:$D,1,0)</f>
        <v>522</v>
      </c>
      <c r="U40" s="156">
        <f>+VLOOKUP($L40,Data_Validation!$A:$D,3,0)</f>
        <v>0</v>
      </c>
      <c r="V40" s="156">
        <f>+VLOOKUP($L40,Data_Validation!$A:$D,4,0)</f>
        <v>0</v>
      </c>
      <c r="W40" s="156" t="str">
        <f>+VLOOKUP($L40,Data_Validation!$A:$E,5,0)</f>
        <v>$</v>
      </c>
      <c r="X40" s="156">
        <f>+VLOOKUP($L40,Data_Validation!$A:$F,6,0)</f>
        <v>0</v>
      </c>
    </row>
    <row r="41" spans="1:24" ht="15" hidden="1" customHeight="1">
      <c r="A41" s="1013" t="s">
        <v>2341</v>
      </c>
      <c r="B41" s="1013" t="s">
        <v>2342</v>
      </c>
      <c r="C41" s="1015"/>
      <c r="D41" s="1015"/>
      <c r="E41" s="1015"/>
      <c r="F41" s="1013" t="s">
        <v>1</v>
      </c>
      <c r="G41" s="1013" t="s">
        <v>2215</v>
      </c>
      <c r="H41" s="1014"/>
      <c r="I41" s="1014">
        <v>2</v>
      </c>
      <c r="J41" s="1014">
        <v>0</v>
      </c>
      <c r="K41" s="1014">
        <v>2</v>
      </c>
      <c r="L41" s="153" t="str">
        <f t="shared" si="0"/>
        <v>524</v>
      </c>
      <c r="M41" s="154" t="str">
        <f t="shared" si="1"/>
        <v>DIR. SERVICE SERVICE</v>
      </c>
      <c r="N41" s="155">
        <f>+IF(OR($Q41=Parametres!$G$2,$Q41=Parametres!$G$3),I41,C41)</f>
        <v>2</v>
      </c>
      <c r="O41" s="575">
        <f>+IF(OR($Q41=Parametres!$G$2,$Q41=Parametres!$G$3),J41,D41)</f>
        <v>0</v>
      </c>
      <c r="P41" s="155">
        <f>+IF(OR($Q41=Parametres!$G$2,$Q41=Parametres!$G$3),K41,E41)</f>
        <v>2</v>
      </c>
      <c r="Q41" s="154" t="str">
        <f t="shared" si="2"/>
        <v>1-Mémo</v>
      </c>
      <c r="R41" s="153" t="str">
        <f t="shared" si="3"/>
        <v>50</v>
      </c>
      <c r="S41" s="154">
        <f t="shared" si="4"/>
        <v>0</v>
      </c>
      <c r="T41" s="156" t="str">
        <f>+VLOOKUP($L41,Data_Validation!$A:$D,1,0)</f>
        <v>524</v>
      </c>
      <c r="U41" s="156">
        <f>+VLOOKUP($L41,Data_Validation!$A:$D,3,0)</f>
        <v>0</v>
      </c>
      <c r="V41" s="156">
        <f>+VLOOKUP($L41,Data_Validation!$A:$D,4,0)</f>
        <v>0</v>
      </c>
      <c r="W41" s="156" t="str">
        <f>+VLOOKUP($L41,Data_Validation!$A:$E,5,0)</f>
        <v>$</v>
      </c>
      <c r="X41" s="156">
        <f>+VLOOKUP($L41,Data_Validation!$A:$F,6,0)</f>
        <v>0</v>
      </c>
    </row>
    <row r="42" spans="1:24" ht="15" hidden="1" customHeight="1">
      <c r="A42" s="1013" t="s">
        <v>2343</v>
      </c>
      <c r="B42" s="1013" t="s">
        <v>2344</v>
      </c>
      <c r="C42" s="1015"/>
      <c r="D42" s="1015"/>
      <c r="E42" s="1015"/>
      <c r="F42" s="1013" t="s">
        <v>1</v>
      </c>
      <c r="G42" s="1013" t="s">
        <v>2215</v>
      </c>
      <c r="H42" s="1014"/>
      <c r="I42" s="1014">
        <v>1</v>
      </c>
      <c r="J42" s="1014">
        <v>0</v>
      </c>
      <c r="K42" s="1014">
        <v>1</v>
      </c>
      <c r="L42" s="153" t="str">
        <f t="shared" si="0"/>
        <v>527</v>
      </c>
      <c r="M42" s="154" t="str">
        <f t="shared" si="1"/>
        <v>DIR. SERVICE PIECES</v>
      </c>
      <c r="N42" s="155">
        <f>+IF(OR($Q42=Parametres!$G$2,$Q42=Parametres!$G$3),I42,C42)</f>
        <v>1</v>
      </c>
      <c r="O42" s="155">
        <f>+IF(OR($Q42=Parametres!$G$2,$Q42=Parametres!$G$3),J42,D42)</f>
        <v>0</v>
      </c>
      <c r="P42" s="155">
        <f>+IF(OR($Q42=Parametres!$G$2,$Q42=Parametres!$G$3),K42,E42)</f>
        <v>1</v>
      </c>
      <c r="Q42" s="154" t="str">
        <f t="shared" si="2"/>
        <v>1-Mémo</v>
      </c>
      <c r="R42" s="153" t="str">
        <f t="shared" si="3"/>
        <v>50</v>
      </c>
      <c r="S42" s="154">
        <f t="shared" si="4"/>
        <v>0</v>
      </c>
      <c r="T42" s="156" t="str">
        <f>+VLOOKUP($L42,Data_Validation!$A:$D,1,0)</f>
        <v>527</v>
      </c>
      <c r="U42" s="156">
        <f>+VLOOKUP($L42,Data_Validation!$A:$D,3,0)</f>
        <v>0</v>
      </c>
      <c r="V42" s="156">
        <f>+VLOOKUP($L42,Data_Validation!$A:$D,4,0)</f>
        <v>0</v>
      </c>
      <c r="W42" s="156" t="str">
        <f>+VLOOKUP($L42,Data_Validation!$A:$E,5,0)</f>
        <v>$</v>
      </c>
      <c r="X42" s="156">
        <f>+VLOOKUP($L42,Data_Validation!$A:$F,6,0)</f>
        <v>0</v>
      </c>
    </row>
    <row r="43" spans="1:24" ht="15" hidden="1" customHeight="1">
      <c r="A43" s="1013" t="s">
        <v>2345</v>
      </c>
      <c r="B43" s="1013" t="s">
        <v>2346</v>
      </c>
      <c r="C43" s="1015"/>
      <c r="D43" s="1015"/>
      <c r="E43" s="1015"/>
      <c r="F43" s="1013" t="s">
        <v>1</v>
      </c>
      <c r="G43" s="1013" t="s">
        <v>2347</v>
      </c>
      <c r="H43" s="1014"/>
      <c r="I43" s="1014">
        <v>4</v>
      </c>
      <c r="J43" s="1014">
        <v>0</v>
      </c>
      <c r="K43" s="1014">
        <v>4</v>
      </c>
      <c r="L43" s="153" t="str">
        <f t="shared" si="0"/>
        <v>541</v>
      </c>
      <c r="M43" s="154" t="str">
        <f t="shared" si="1"/>
        <v>VW REP. DES VENTES - NEUF</v>
      </c>
      <c r="N43" s="155">
        <f>+IF(OR($Q43=Parametres!$G$2,$Q43=Parametres!$G$3),I43,C43)</f>
        <v>4</v>
      </c>
      <c r="O43" s="155">
        <f>+IF(OR($Q43=Parametres!$G$2,$Q43=Parametres!$G$3),J43,D43)</f>
        <v>0</v>
      </c>
      <c r="P43" s="155">
        <f>+IF(OR($Q43=Parametres!$G$2,$Q43=Parametres!$G$3),K43,E43)</f>
        <v>4</v>
      </c>
      <c r="Q43" s="154" t="str">
        <f t="shared" si="2"/>
        <v>1-Mémo</v>
      </c>
      <c r="R43" s="153" t="str">
        <f t="shared" si="3"/>
        <v>54</v>
      </c>
      <c r="S43" s="154">
        <f t="shared" si="4"/>
        <v>0</v>
      </c>
      <c r="T43" s="156" t="str">
        <f>+VLOOKUP($L43,Data_Validation!$A:$D,1,0)</f>
        <v>541</v>
      </c>
      <c r="U43" s="156">
        <f>+VLOOKUP($L43,Data_Validation!$A:$D,3,0)</f>
        <v>0</v>
      </c>
      <c r="V43" s="156">
        <f>+VLOOKUP($L43,Data_Validation!$A:$D,4,0)</f>
        <v>0</v>
      </c>
      <c r="W43" s="156" t="str">
        <f>+VLOOKUP($L43,Data_Validation!$A:$E,5,0)</f>
        <v>$</v>
      </c>
      <c r="X43" s="156">
        <f>+VLOOKUP($L43,Data_Validation!$A:$F,6,0)</f>
        <v>0</v>
      </c>
    </row>
    <row r="44" spans="1:24" ht="15.75" hidden="1" customHeight="1">
      <c r="A44" s="1013" t="s">
        <v>2348</v>
      </c>
      <c r="B44" s="1013" t="s">
        <v>2349</v>
      </c>
      <c r="C44" s="1015"/>
      <c r="D44" s="1015"/>
      <c r="E44" s="1015"/>
      <c r="F44" s="1013" t="s">
        <v>1</v>
      </c>
      <c r="G44" s="1013" t="s">
        <v>2215</v>
      </c>
      <c r="H44" s="1014"/>
      <c r="I44" s="1014">
        <v>1</v>
      </c>
      <c r="J44" s="1014">
        <v>0</v>
      </c>
      <c r="K44" s="1014">
        <v>1</v>
      </c>
      <c r="L44" s="153" t="str">
        <f t="shared" si="0"/>
        <v>542</v>
      </c>
      <c r="M44" s="154" t="str">
        <f t="shared" si="1"/>
        <v>VW REP. DES VENTES - OCC.</v>
      </c>
      <c r="N44" s="155">
        <f>+IF(OR($Q44=Parametres!$G$2,$Q44=Parametres!$G$3),I44,C44)</f>
        <v>1</v>
      </c>
      <c r="O44" s="155">
        <f>+IF(OR($Q44=Parametres!$G$2,$Q44=Parametres!$G$3),J44,D44)</f>
        <v>0</v>
      </c>
      <c r="P44" s="155">
        <f>+IF(OR($Q44=Parametres!$G$2,$Q44=Parametres!$G$3),K44,E44)</f>
        <v>1</v>
      </c>
      <c r="Q44" s="154" t="str">
        <f t="shared" si="2"/>
        <v>1-Mémo</v>
      </c>
      <c r="R44" s="153" t="str">
        <f t="shared" si="3"/>
        <v>50</v>
      </c>
      <c r="S44" s="154">
        <f t="shared" si="4"/>
        <v>0</v>
      </c>
      <c r="T44" s="156" t="str">
        <f>+VLOOKUP($L44,Data_Validation!$A:$D,1,0)</f>
        <v>542</v>
      </c>
      <c r="U44" s="156">
        <f>+VLOOKUP($L44,Data_Validation!$A:$D,3,0)</f>
        <v>0</v>
      </c>
      <c r="V44" s="156">
        <f>+VLOOKUP($L44,Data_Validation!$A:$D,4,0)</f>
        <v>0</v>
      </c>
      <c r="W44" s="156" t="str">
        <f>+VLOOKUP($L44,Data_Validation!$A:$E,5,0)</f>
        <v>$</v>
      </c>
      <c r="X44" s="156">
        <f>+VLOOKUP($L44,Data_Validation!$A:$F,6,0)</f>
        <v>0</v>
      </c>
    </row>
    <row r="45" spans="1:24" ht="15" hidden="1" customHeight="1">
      <c r="A45" s="1013" t="s">
        <v>2350</v>
      </c>
      <c r="B45" s="1013" t="s">
        <v>2351</v>
      </c>
      <c r="C45" s="1015"/>
      <c r="D45" s="1015"/>
      <c r="E45" s="1015"/>
      <c r="F45" s="1013" t="s">
        <v>1</v>
      </c>
      <c r="G45" s="1013" t="s">
        <v>2215</v>
      </c>
      <c r="H45" s="1014"/>
      <c r="I45" s="1014">
        <v>3</v>
      </c>
      <c r="J45" s="1014">
        <v>0</v>
      </c>
      <c r="K45" s="1014">
        <v>3</v>
      </c>
      <c r="L45" s="153" t="str">
        <f t="shared" si="0"/>
        <v>551</v>
      </c>
      <c r="M45" s="154" t="str">
        <f t="shared" si="1"/>
        <v>DIR. COMMERCIAL NEUFS</v>
      </c>
      <c r="N45" s="155">
        <f>+IF(OR($Q45=Parametres!$G$2,$Q45=Parametres!$G$3),I45,C45)</f>
        <v>3</v>
      </c>
      <c r="O45" s="155">
        <f>+IF(OR($Q45=Parametres!$G$2,$Q45=Parametres!$G$3),J45,D45)</f>
        <v>0</v>
      </c>
      <c r="P45" s="155">
        <f>+IF(OR($Q45=Parametres!$G$2,$Q45=Parametres!$G$3),K45,E45)</f>
        <v>3</v>
      </c>
      <c r="Q45" s="154" t="str">
        <f t="shared" si="2"/>
        <v>1-Mémo</v>
      </c>
      <c r="R45" s="153" t="str">
        <f t="shared" si="3"/>
        <v>50</v>
      </c>
      <c r="S45" s="154">
        <f t="shared" si="4"/>
        <v>0</v>
      </c>
      <c r="T45" s="156" t="str">
        <f>+VLOOKUP($L45,Data_Validation!$A:$D,1,0)</f>
        <v>551</v>
      </c>
      <c r="U45" s="156">
        <f>+VLOOKUP($L45,Data_Validation!$A:$D,3,0)</f>
        <v>0</v>
      </c>
      <c r="V45" s="156">
        <f>+VLOOKUP($L45,Data_Validation!$A:$D,4,0)</f>
        <v>0</v>
      </c>
      <c r="W45" s="156" t="str">
        <f>+VLOOKUP($L45,Data_Validation!$A:$E,5,0)</f>
        <v>$</v>
      </c>
      <c r="X45" s="156">
        <f>+VLOOKUP($L45,Data_Validation!$A:$F,6,0)</f>
        <v>0</v>
      </c>
    </row>
    <row r="46" spans="1:24" ht="15" hidden="1" customHeight="1">
      <c r="A46" s="1013" t="s">
        <v>2352</v>
      </c>
      <c r="B46" s="1013" t="s">
        <v>2353</v>
      </c>
      <c r="C46" s="1015"/>
      <c r="D46" s="1015"/>
      <c r="E46" s="1015"/>
      <c r="F46" s="1013" t="s">
        <v>1</v>
      </c>
      <c r="G46" s="1013" t="s">
        <v>2215</v>
      </c>
      <c r="H46" s="1014"/>
      <c r="I46" s="1014">
        <v>2</v>
      </c>
      <c r="J46" s="1014">
        <v>0</v>
      </c>
      <c r="K46" s="1014">
        <v>2</v>
      </c>
      <c r="L46" s="153" t="str">
        <f t="shared" si="0"/>
        <v>552</v>
      </c>
      <c r="M46" s="154" t="str">
        <f t="shared" si="1"/>
        <v>DIR. COMMERCIAL USAGES</v>
      </c>
      <c r="N46" s="155">
        <f>+IF(OR($Q46=Parametres!$G$2,$Q46=Parametres!$G$3),I46,C46)</f>
        <v>2</v>
      </c>
      <c r="O46" s="155">
        <f>+IF(OR($Q46=Parametres!$G$2,$Q46=Parametres!$G$3),J46,D46)</f>
        <v>0</v>
      </c>
      <c r="P46" s="155">
        <f>+IF(OR($Q46=Parametres!$G$2,$Q46=Parametres!$G$3),K46,E46)</f>
        <v>2</v>
      </c>
      <c r="Q46" s="154" t="str">
        <f t="shared" si="2"/>
        <v>1-Mémo</v>
      </c>
      <c r="R46" s="153" t="str">
        <f t="shared" si="3"/>
        <v>50</v>
      </c>
      <c r="S46" s="154">
        <f t="shared" si="4"/>
        <v>0</v>
      </c>
      <c r="T46" s="156" t="str">
        <f>+VLOOKUP($L46,Data_Validation!$A:$D,1,0)</f>
        <v>552</v>
      </c>
      <c r="U46" s="156">
        <f>+VLOOKUP($L46,Data_Validation!$A:$D,3,0)</f>
        <v>0</v>
      </c>
      <c r="V46" s="156">
        <f>+VLOOKUP($L46,Data_Validation!$A:$D,4,0)</f>
        <v>0</v>
      </c>
      <c r="W46" s="156" t="str">
        <f>+VLOOKUP($L46,Data_Validation!$A:$E,5,0)</f>
        <v>$</v>
      </c>
      <c r="X46" s="156">
        <f>+VLOOKUP($L46,Data_Validation!$A:$F,6,0)</f>
        <v>0</v>
      </c>
    </row>
    <row r="47" spans="1:24" ht="15" hidden="1" customHeight="1">
      <c r="A47" s="1013" t="s">
        <v>2864</v>
      </c>
      <c r="B47" s="1013" t="s">
        <v>2865</v>
      </c>
      <c r="C47" s="1015"/>
      <c r="D47" s="1015"/>
      <c r="E47" s="1015"/>
      <c r="F47" s="1013" t="s">
        <v>1</v>
      </c>
      <c r="G47" s="1013" t="s">
        <v>2215</v>
      </c>
      <c r="H47" s="1014"/>
      <c r="I47" s="1014">
        <v>1</v>
      </c>
      <c r="J47" s="1014">
        <v>0</v>
      </c>
      <c r="K47" s="1014">
        <v>1</v>
      </c>
      <c r="L47" s="153" t="str">
        <f t="shared" si="0"/>
        <v>564</v>
      </c>
      <c r="M47" s="154" t="str">
        <f t="shared" si="1"/>
        <v>CONTREMAITRE SERVICE</v>
      </c>
      <c r="N47" s="155">
        <f>+IF(OR($Q47=Parametres!$G$2,$Q47=Parametres!$G$3),I47,C47)</f>
        <v>1</v>
      </c>
      <c r="O47" s="155">
        <f>+IF(OR($Q47=Parametres!$G$2,$Q47=Parametres!$G$3),J47,D47)</f>
        <v>0</v>
      </c>
      <c r="P47" s="155">
        <f>+IF(OR($Q47=Parametres!$G$2,$Q47=Parametres!$G$3),K47,E47)</f>
        <v>1</v>
      </c>
      <c r="Q47" s="154" t="str">
        <f t="shared" si="2"/>
        <v>1-Mémo</v>
      </c>
      <c r="R47" s="153" t="str">
        <f t="shared" si="3"/>
        <v>50</v>
      </c>
      <c r="S47" s="154">
        <f t="shared" si="4"/>
        <v>0</v>
      </c>
      <c r="T47" s="156" t="str">
        <f>+VLOOKUP($L47,Data_Validation!$A:$D,1,0)</f>
        <v>564</v>
      </c>
      <c r="U47" s="156">
        <f>+VLOOKUP($L47,Data_Validation!$A:$D,3,0)</f>
        <v>0</v>
      </c>
      <c r="V47" s="156">
        <f>+VLOOKUP($L47,Data_Validation!$A:$D,4,0)</f>
        <v>0</v>
      </c>
      <c r="W47" s="156" t="str">
        <f>+VLOOKUP($L47,Data_Validation!$A:$E,5,0)</f>
        <v>$</v>
      </c>
      <c r="X47" s="156">
        <f>+VLOOKUP($L47,Data_Validation!$A:$F,6,0)</f>
        <v>0</v>
      </c>
    </row>
    <row r="48" spans="1:24" ht="15.75" hidden="1" customHeight="1">
      <c r="A48" s="1013" t="s">
        <v>2354</v>
      </c>
      <c r="B48" s="1013" t="s">
        <v>2355</v>
      </c>
      <c r="C48" s="1015"/>
      <c r="D48" s="1015"/>
      <c r="E48" s="1015"/>
      <c r="F48" s="1013" t="s">
        <v>1</v>
      </c>
      <c r="G48" s="1013" t="s">
        <v>2356</v>
      </c>
      <c r="H48" s="1014"/>
      <c r="I48" s="1014">
        <v>4</v>
      </c>
      <c r="J48" s="1014">
        <v>0</v>
      </c>
      <c r="K48" s="1014">
        <v>4</v>
      </c>
      <c r="L48" s="153" t="str">
        <f t="shared" si="0"/>
        <v>614</v>
      </c>
      <c r="M48" s="154" t="str">
        <f t="shared" si="1"/>
        <v>VW CONSEILLERS SERVICE -SERVICE</v>
      </c>
      <c r="N48" s="155">
        <f>+IF(OR($Q48=Parametres!$G$2,$Q48=Parametres!$G$3),I48,C48)</f>
        <v>4</v>
      </c>
      <c r="O48" s="155">
        <f>+IF(OR($Q48=Parametres!$G$2,$Q48=Parametres!$G$3),J48,D48)</f>
        <v>0</v>
      </c>
      <c r="P48" s="155">
        <f>+IF(OR($Q48=Parametres!$G$2,$Q48=Parametres!$G$3),K48,E48)</f>
        <v>4</v>
      </c>
      <c r="Q48" s="154" t="str">
        <f t="shared" si="2"/>
        <v>1-Mémo</v>
      </c>
      <c r="R48" s="153" t="str">
        <f t="shared" si="3"/>
        <v>61</v>
      </c>
      <c r="S48" s="154">
        <f t="shared" si="4"/>
        <v>0</v>
      </c>
      <c r="T48" s="156" t="str">
        <f>+VLOOKUP($L48,Data_Validation!$A:$D,1,0)</f>
        <v>614</v>
      </c>
      <c r="U48" s="156">
        <f>+VLOOKUP($L48,Data_Validation!$A:$D,3,0)</f>
        <v>0</v>
      </c>
      <c r="V48" s="156">
        <f>+VLOOKUP($L48,Data_Validation!$A:$D,4,0)</f>
        <v>0</v>
      </c>
      <c r="W48" s="156" t="str">
        <f>+VLOOKUP($L48,Data_Validation!$A:$E,5,0)</f>
        <v>$</v>
      </c>
      <c r="X48" s="156">
        <f>+VLOOKUP($L48,Data_Validation!$A:$F,6,0)</f>
        <v>0</v>
      </c>
    </row>
    <row r="49" spans="1:24" ht="15" hidden="1" customHeight="1">
      <c r="A49" s="1013" t="s">
        <v>2357</v>
      </c>
      <c r="B49" s="1013" t="s">
        <v>2358</v>
      </c>
      <c r="C49" s="1015"/>
      <c r="D49" s="1015"/>
      <c r="E49" s="1015"/>
      <c r="F49" s="1013" t="s">
        <v>1</v>
      </c>
      <c r="G49" s="1013" t="s">
        <v>2356</v>
      </c>
      <c r="H49" s="1014"/>
      <c r="I49" s="1014">
        <v>1</v>
      </c>
      <c r="J49" s="1014">
        <v>0</v>
      </c>
      <c r="K49" s="1014">
        <v>1</v>
      </c>
      <c r="L49" s="153" t="str">
        <f t="shared" si="0"/>
        <v>615</v>
      </c>
      <c r="M49" s="154" t="str">
        <f t="shared" si="1"/>
        <v>VW CONSEILLERS SERVICE - PIEC. &amp; CARR.&lt;</v>
      </c>
      <c r="N49" s="155">
        <f>+IF(OR($Q49=Parametres!$G$2,$Q49=Parametres!$G$3),I49,C49)</f>
        <v>1</v>
      </c>
      <c r="O49" s="575">
        <f>+IF(OR($Q49=Parametres!$G$2,$Q49=Parametres!$G$3),J49,D49)</f>
        <v>0</v>
      </c>
      <c r="P49" s="155">
        <f>+IF(OR($Q49=Parametres!$G$2,$Q49=Parametres!$G$3),K49,E49)</f>
        <v>1</v>
      </c>
      <c r="Q49" s="154" t="str">
        <f t="shared" si="2"/>
        <v>1-Mémo</v>
      </c>
      <c r="R49" s="153" t="str">
        <f t="shared" si="3"/>
        <v>61</v>
      </c>
      <c r="S49" s="154">
        <f t="shared" si="4"/>
        <v>0</v>
      </c>
      <c r="T49" s="156" t="str">
        <f>+VLOOKUP($L49,Data_Validation!$A:$D,1,0)</f>
        <v>615</v>
      </c>
      <c r="U49" s="156">
        <f>+VLOOKUP($L49,Data_Validation!$A:$D,3,0)</f>
        <v>0</v>
      </c>
      <c r="V49" s="156">
        <f>+VLOOKUP($L49,Data_Validation!$A:$D,4,0)</f>
        <v>0</v>
      </c>
      <c r="W49" s="156" t="str">
        <f>+VLOOKUP($L49,Data_Validation!$A:$E,5,0)</f>
        <v>$</v>
      </c>
      <c r="X49" s="156">
        <f>+VLOOKUP($L49,Data_Validation!$A:$F,6,0)</f>
        <v>0</v>
      </c>
    </row>
    <row r="50" spans="1:24" ht="15" hidden="1" customHeight="1">
      <c r="A50" s="1013" t="s">
        <v>2359</v>
      </c>
      <c r="B50" s="1013" t="s">
        <v>2360</v>
      </c>
      <c r="C50" s="1015"/>
      <c r="D50" s="1015"/>
      <c r="E50" s="1015"/>
      <c r="F50" s="1013" t="s">
        <v>1</v>
      </c>
      <c r="G50" s="1013" t="s">
        <v>2215</v>
      </c>
      <c r="H50" s="1014"/>
      <c r="I50" s="1014">
        <v>1</v>
      </c>
      <c r="J50" s="1014">
        <v>0</v>
      </c>
      <c r="K50" s="1014">
        <v>1</v>
      </c>
      <c r="L50" s="153" t="str">
        <f t="shared" si="0"/>
        <v>621</v>
      </c>
      <c r="M50" s="154" t="str">
        <f t="shared" si="1"/>
        <v>LAVEURS NEUFS</v>
      </c>
      <c r="N50" s="155">
        <f>+IF(OR($Q50=Parametres!$G$2,$Q50=Parametres!$G$3),I50,C50)</f>
        <v>1</v>
      </c>
      <c r="O50" s="155">
        <f>+IF(OR($Q50=Parametres!$G$2,$Q50=Parametres!$G$3),J50,D50)</f>
        <v>0</v>
      </c>
      <c r="P50" s="155">
        <f>+IF(OR($Q50=Parametres!$G$2,$Q50=Parametres!$G$3),K50,E50)</f>
        <v>1</v>
      </c>
      <c r="Q50" s="154" t="str">
        <f t="shared" si="2"/>
        <v>1-Mémo</v>
      </c>
      <c r="R50" s="153" t="str">
        <f t="shared" si="3"/>
        <v>50</v>
      </c>
      <c r="S50" s="154">
        <f t="shared" si="4"/>
        <v>0</v>
      </c>
      <c r="T50" s="156" t="str">
        <f>+VLOOKUP($L50,Data_Validation!$A:$D,1,0)</f>
        <v>621</v>
      </c>
      <c r="U50" s="156">
        <f>+VLOOKUP($L50,Data_Validation!$A:$D,3,0)</f>
        <v>0</v>
      </c>
      <c r="V50" s="156">
        <f>+VLOOKUP($L50,Data_Validation!$A:$D,4,0)</f>
        <v>0</v>
      </c>
      <c r="W50" s="156" t="str">
        <f>+VLOOKUP($L50,Data_Validation!$A:$E,5,0)</f>
        <v>$</v>
      </c>
      <c r="X50" s="156">
        <f>+VLOOKUP($L50,Data_Validation!$A:$F,6,0)</f>
        <v>0</v>
      </c>
    </row>
    <row r="51" spans="1:24" ht="15" hidden="1" customHeight="1">
      <c r="A51" s="1013" t="s">
        <v>2361</v>
      </c>
      <c r="B51" s="1013" t="s">
        <v>2362</v>
      </c>
      <c r="C51" s="1014"/>
      <c r="D51" s="1014"/>
      <c r="E51" s="1014"/>
      <c r="F51" s="1013" t="s">
        <v>1</v>
      </c>
      <c r="G51" s="1013" t="s">
        <v>2215</v>
      </c>
      <c r="H51" s="1014"/>
      <c r="I51" s="1015">
        <v>1</v>
      </c>
      <c r="J51" s="1015">
        <v>0</v>
      </c>
      <c r="K51" s="1015">
        <v>1</v>
      </c>
      <c r="L51" s="153" t="str">
        <f t="shared" si="0"/>
        <v>622</v>
      </c>
      <c r="M51" s="154" t="str">
        <f t="shared" si="1"/>
        <v>LAVEURS USAGES</v>
      </c>
      <c r="N51" s="155">
        <f>+IF(OR($Q51=Parametres!$G$2,$Q51=Parametres!$G$3),I51,C51)</f>
        <v>1</v>
      </c>
      <c r="O51" s="155">
        <f>+IF(OR($Q51=Parametres!$G$2,$Q51=Parametres!$G$3),J51,D51)</f>
        <v>0</v>
      </c>
      <c r="P51" s="155">
        <f>+IF(OR($Q51=Parametres!$G$2,$Q51=Parametres!$G$3),K51,E51)</f>
        <v>1</v>
      </c>
      <c r="Q51" s="154" t="str">
        <f t="shared" si="2"/>
        <v>1-Mémo</v>
      </c>
      <c r="R51" s="153" t="str">
        <f t="shared" si="3"/>
        <v>50</v>
      </c>
      <c r="S51" s="154">
        <f t="shared" si="4"/>
        <v>0</v>
      </c>
      <c r="T51" s="156" t="str">
        <f>+VLOOKUP($L51,Data_Validation!$A:$D,1,0)</f>
        <v>622</v>
      </c>
      <c r="U51" s="156">
        <f>+VLOOKUP($L51,Data_Validation!$A:$D,3,0)</f>
        <v>0</v>
      </c>
      <c r="V51" s="156">
        <f>+VLOOKUP($L51,Data_Validation!$A:$D,4,0)</f>
        <v>0</v>
      </c>
      <c r="W51" s="156" t="str">
        <f>+VLOOKUP($L51,Data_Validation!$A:$E,5,0)</f>
        <v>$</v>
      </c>
      <c r="X51" s="156">
        <f>+VLOOKUP($L51,Data_Validation!$A:$F,6,0)</f>
        <v>0</v>
      </c>
    </row>
    <row r="52" spans="1:24" ht="15.75" hidden="1" customHeight="1">
      <c r="A52" s="1013" t="s">
        <v>2363</v>
      </c>
      <c r="B52" s="1013" t="s">
        <v>2364</v>
      </c>
      <c r="C52" s="1015"/>
      <c r="D52" s="1015"/>
      <c r="E52" s="1015"/>
      <c r="F52" s="1013" t="s">
        <v>1</v>
      </c>
      <c r="G52" s="1013" t="s">
        <v>2215</v>
      </c>
      <c r="H52" s="1014"/>
      <c r="I52" s="1014">
        <v>9</v>
      </c>
      <c r="J52" s="1014">
        <v>0</v>
      </c>
      <c r="K52" s="1014">
        <v>9</v>
      </c>
      <c r="L52" s="153" t="str">
        <f t="shared" si="0"/>
        <v>624</v>
      </c>
      <c r="M52" s="154" t="str">
        <f t="shared" si="1"/>
        <v>LAVEURS SERVICE</v>
      </c>
      <c r="N52" s="155">
        <f>+IF(OR($Q52=Parametres!$G$2,$Q52=Parametres!$G$3),I52,C52)</f>
        <v>9</v>
      </c>
      <c r="O52" s="155">
        <f>+IF(OR($Q52=Parametres!$G$2,$Q52=Parametres!$G$3),J52,D52)</f>
        <v>0</v>
      </c>
      <c r="P52" s="155">
        <f>+IF(OR($Q52=Parametres!$G$2,$Q52=Parametres!$G$3),K52,E52)</f>
        <v>9</v>
      </c>
      <c r="Q52" s="154" t="str">
        <f t="shared" si="2"/>
        <v>1-Mémo</v>
      </c>
      <c r="R52" s="153" t="str">
        <f t="shared" si="3"/>
        <v>50</v>
      </c>
      <c r="S52" s="154">
        <f t="shared" si="4"/>
        <v>0</v>
      </c>
      <c r="T52" s="156" t="str">
        <f>+VLOOKUP($L52,Data_Validation!$A:$D,1,0)</f>
        <v>624</v>
      </c>
      <c r="U52" s="156">
        <f>+VLOOKUP($L52,Data_Validation!$A:$D,3,0)</f>
        <v>0</v>
      </c>
      <c r="V52" s="156">
        <f>+VLOOKUP($L52,Data_Validation!$A:$D,4,0)</f>
        <v>0</v>
      </c>
      <c r="W52" s="156" t="str">
        <f>+VLOOKUP($L52,Data_Validation!$A:$E,5,0)</f>
        <v>$</v>
      </c>
      <c r="X52" s="156">
        <f>+VLOOKUP($L52,Data_Validation!$A:$F,6,0)</f>
        <v>0</v>
      </c>
    </row>
    <row r="53" spans="1:24" ht="15" hidden="1" customHeight="1">
      <c r="A53" s="1013" t="s">
        <v>2365</v>
      </c>
      <c r="B53" s="1013" t="s">
        <v>2366</v>
      </c>
      <c r="C53" s="1015"/>
      <c r="D53" s="1015"/>
      <c r="E53" s="1015"/>
      <c r="F53" s="1013" t="s">
        <v>1</v>
      </c>
      <c r="G53" s="1013" t="s">
        <v>2367</v>
      </c>
      <c r="H53" s="1014"/>
      <c r="I53" s="1014">
        <v>12</v>
      </c>
      <c r="J53" s="1014">
        <v>0</v>
      </c>
      <c r="K53" s="1014">
        <v>12</v>
      </c>
      <c r="L53" s="153" t="str">
        <f t="shared" si="0"/>
        <v>644</v>
      </c>
      <c r="M53" s="154" t="str">
        <f t="shared" si="1"/>
        <v>VW TECHNICIENS - SERVICE</v>
      </c>
      <c r="N53" s="155">
        <f>+IF(OR($Q53=Parametres!$G$2,$Q53=Parametres!$G$3),I53,C53)</f>
        <v>12</v>
      </c>
      <c r="O53" s="155">
        <f>+IF(OR($Q53=Parametres!$G$2,$Q53=Parametres!$G$3),J53,D53)</f>
        <v>0</v>
      </c>
      <c r="P53" s="155">
        <f>+IF(OR($Q53=Parametres!$G$2,$Q53=Parametres!$G$3),K53,E53)</f>
        <v>12</v>
      </c>
      <c r="Q53" s="154" t="str">
        <f t="shared" si="2"/>
        <v>1-Mémo</v>
      </c>
      <c r="R53" s="153" t="str">
        <f t="shared" si="3"/>
        <v>64</v>
      </c>
      <c r="S53" s="154">
        <f t="shared" si="4"/>
        <v>0</v>
      </c>
      <c r="T53" s="156" t="str">
        <f>+VLOOKUP($L53,Data_Validation!$A:$D,1,0)</f>
        <v>644</v>
      </c>
      <c r="U53" s="156">
        <f>+VLOOKUP($L53,Data_Validation!$A:$D,3,0)</f>
        <v>0</v>
      </c>
      <c r="V53" s="156">
        <f>+VLOOKUP($L53,Data_Validation!$A:$D,4,0)</f>
        <v>0</v>
      </c>
      <c r="W53" s="156" t="str">
        <f>+VLOOKUP($L53,Data_Validation!$A:$E,5,0)</f>
        <v>$</v>
      </c>
      <c r="X53" s="156">
        <f>+VLOOKUP($L53,Data_Validation!$A:$F,6,0)</f>
        <v>0</v>
      </c>
    </row>
    <row r="54" spans="1:24" ht="15" hidden="1" customHeight="1">
      <c r="A54" s="1013" t="s">
        <v>2368</v>
      </c>
      <c r="B54" s="1013" t="s">
        <v>2369</v>
      </c>
      <c r="C54" s="1015"/>
      <c r="D54" s="1015"/>
      <c r="E54" s="1015"/>
      <c r="F54" s="1013" t="s">
        <v>1</v>
      </c>
      <c r="G54" s="1013" t="s">
        <v>2215</v>
      </c>
      <c r="H54" s="1014"/>
      <c r="I54" s="1014">
        <v>0.2</v>
      </c>
      <c r="J54" s="1014">
        <v>0</v>
      </c>
      <c r="K54" s="1014">
        <v>0.2</v>
      </c>
      <c r="L54" s="153" t="str">
        <f t="shared" si="0"/>
        <v>651</v>
      </c>
      <c r="M54" s="154" t="str">
        <f t="shared" si="1"/>
        <v>DIR. ADMINIS. NEUFS</v>
      </c>
      <c r="N54" s="155">
        <f>+IF(OR($Q54=Parametres!$G$2,$Q54=Parametres!$G$3),I54,C54)</f>
        <v>0.2</v>
      </c>
      <c r="O54" s="155">
        <f>+IF(OR($Q54=Parametres!$G$2,$Q54=Parametres!$G$3),J54,D54)</f>
        <v>0</v>
      </c>
      <c r="P54" s="155">
        <f>+IF(OR($Q54=Parametres!$G$2,$Q54=Parametres!$G$3),K54,E54)</f>
        <v>0.2</v>
      </c>
      <c r="Q54" s="154" t="str">
        <f t="shared" si="2"/>
        <v>1-Mémo</v>
      </c>
      <c r="R54" s="153" t="str">
        <f t="shared" si="3"/>
        <v>50</v>
      </c>
      <c r="S54" s="154">
        <f t="shared" si="4"/>
        <v>0</v>
      </c>
      <c r="T54" s="156" t="str">
        <f>+VLOOKUP($L54,Data_Validation!$A:$D,1,0)</f>
        <v>651</v>
      </c>
      <c r="U54" s="156">
        <f>+VLOOKUP($L54,Data_Validation!$A:$D,3,0)</f>
        <v>0</v>
      </c>
      <c r="V54" s="156">
        <f>+VLOOKUP($L54,Data_Validation!$A:$D,4,0)</f>
        <v>0</v>
      </c>
      <c r="W54" s="156" t="str">
        <f>+VLOOKUP($L54,Data_Validation!$A:$E,5,0)</f>
        <v>$</v>
      </c>
      <c r="X54" s="156">
        <f>+VLOOKUP($L54,Data_Validation!$A:$F,6,0)</f>
        <v>0</v>
      </c>
    </row>
    <row r="55" spans="1:24" ht="15" hidden="1" customHeight="1">
      <c r="A55" s="1013" t="s">
        <v>2370</v>
      </c>
      <c r="B55" s="1013" t="s">
        <v>2371</v>
      </c>
      <c r="C55" s="1014"/>
      <c r="D55" s="1014"/>
      <c r="E55" s="1014"/>
      <c r="F55" s="1013" t="s">
        <v>1</v>
      </c>
      <c r="G55" s="1013" t="s">
        <v>2215</v>
      </c>
      <c r="H55" s="1014"/>
      <c r="I55" s="1015">
        <v>0.2</v>
      </c>
      <c r="J55" s="1015">
        <v>0</v>
      </c>
      <c r="K55" s="1015">
        <v>0.2</v>
      </c>
      <c r="L55" s="153" t="str">
        <f t="shared" si="0"/>
        <v>652</v>
      </c>
      <c r="M55" s="154" t="str">
        <f t="shared" si="1"/>
        <v>DIR. ADMINIS. USAGES</v>
      </c>
      <c r="N55" s="155">
        <f>+IF(OR($Q55=Parametres!$G$2,$Q55=Parametres!$G$3),I55,C55)</f>
        <v>0.2</v>
      </c>
      <c r="O55" s="155">
        <f>+IF(OR($Q55=Parametres!$G$2,$Q55=Parametres!$G$3),J55,D55)</f>
        <v>0</v>
      </c>
      <c r="P55" s="155">
        <f>+IF(OR($Q55=Parametres!$G$2,$Q55=Parametres!$G$3),K55,E55)</f>
        <v>0.2</v>
      </c>
      <c r="Q55" s="154" t="str">
        <f t="shared" si="2"/>
        <v>1-Mémo</v>
      </c>
      <c r="R55" s="153" t="str">
        <f t="shared" si="3"/>
        <v>50</v>
      </c>
      <c r="S55" s="154">
        <f t="shared" si="4"/>
        <v>0</v>
      </c>
      <c r="T55" s="156" t="str">
        <f>+VLOOKUP($L55,Data_Validation!$A:$D,1,0)</f>
        <v>652</v>
      </c>
      <c r="U55" s="156">
        <f>+VLOOKUP($L55,Data_Validation!$A:$D,3,0)</f>
        <v>0</v>
      </c>
      <c r="V55" s="156">
        <f>+VLOOKUP($L55,Data_Validation!$A:$D,4,0)</f>
        <v>0</v>
      </c>
      <c r="W55" s="156" t="str">
        <f>+VLOOKUP($L55,Data_Validation!$A:$E,5,0)</f>
        <v>$</v>
      </c>
      <c r="X55" s="156">
        <f>+VLOOKUP($L55,Data_Validation!$A:$F,6,0)</f>
        <v>0</v>
      </c>
    </row>
    <row r="56" spans="1:24" ht="15.75" hidden="1" customHeight="1">
      <c r="A56" s="1013" t="s">
        <v>2372</v>
      </c>
      <c r="B56" s="1013" t="s">
        <v>2373</v>
      </c>
      <c r="C56" s="1015"/>
      <c r="D56" s="1015"/>
      <c r="E56" s="1015"/>
      <c r="F56" s="1013" t="s">
        <v>1</v>
      </c>
      <c r="G56" s="1013" t="s">
        <v>2215</v>
      </c>
      <c r="H56" s="1014"/>
      <c r="I56" s="1014">
        <v>0.2</v>
      </c>
      <c r="J56" s="1014">
        <v>0</v>
      </c>
      <c r="K56" s="1014">
        <v>0.2</v>
      </c>
      <c r="L56" s="153" t="str">
        <f t="shared" si="0"/>
        <v>654</v>
      </c>
      <c r="M56" s="154" t="str">
        <f t="shared" si="1"/>
        <v>DIR. ADMINIS. SERVICE</v>
      </c>
      <c r="N56" s="155">
        <f>+IF(OR($Q56=Parametres!$G$2,$Q56=Parametres!$G$3),I56,C56)</f>
        <v>0.2</v>
      </c>
      <c r="O56" s="155">
        <f>+IF(OR($Q56=Parametres!$G$2,$Q56=Parametres!$G$3),J56,D56)</f>
        <v>0</v>
      </c>
      <c r="P56" s="155">
        <f>+IF(OR($Q56=Parametres!$G$2,$Q56=Parametres!$G$3),K56,E56)</f>
        <v>0.2</v>
      </c>
      <c r="Q56" s="154" t="str">
        <f t="shared" si="2"/>
        <v>1-Mémo</v>
      </c>
      <c r="R56" s="153" t="str">
        <f t="shared" si="3"/>
        <v>50</v>
      </c>
      <c r="S56" s="154">
        <f t="shared" si="4"/>
        <v>0</v>
      </c>
      <c r="T56" s="156" t="str">
        <f>+VLOOKUP($L56,Data_Validation!$A:$D,1,0)</f>
        <v>654</v>
      </c>
      <c r="U56" s="156">
        <f>+VLOOKUP($L56,Data_Validation!$A:$D,3,0)</f>
        <v>0</v>
      </c>
      <c r="V56" s="156">
        <f>+VLOOKUP($L56,Data_Validation!$A:$D,4,0)</f>
        <v>0</v>
      </c>
      <c r="W56" s="156" t="str">
        <f>+VLOOKUP($L56,Data_Validation!$A:$E,5,0)</f>
        <v>$</v>
      </c>
      <c r="X56" s="156">
        <f>+VLOOKUP($L56,Data_Validation!$A:$F,6,0)</f>
        <v>0</v>
      </c>
    </row>
    <row r="57" spans="1:24" ht="15" hidden="1" customHeight="1">
      <c r="A57" s="1013" t="s">
        <v>2374</v>
      </c>
      <c r="B57" s="1013" t="s">
        <v>2375</v>
      </c>
      <c r="C57" s="1015"/>
      <c r="D57" s="1015"/>
      <c r="E57" s="1015"/>
      <c r="F57" s="1013" t="s">
        <v>1</v>
      </c>
      <c r="G57" s="1013" t="s">
        <v>2215</v>
      </c>
      <c r="H57" s="970"/>
      <c r="I57" s="970">
        <v>0.2</v>
      </c>
      <c r="J57" s="970">
        <v>0</v>
      </c>
      <c r="K57" s="970">
        <v>0.2</v>
      </c>
      <c r="L57" s="153" t="str">
        <f t="shared" si="0"/>
        <v>655</v>
      </c>
      <c r="M57" s="154" t="str">
        <f t="shared" si="1"/>
        <v>DIR. ADMINIS. CARROSS.</v>
      </c>
      <c r="N57" s="155">
        <f>+IF(OR($Q57=Parametres!$G$2,$Q57=Parametres!$G$3),I57,C57)</f>
        <v>0.2</v>
      </c>
      <c r="O57" s="155">
        <f>+IF(OR($Q57=Parametres!$G$2,$Q57=Parametres!$G$3),J57,D57)</f>
        <v>0</v>
      </c>
      <c r="P57" s="155">
        <f>+IF(OR($Q57=Parametres!$G$2,$Q57=Parametres!$G$3),K57,E57)</f>
        <v>0.2</v>
      </c>
      <c r="Q57" s="154" t="str">
        <f t="shared" si="2"/>
        <v>1-Mémo</v>
      </c>
      <c r="R57" s="153" t="str">
        <f t="shared" si="3"/>
        <v>50</v>
      </c>
      <c r="S57" s="154">
        <f t="shared" si="4"/>
        <v>0</v>
      </c>
      <c r="T57" s="156" t="str">
        <f>+VLOOKUP($L57,Data_Validation!$A:$D,1,0)</f>
        <v>655</v>
      </c>
      <c r="U57" s="156">
        <f>+VLOOKUP($L57,Data_Validation!$A:$D,3,0)</f>
        <v>0</v>
      </c>
      <c r="V57" s="156">
        <f>+VLOOKUP($L57,Data_Validation!$A:$D,4,0)</f>
        <v>0</v>
      </c>
      <c r="W57" s="156" t="str">
        <f>+VLOOKUP($L57,Data_Validation!$A:$E,5,0)</f>
        <v>$</v>
      </c>
      <c r="X57" s="156">
        <f>+VLOOKUP($L57,Data_Validation!$A:$F,6,0)</f>
        <v>0</v>
      </c>
    </row>
    <row r="58" spans="1:24" ht="15" hidden="1" customHeight="1">
      <c r="A58" s="1013" t="s">
        <v>2376</v>
      </c>
      <c r="B58" s="1013" t="s">
        <v>2377</v>
      </c>
      <c r="C58" s="1015"/>
      <c r="D58" s="1015"/>
      <c r="E58" s="1015"/>
      <c r="F58" s="1013" t="s">
        <v>1</v>
      </c>
      <c r="G58" s="1013" t="s">
        <v>2215</v>
      </c>
      <c r="H58" s="970"/>
      <c r="I58" s="970">
        <v>0.2</v>
      </c>
      <c r="J58" s="970">
        <v>0</v>
      </c>
      <c r="K58" s="970">
        <v>0.2</v>
      </c>
      <c r="L58" s="153" t="str">
        <f t="shared" si="0"/>
        <v>657</v>
      </c>
      <c r="M58" s="154" t="str">
        <f t="shared" si="1"/>
        <v>DIR. ADMINIS. PIECES</v>
      </c>
      <c r="N58" s="155">
        <f>+IF(OR($Q58=Parametres!$G$2,$Q58=Parametres!$G$3),I58,C58)</f>
        <v>0.2</v>
      </c>
      <c r="O58" s="155">
        <f>+IF(OR($Q58=Parametres!$G$2,$Q58=Parametres!$G$3),J58,D58)</f>
        <v>0</v>
      </c>
      <c r="P58" s="155">
        <f>+IF(OR($Q58=Parametres!$G$2,$Q58=Parametres!$G$3),K58,E58)</f>
        <v>0.2</v>
      </c>
      <c r="Q58" s="154" t="str">
        <f t="shared" si="2"/>
        <v>1-Mémo</v>
      </c>
      <c r="R58" s="153" t="str">
        <f t="shared" si="3"/>
        <v>50</v>
      </c>
      <c r="S58" s="154">
        <f t="shared" si="4"/>
        <v>0</v>
      </c>
      <c r="T58" s="156" t="str">
        <f>+VLOOKUP($L58,Data_Validation!$A:$D,1,0)</f>
        <v>657</v>
      </c>
      <c r="U58" s="156">
        <f>+VLOOKUP($L58,Data_Validation!$A:$D,3,0)</f>
        <v>0</v>
      </c>
      <c r="V58" s="156">
        <f>+VLOOKUP($L58,Data_Validation!$A:$D,4,0)</f>
        <v>0</v>
      </c>
      <c r="W58" s="156" t="str">
        <f>+VLOOKUP($L58,Data_Validation!$A:$E,5,0)</f>
        <v>$</v>
      </c>
      <c r="X58" s="156">
        <f>+VLOOKUP($L58,Data_Validation!$A:$F,6,0)</f>
        <v>0</v>
      </c>
    </row>
    <row r="59" spans="1:24" ht="15" hidden="1" customHeight="1">
      <c r="A59" s="1013" t="s">
        <v>2378</v>
      </c>
      <c r="B59" s="1013" t="s">
        <v>2379</v>
      </c>
      <c r="C59" s="1015"/>
      <c r="D59" s="1015"/>
      <c r="E59" s="1015"/>
      <c r="F59" s="1013" t="s">
        <v>1</v>
      </c>
      <c r="G59" s="1013" t="s">
        <v>2215</v>
      </c>
      <c r="H59" s="970"/>
      <c r="I59" s="970">
        <v>1</v>
      </c>
      <c r="J59" s="970">
        <v>0</v>
      </c>
      <c r="K59" s="970">
        <v>1</v>
      </c>
      <c r="L59" s="153" t="str">
        <f t="shared" si="0"/>
        <v>661</v>
      </c>
      <c r="M59" s="154" t="str">
        <f t="shared" si="1"/>
        <v>PERSONELS CLER. NEUFS</v>
      </c>
      <c r="N59" s="155">
        <f>+IF(OR($Q59=Parametres!$G$2,$Q59=Parametres!$G$3),I59,C59)</f>
        <v>1</v>
      </c>
      <c r="O59" s="575">
        <f>+IF(OR($Q59=Parametres!$G$2,$Q59=Parametres!$G$3),J59,D59)</f>
        <v>0</v>
      </c>
      <c r="P59" s="155">
        <f>+IF(OR($Q59=Parametres!$G$2,$Q59=Parametres!$G$3),K59,E59)</f>
        <v>1</v>
      </c>
      <c r="Q59" s="154" t="str">
        <f t="shared" si="2"/>
        <v>1-Mémo</v>
      </c>
      <c r="R59" s="153" t="str">
        <f t="shared" si="3"/>
        <v>50</v>
      </c>
      <c r="S59" s="154">
        <f t="shared" si="4"/>
        <v>0</v>
      </c>
      <c r="T59" s="156" t="str">
        <f>+VLOOKUP($L59,Data_Validation!$A:$D,1,0)</f>
        <v>661</v>
      </c>
      <c r="U59" s="156">
        <f>+VLOOKUP($L59,Data_Validation!$A:$D,3,0)</f>
        <v>0</v>
      </c>
      <c r="V59" s="156">
        <f>+VLOOKUP($L59,Data_Validation!$A:$D,4,0)</f>
        <v>0</v>
      </c>
      <c r="W59" s="156" t="str">
        <f>+VLOOKUP($L59,Data_Validation!$A:$E,5,0)</f>
        <v>$</v>
      </c>
      <c r="X59" s="156">
        <f>+VLOOKUP($L59,Data_Validation!$A:$F,6,0)</f>
        <v>0</v>
      </c>
    </row>
    <row r="60" spans="1:24" ht="15" hidden="1" customHeight="1">
      <c r="A60" s="1013" t="s">
        <v>2380</v>
      </c>
      <c r="B60" s="1013" t="s">
        <v>2381</v>
      </c>
      <c r="C60" s="1015"/>
      <c r="D60" s="1015"/>
      <c r="E60" s="1015"/>
      <c r="F60" s="1013" t="s">
        <v>1</v>
      </c>
      <c r="G60" s="1013" t="s">
        <v>2215</v>
      </c>
      <c r="H60" s="970"/>
      <c r="I60" s="970">
        <v>1</v>
      </c>
      <c r="J60" s="970">
        <v>0</v>
      </c>
      <c r="K60" s="970">
        <v>1</v>
      </c>
      <c r="L60" s="153" t="str">
        <f t="shared" si="0"/>
        <v>662</v>
      </c>
      <c r="M60" s="154" t="str">
        <f t="shared" si="1"/>
        <v>PERSONELS CLER. USAGES</v>
      </c>
      <c r="N60" s="155">
        <f>+IF(OR($Q60=Parametres!$G$2,$Q60=Parametres!$G$3),I60,C60)</f>
        <v>1</v>
      </c>
      <c r="O60" s="155">
        <f>+IF(OR($Q60=Parametres!$G$2,$Q60=Parametres!$G$3),J60,D60)</f>
        <v>0</v>
      </c>
      <c r="P60" s="155">
        <f>+IF(OR($Q60=Parametres!$G$2,$Q60=Parametres!$G$3),K60,E60)</f>
        <v>1</v>
      </c>
      <c r="Q60" s="154" t="str">
        <f t="shared" si="2"/>
        <v>1-Mémo</v>
      </c>
      <c r="R60" s="153" t="str">
        <f t="shared" si="3"/>
        <v>50</v>
      </c>
      <c r="S60" s="154">
        <f t="shared" si="4"/>
        <v>0</v>
      </c>
      <c r="T60" s="156" t="str">
        <f>+VLOOKUP($L60,Data_Validation!$A:$D,1,0)</f>
        <v>662</v>
      </c>
      <c r="U60" s="156">
        <f>+VLOOKUP($L60,Data_Validation!$A:$D,3,0)</f>
        <v>0</v>
      </c>
      <c r="V60" s="156">
        <f>+VLOOKUP($L60,Data_Validation!$A:$D,4,0)</f>
        <v>0</v>
      </c>
      <c r="W60" s="156" t="str">
        <f>+VLOOKUP($L60,Data_Validation!$A:$E,5,0)</f>
        <v>$</v>
      </c>
      <c r="X60" s="156">
        <f>+VLOOKUP($L60,Data_Validation!$A:$F,6,0)</f>
        <v>0</v>
      </c>
    </row>
    <row r="61" spans="1:24" ht="15" hidden="1" customHeight="1">
      <c r="A61" s="1013" t="s">
        <v>2382</v>
      </c>
      <c r="B61" s="1013" t="s">
        <v>2383</v>
      </c>
      <c r="C61" s="1015"/>
      <c r="D61" s="1015"/>
      <c r="E61" s="1015"/>
      <c r="F61" s="1013" t="s">
        <v>1</v>
      </c>
      <c r="G61" s="1013" t="s">
        <v>2215</v>
      </c>
      <c r="H61" s="970"/>
      <c r="I61" s="970">
        <v>1</v>
      </c>
      <c r="J61" s="970">
        <v>0</v>
      </c>
      <c r="K61" s="970">
        <v>1</v>
      </c>
      <c r="L61" s="153" t="str">
        <f t="shared" si="0"/>
        <v>664</v>
      </c>
      <c r="M61" s="154" t="str">
        <f t="shared" si="1"/>
        <v>PERSONELS CLER. SERVICE</v>
      </c>
      <c r="N61" s="155">
        <f>+IF(OR($Q61=Parametres!$G$2,$Q61=Parametres!$G$3),I61,C61)</f>
        <v>1</v>
      </c>
      <c r="O61" s="155">
        <f>+IF(OR($Q61=Parametres!$G$2,$Q61=Parametres!$G$3),J61,D61)</f>
        <v>0</v>
      </c>
      <c r="P61" s="155">
        <f>+IF(OR($Q61=Parametres!$G$2,$Q61=Parametres!$G$3),K61,E61)</f>
        <v>1</v>
      </c>
      <c r="Q61" s="154" t="str">
        <f t="shared" si="2"/>
        <v>1-Mémo</v>
      </c>
      <c r="R61" s="153" t="str">
        <f t="shared" si="3"/>
        <v>50</v>
      </c>
      <c r="S61" s="154">
        <f t="shared" si="4"/>
        <v>0</v>
      </c>
      <c r="T61" s="156" t="str">
        <f>+VLOOKUP($L61,Data_Validation!$A:$D,1,0)</f>
        <v>664</v>
      </c>
      <c r="U61" s="156">
        <f>+VLOOKUP($L61,Data_Validation!$A:$D,3,0)</f>
        <v>0</v>
      </c>
      <c r="V61" s="156">
        <f>+VLOOKUP($L61,Data_Validation!$A:$D,4,0)</f>
        <v>0</v>
      </c>
      <c r="W61" s="156" t="str">
        <f>+VLOOKUP($L61,Data_Validation!$A:$E,5,0)</f>
        <v>$</v>
      </c>
      <c r="X61" s="156">
        <f>+VLOOKUP($L61,Data_Validation!$A:$F,6,0)</f>
        <v>0</v>
      </c>
    </row>
    <row r="62" spans="1:24" ht="15" hidden="1" customHeight="1">
      <c r="A62" s="1013" t="s">
        <v>2384</v>
      </c>
      <c r="B62" s="1013" t="s">
        <v>2385</v>
      </c>
      <c r="C62" s="1015"/>
      <c r="D62" s="1015"/>
      <c r="E62" s="1015"/>
      <c r="F62" s="1013" t="s">
        <v>1</v>
      </c>
      <c r="G62" s="1013" t="s">
        <v>2215</v>
      </c>
      <c r="H62" s="970"/>
      <c r="I62" s="970">
        <v>1</v>
      </c>
      <c r="J62" s="970">
        <v>0</v>
      </c>
      <c r="K62" s="970">
        <v>1</v>
      </c>
      <c r="L62" s="153" t="str">
        <f t="shared" si="0"/>
        <v>667</v>
      </c>
      <c r="M62" s="154" t="str">
        <f t="shared" si="1"/>
        <v>PERSONELS CLER. PIECES</v>
      </c>
      <c r="N62" s="155">
        <f>+IF(OR($Q62=Parametres!$G$2,$Q62=Parametres!$G$3),I62,C62)</f>
        <v>1</v>
      </c>
      <c r="O62" s="155">
        <f>+IF(OR($Q62=Parametres!$G$2,$Q62=Parametres!$G$3),J62,D62)</f>
        <v>0</v>
      </c>
      <c r="P62" s="155">
        <f>+IF(OR($Q62=Parametres!$G$2,$Q62=Parametres!$G$3),K62,E62)</f>
        <v>1</v>
      </c>
      <c r="Q62" s="154" t="str">
        <f t="shared" si="2"/>
        <v>1-Mémo</v>
      </c>
      <c r="R62" s="153" t="str">
        <f t="shared" si="3"/>
        <v>50</v>
      </c>
      <c r="S62" s="154">
        <f t="shared" si="4"/>
        <v>0</v>
      </c>
      <c r="T62" s="156" t="str">
        <f>+VLOOKUP($L62,Data_Validation!$A:$D,1,0)</f>
        <v>667</v>
      </c>
      <c r="U62" s="156">
        <f>+VLOOKUP($L62,Data_Validation!$A:$D,3,0)</f>
        <v>0</v>
      </c>
      <c r="V62" s="156">
        <f>+VLOOKUP($L62,Data_Validation!$A:$D,4,0)</f>
        <v>0</v>
      </c>
      <c r="W62" s="156" t="str">
        <f>+VLOOKUP($L62,Data_Validation!$A:$E,5,0)</f>
        <v>$</v>
      </c>
      <c r="X62" s="156">
        <f>+VLOOKUP($L62,Data_Validation!$A:$F,6,0)</f>
        <v>0</v>
      </c>
    </row>
    <row r="63" spans="1:24" ht="15" hidden="1" customHeight="1">
      <c r="A63" s="1013" t="s">
        <v>2386</v>
      </c>
      <c r="B63" s="1013" t="s">
        <v>2387</v>
      </c>
      <c r="C63" s="1015"/>
      <c r="D63" s="1015"/>
      <c r="E63" s="1015"/>
      <c r="F63" s="1013" t="s">
        <v>1</v>
      </c>
      <c r="G63" s="1013" t="s">
        <v>2388</v>
      </c>
      <c r="H63" s="970"/>
      <c r="I63" s="970">
        <v>3</v>
      </c>
      <c r="J63" s="970">
        <v>0</v>
      </c>
      <c r="K63" s="970">
        <v>3</v>
      </c>
      <c r="L63" s="153" t="str">
        <f t="shared" si="0"/>
        <v>677</v>
      </c>
      <c r="M63" s="154" t="str">
        <f t="shared" si="1"/>
        <v>VW PIECES</v>
      </c>
      <c r="N63" s="155">
        <f>+IF(OR($Q63=Parametres!$G$2,$Q63=Parametres!$G$3),I63,C63)</f>
        <v>3</v>
      </c>
      <c r="O63" s="575">
        <f>+IF(OR($Q63=Parametres!$G$2,$Q63=Parametres!$G$3),J63,D63)</f>
        <v>0</v>
      </c>
      <c r="P63" s="155">
        <f>+IF(OR($Q63=Parametres!$G$2,$Q63=Parametres!$G$3),K63,E63)</f>
        <v>3</v>
      </c>
      <c r="Q63" s="154" t="str">
        <f t="shared" si="2"/>
        <v>1-Mémo</v>
      </c>
      <c r="R63" s="153" t="str">
        <f t="shared" si="3"/>
        <v>67</v>
      </c>
      <c r="S63" s="154">
        <f t="shared" si="4"/>
        <v>0</v>
      </c>
      <c r="T63" s="156" t="str">
        <f>+VLOOKUP($L63,Data_Validation!$A:$D,1,0)</f>
        <v>677</v>
      </c>
      <c r="U63" s="156">
        <f>+VLOOKUP($L63,Data_Validation!$A:$D,3,0)</f>
        <v>0</v>
      </c>
      <c r="V63" s="156">
        <f>+VLOOKUP($L63,Data_Validation!$A:$D,4,0)</f>
        <v>0</v>
      </c>
      <c r="W63" s="156" t="str">
        <f>+VLOOKUP($L63,Data_Validation!$A:$E,5,0)</f>
        <v>$</v>
      </c>
      <c r="X63" s="156">
        <f>+VLOOKUP($L63,Data_Validation!$A:$F,6,0)</f>
        <v>0</v>
      </c>
    </row>
    <row r="64" spans="1:24" ht="15" hidden="1" customHeight="1">
      <c r="A64" s="1013" t="s">
        <v>2854</v>
      </c>
      <c r="B64" s="1013" t="s">
        <v>2393</v>
      </c>
      <c r="C64" s="1015">
        <v>2525466.33</v>
      </c>
      <c r="D64" s="1015">
        <v>-316660.2</v>
      </c>
      <c r="E64" s="1015">
        <v>2208806.13</v>
      </c>
      <c r="F64" s="1013" t="s">
        <v>293</v>
      </c>
      <c r="G64" s="1013" t="s">
        <v>2393</v>
      </c>
      <c r="H64" s="970"/>
      <c r="I64" s="970"/>
      <c r="J64" s="970"/>
      <c r="K64" s="970"/>
      <c r="L64" s="153" t="str">
        <f t="shared" si="0"/>
        <v>1102</v>
      </c>
      <c r="M64" s="154" t="str">
        <f t="shared" si="1"/>
        <v>BANQUE DE COMMERCE C/C</v>
      </c>
      <c r="N64" s="155">
        <f>+IF(OR($Q64=Parametres!$G$2,$Q64=Parametres!$G$3),I64,C64)</f>
        <v>2525466.33</v>
      </c>
      <c r="O64" s="155">
        <f>+IF(OR($Q64=Parametres!$G$2,$Q64=Parametres!$G$3),J64,D64)</f>
        <v>-316660.2</v>
      </c>
      <c r="P64" s="155">
        <f>+IF(OR($Q64=Parametres!$G$2,$Q64=Parametres!$G$3),K64,E64)</f>
        <v>2208806.13</v>
      </c>
      <c r="Q64" s="154" t="str">
        <f t="shared" si="2"/>
        <v>2-Actifs</v>
      </c>
      <c r="R64" s="153" t="str">
        <f t="shared" si="3"/>
        <v>1102</v>
      </c>
      <c r="S64" s="154">
        <f t="shared" si="4"/>
        <v>0</v>
      </c>
      <c r="T64" s="156" t="str">
        <f>+VLOOKUP($L64,Data_Validation!$A:$D,1,0)</f>
        <v>1102</v>
      </c>
      <c r="U64" s="156" t="str">
        <f>+VLOOKUP($L64,Data_Validation!$A:$D,3,0)</f>
        <v>Bilan</v>
      </c>
      <c r="V64" s="156" t="str">
        <f>+VLOOKUP($L64,Data_Validation!$A:$D,4,0)</f>
        <v>Encaisse</v>
      </c>
      <c r="W64" s="156" t="str">
        <f>+VLOOKUP($L64,Data_Validation!$A:$E,5,0)</f>
        <v>$</v>
      </c>
      <c r="X64" s="156">
        <f>+VLOOKUP($L64,Data_Validation!$A:$F,6,0)</f>
        <v>0</v>
      </c>
    </row>
    <row r="65" spans="1:24" ht="15" hidden="1" customHeight="1">
      <c r="A65" s="1013" t="s">
        <v>2391</v>
      </c>
      <c r="B65" s="1013" t="s">
        <v>2392</v>
      </c>
      <c r="C65" s="1015">
        <v>150.19999999999999</v>
      </c>
      <c r="D65" s="1015">
        <v>-100</v>
      </c>
      <c r="E65" s="1015">
        <v>50.2</v>
      </c>
      <c r="F65" s="1013" t="s">
        <v>293</v>
      </c>
      <c r="G65" s="1013" t="s">
        <v>2393</v>
      </c>
      <c r="H65" s="150"/>
      <c r="I65" s="157"/>
      <c r="J65" s="157"/>
      <c r="K65" s="157"/>
      <c r="L65" s="153" t="str">
        <f t="shared" si="0"/>
        <v>1182</v>
      </c>
      <c r="M65" s="154" t="str">
        <f t="shared" si="1"/>
        <v>PETITE CAISSE</v>
      </c>
      <c r="N65" s="155">
        <f>+IF(OR($Q65=Parametres!$G$2,$Q65=Parametres!$G$3),I65,C65)</f>
        <v>150.19999999999999</v>
      </c>
      <c r="O65" s="575">
        <f>+IF(OR($Q65=Parametres!$G$2,$Q65=Parametres!$G$3),J65,D65)</f>
        <v>-100</v>
      </c>
      <c r="P65" s="155">
        <f>+IF(OR($Q65=Parametres!$G$2,$Q65=Parametres!$G$3),K65,E65)</f>
        <v>50.2</v>
      </c>
      <c r="Q65" s="154" t="str">
        <f t="shared" si="2"/>
        <v>2-Actifs</v>
      </c>
      <c r="R65" s="153" t="str">
        <f t="shared" si="3"/>
        <v>1102</v>
      </c>
      <c r="S65" s="154">
        <f t="shared" si="4"/>
        <v>0</v>
      </c>
      <c r="T65" s="156" t="str">
        <f>+VLOOKUP($L65,Data_Validation!$A:$D,1,0)</f>
        <v>1182</v>
      </c>
      <c r="U65" s="156" t="str">
        <f>+VLOOKUP($L65,Data_Validation!$A:$D,3,0)</f>
        <v>Bilan</v>
      </c>
      <c r="V65" s="156" t="str">
        <f>+VLOOKUP($L65,Data_Validation!$A:$D,4,0)</f>
        <v>Encaisse</v>
      </c>
      <c r="W65" s="156" t="str">
        <f>+VLOOKUP($L65,Data_Validation!$A:$E,5,0)</f>
        <v>$</v>
      </c>
      <c r="X65" s="156">
        <f>+VLOOKUP($L65,Data_Validation!$A:$F,6,0)</f>
        <v>0</v>
      </c>
    </row>
    <row r="66" spans="1:24" ht="15" hidden="1" customHeight="1">
      <c r="A66" s="1013" t="s">
        <v>2183</v>
      </c>
      <c r="B66" s="1013" t="s">
        <v>2184</v>
      </c>
      <c r="C66" s="1015">
        <v>1823359.53</v>
      </c>
      <c r="D66" s="1015">
        <v>407016.56</v>
      </c>
      <c r="E66" s="1015">
        <v>2230376.09</v>
      </c>
      <c r="F66" s="1013" t="s">
        <v>293</v>
      </c>
      <c r="G66" s="1013" t="s">
        <v>2184</v>
      </c>
      <c r="H66" s="150"/>
      <c r="I66" s="151"/>
      <c r="J66" s="151"/>
      <c r="K66" s="151"/>
      <c r="L66" s="153" t="str">
        <f t="shared" ref="L66:L129" si="5">+B66</f>
        <v>1202</v>
      </c>
      <c r="M66" s="154" t="str">
        <f t="shared" ref="M66:M129" si="6">+A66</f>
        <v>CONTRATS EN TRANSIT</v>
      </c>
      <c r="N66" s="155">
        <f>+IF(OR($Q66=Parametres!$G$2,$Q66=Parametres!$G$3),I66,C66)</f>
        <v>1823359.53</v>
      </c>
      <c r="O66" s="155">
        <f>+IF(OR($Q66=Parametres!$G$2,$Q66=Parametres!$G$3),J66,D66)</f>
        <v>407016.56</v>
      </c>
      <c r="P66" s="155">
        <f>+IF(OR($Q66=Parametres!$G$2,$Q66=Parametres!$G$3),K66,E66)</f>
        <v>2230376.09</v>
      </c>
      <c r="Q66" s="154" t="str">
        <f t="shared" ref="Q66:Q129" si="7">+F66</f>
        <v>2-Actifs</v>
      </c>
      <c r="R66" s="153" t="str">
        <f t="shared" ref="R66:R129" si="8">+G66</f>
        <v>1202</v>
      </c>
      <c r="S66" s="154">
        <f t="shared" ref="S66:S129" si="9">+H66</f>
        <v>0</v>
      </c>
      <c r="T66" s="156" t="str">
        <f>+VLOOKUP($L66,Data_Validation!$A:$D,1,0)</f>
        <v>1202</v>
      </c>
      <c r="U66" s="156" t="str">
        <f>+VLOOKUP($L66,Data_Validation!$A:$D,3,0)</f>
        <v>Bilan</v>
      </c>
      <c r="V66" s="156" t="str">
        <f>+VLOOKUP($L66,Data_Validation!$A:$D,4,0)</f>
        <v>Recevables Contrats en Transit</v>
      </c>
      <c r="W66" s="156" t="str">
        <f>+VLOOKUP($L66,Data_Validation!$A:$E,5,0)</f>
        <v>$</v>
      </c>
      <c r="X66" s="156">
        <f>+VLOOKUP($L66,Data_Validation!$A:$F,6,0)</f>
        <v>0</v>
      </c>
    </row>
    <row r="67" spans="1:24" ht="15" hidden="1" customHeight="1">
      <c r="A67" s="1013" t="s">
        <v>2027</v>
      </c>
      <c r="B67" s="1013" t="s">
        <v>2017</v>
      </c>
      <c r="C67" s="1015">
        <v>19471.490000000002</v>
      </c>
      <c r="D67" s="1015">
        <v>1300.01</v>
      </c>
      <c r="E67" s="1015">
        <v>20771.5</v>
      </c>
      <c r="F67" s="1013" t="s">
        <v>293</v>
      </c>
      <c r="G67" s="1013" t="s">
        <v>2017</v>
      </c>
      <c r="H67" s="150"/>
      <c r="I67" s="151"/>
      <c r="J67" s="151"/>
      <c r="K67" s="151"/>
      <c r="L67" s="153" t="str">
        <f t="shared" si="5"/>
        <v>1302</v>
      </c>
      <c r="M67" s="154" t="str">
        <f t="shared" si="6"/>
        <v>RECEVABLE-CLIENT-VEHICULE</v>
      </c>
      <c r="N67" s="155">
        <f>+IF(OR($Q67=Parametres!$G$2,$Q67=Parametres!$G$3),I67,C67)</f>
        <v>19471.490000000002</v>
      </c>
      <c r="O67" s="155">
        <f>+IF(OR($Q67=Parametres!$G$2,$Q67=Parametres!$G$3),J67,D67)</f>
        <v>1300.01</v>
      </c>
      <c r="P67" s="155">
        <f>+IF(OR($Q67=Parametres!$G$2,$Q67=Parametres!$G$3),K67,E67)</f>
        <v>20771.5</v>
      </c>
      <c r="Q67" s="154" t="str">
        <f t="shared" si="7"/>
        <v>2-Actifs</v>
      </c>
      <c r="R67" s="153" t="str">
        <f t="shared" si="8"/>
        <v>1302</v>
      </c>
      <c r="S67" s="154">
        <f t="shared" si="9"/>
        <v>0</v>
      </c>
      <c r="T67" s="156" t="str">
        <f>+VLOOKUP($L67,Data_Validation!$A:$D,1,0)</f>
        <v>1302</v>
      </c>
      <c r="U67" s="156" t="str">
        <f>+VLOOKUP($L67,Data_Validation!$A:$D,3,0)</f>
        <v>Bilan</v>
      </c>
      <c r="V67" s="156" t="str">
        <f>+VLOOKUP($L67,Data_Validation!$A:$D,4,0)</f>
        <v>Recevables Véhicules</v>
      </c>
      <c r="W67" s="156" t="str">
        <f>+VLOOKUP($L67,Data_Validation!$A:$E,5,0)</f>
        <v>$</v>
      </c>
      <c r="X67" s="156">
        <f>+VLOOKUP($L67,Data_Validation!$A:$F,6,0)</f>
        <v>0</v>
      </c>
    </row>
    <row r="68" spans="1:24" ht="15" hidden="1" customHeight="1">
      <c r="A68" s="1013" t="s">
        <v>2015</v>
      </c>
      <c r="B68" s="1013" t="s">
        <v>2016</v>
      </c>
      <c r="C68" s="1015">
        <v>383976.36</v>
      </c>
      <c r="D68" s="1015">
        <v>-188018.44</v>
      </c>
      <c r="E68" s="1015">
        <v>195957.92</v>
      </c>
      <c r="F68" s="1013" t="s">
        <v>293</v>
      </c>
      <c r="G68" s="1013" t="s">
        <v>2017</v>
      </c>
      <c r="H68" s="949"/>
      <c r="I68" s="949"/>
      <c r="J68" s="949"/>
      <c r="K68" s="949"/>
      <c r="L68" s="153" t="str">
        <f t="shared" si="5"/>
        <v>1303</v>
      </c>
      <c r="M68" s="154" t="str">
        <f t="shared" si="6"/>
        <v>RECEVABLES LPA ET AU GROS</v>
      </c>
      <c r="N68" s="155">
        <f>+IF(OR($Q68=Parametres!$G$2,$Q68=Parametres!$G$3),I68,C68)</f>
        <v>383976.36</v>
      </c>
      <c r="O68" s="575">
        <f>+IF(OR($Q68=Parametres!$G$2,$Q68=Parametres!$G$3),J68,D68)</f>
        <v>-188018.44</v>
      </c>
      <c r="P68" s="155">
        <f>+IF(OR($Q68=Parametres!$G$2,$Q68=Parametres!$G$3),K68,E68)</f>
        <v>195957.92</v>
      </c>
      <c r="Q68" s="154" t="str">
        <f t="shared" si="7"/>
        <v>2-Actifs</v>
      </c>
      <c r="R68" s="153" t="str">
        <f t="shared" si="8"/>
        <v>1302</v>
      </c>
      <c r="S68" s="154">
        <f t="shared" si="9"/>
        <v>0</v>
      </c>
      <c r="T68" s="156" t="str">
        <f>+VLOOKUP($L68,Data_Validation!$A:$D,1,0)</f>
        <v>1303</v>
      </c>
      <c r="U68" s="156" t="str">
        <f>+VLOOKUP($L68,Data_Validation!$A:$D,3,0)</f>
        <v>Bilan</v>
      </c>
      <c r="V68" s="156" t="str">
        <f>+VLOOKUP($L68,Data_Validation!$A:$D,4,0)</f>
        <v>Recevables Véhicules</v>
      </c>
      <c r="W68" s="156" t="str">
        <f>+VLOOKUP($L68,Data_Validation!$A:$E,5,0)</f>
        <v>$</v>
      </c>
      <c r="X68" s="156">
        <f>+VLOOKUP($L68,Data_Validation!$A:$F,6,0)</f>
        <v>0</v>
      </c>
    </row>
    <row r="69" spans="1:24" ht="15" hidden="1" customHeight="1">
      <c r="A69" s="1013" t="s">
        <v>2102</v>
      </c>
      <c r="B69" s="1013" t="s">
        <v>2103</v>
      </c>
      <c r="C69" s="1015">
        <v>38128.36</v>
      </c>
      <c r="D69" s="1015">
        <v>18592.14</v>
      </c>
      <c r="E69" s="1015">
        <v>56720.5</v>
      </c>
      <c r="F69" s="1013" t="s">
        <v>293</v>
      </c>
      <c r="G69" s="1013" t="s">
        <v>2103</v>
      </c>
      <c r="H69" s="150"/>
      <c r="I69" s="157"/>
      <c r="J69" s="157"/>
      <c r="K69" s="157"/>
      <c r="L69" s="153" t="str">
        <f t="shared" si="5"/>
        <v>1304</v>
      </c>
      <c r="M69" s="154" t="str">
        <f t="shared" si="6"/>
        <v>RECEVABLES PIECES &amp; SERVICE</v>
      </c>
      <c r="N69" s="155">
        <f>+IF(OR($Q69=Parametres!$G$2,$Q69=Parametres!$G$3),I69,C69)</f>
        <v>38128.36</v>
      </c>
      <c r="O69" s="155">
        <f>+IF(OR($Q69=Parametres!$G$2,$Q69=Parametres!$G$3),J69,D69)</f>
        <v>18592.14</v>
      </c>
      <c r="P69" s="155">
        <f>+IF(OR($Q69=Parametres!$G$2,$Q69=Parametres!$G$3),K69,E69)</f>
        <v>56720.5</v>
      </c>
      <c r="Q69" s="154" t="str">
        <f t="shared" si="7"/>
        <v>2-Actifs</v>
      </c>
      <c r="R69" s="153" t="str">
        <f t="shared" si="8"/>
        <v>1304</v>
      </c>
      <c r="S69" s="154">
        <f t="shared" si="9"/>
        <v>0</v>
      </c>
      <c r="T69" s="156" t="str">
        <f>+VLOOKUP($L69,Data_Validation!$A:$D,1,0)</f>
        <v>1304</v>
      </c>
      <c r="U69" s="156" t="str">
        <f>+VLOOKUP($L69,Data_Validation!$A:$D,3,0)</f>
        <v>Bilan</v>
      </c>
      <c r="V69" s="156" t="str">
        <f>+VLOOKUP($L69,Data_Validation!$A:$D,4,0)</f>
        <v>Recevables Pièces et Service</v>
      </c>
      <c r="W69" s="156" t="str">
        <f>+VLOOKUP($L69,Data_Validation!$A:$E,5,0)</f>
        <v>$</v>
      </c>
      <c r="X69" s="156">
        <f>+VLOOKUP($L69,Data_Validation!$A:$F,6,0)</f>
        <v>0</v>
      </c>
    </row>
    <row r="70" spans="1:24" ht="15" hidden="1" customHeight="1">
      <c r="A70" s="1013" t="s">
        <v>2737</v>
      </c>
      <c r="B70" s="1013" t="s">
        <v>2738</v>
      </c>
      <c r="C70" s="1015">
        <v>28649.41</v>
      </c>
      <c r="D70" s="1015">
        <v>20839.05</v>
      </c>
      <c r="E70" s="1015">
        <v>49488.46</v>
      </c>
      <c r="F70" s="1013" t="s">
        <v>293</v>
      </c>
      <c r="G70" s="1013" t="s">
        <v>2103</v>
      </c>
      <c r="H70" s="150"/>
      <c r="I70" s="151"/>
      <c r="J70" s="151"/>
      <c r="K70" s="151"/>
      <c r="L70" s="153" t="str">
        <f t="shared" si="5"/>
        <v>1305</v>
      </c>
      <c r="M70" s="154" t="str">
        <f t="shared" si="6"/>
        <v>RECEVABLES CARROSSERIE</v>
      </c>
      <c r="N70" s="155">
        <f>+IF(OR($Q70=Parametres!$G$2,$Q70=Parametres!$G$3),I70,C70)</f>
        <v>28649.41</v>
      </c>
      <c r="O70" s="155">
        <f>+IF(OR($Q70=Parametres!$G$2,$Q70=Parametres!$G$3),J70,D70)</f>
        <v>20839.05</v>
      </c>
      <c r="P70" s="155">
        <f>+IF(OR($Q70=Parametres!$G$2,$Q70=Parametres!$G$3),K70,E70)</f>
        <v>49488.46</v>
      </c>
      <c r="Q70" s="154" t="str">
        <f t="shared" si="7"/>
        <v>2-Actifs</v>
      </c>
      <c r="R70" s="153" t="str">
        <f t="shared" si="8"/>
        <v>1304</v>
      </c>
      <c r="S70" s="154">
        <f t="shared" si="9"/>
        <v>0</v>
      </c>
      <c r="T70" s="156" t="str">
        <f>+VLOOKUP($L70,Data_Validation!$A:$D,1,0)</f>
        <v>1305</v>
      </c>
      <c r="U70" s="156" t="str">
        <f>+VLOOKUP($L70,Data_Validation!$A:$D,3,0)</f>
        <v>Bilan</v>
      </c>
      <c r="V70" s="156" t="str">
        <f>+VLOOKUP($L70,Data_Validation!$A:$D,4,0)</f>
        <v>Recevables Carrosserie</v>
      </c>
      <c r="W70" s="156" t="str">
        <f>+VLOOKUP($L70,Data_Validation!$A:$E,5,0)</f>
        <v>$</v>
      </c>
      <c r="X70" s="156">
        <f>+VLOOKUP($L70,Data_Validation!$A:$F,6,0)</f>
        <v>0</v>
      </c>
    </row>
    <row r="71" spans="1:24" ht="15" hidden="1" customHeight="1">
      <c r="A71" s="1013" t="s">
        <v>2834</v>
      </c>
      <c r="B71" s="1013" t="s">
        <v>2835</v>
      </c>
      <c r="C71" s="1015">
        <v>101308</v>
      </c>
      <c r="D71" s="1015">
        <v>-51897</v>
      </c>
      <c r="E71" s="1015">
        <v>49411</v>
      </c>
      <c r="F71" s="1013" t="s">
        <v>293</v>
      </c>
      <c r="G71" s="1013" t="s">
        <v>2022</v>
      </c>
      <c r="H71" s="150"/>
      <c r="I71" s="157"/>
      <c r="J71" s="157"/>
      <c r="K71" s="157"/>
      <c r="L71" s="153" t="str">
        <f t="shared" si="5"/>
        <v>1312</v>
      </c>
      <c r="M71" s="154" t="str">
        <f t="shared" si="6"/>
        <v>RESEVE VOLKS</v>
      </c>
      <c r="N71" s="155">
        <f>+IF(OR($Q71=Parametres!$G$2,$Q71=Parametres!$G$3),I71,C71)</f>
        <v>101308</v>
      </c>
      <c r="O71" s="155">
        <f>+IF(OR($Q71=Parametres!$G$2,$Q71=Parametres!$G$3),J71,D71)</f>
        <v>-51897</v>
      </c>
      <c r="P71" s="155">
        <f>+IF(OR($Q71=Parametres!$G$2,$Q71=Parametres!$G$3),K71,E71)</f>
        <v>49411</v>
      </c>
      <c r="Q71" s="154" t="str">
        <f t="shared" si="7"/>
        <v>2-Actifs</v>
      </c>
      <c r="R71" s="153" t="str">
        <f t="shared" si="8"/>
        <v>1314</v>
      </c>
      <c r="S71" s="154">
        <f t="shared" si="9"/>
        <v>0</v>
      </c>
      <c r="T71" s="156" t="str">
        <f>+VLOOKUP($L71,Data_Validation!$A:$D,1,0)</f>
        <v>1312</v>
      </c>
      <c r="U71" s="156" t="str">
        <f>+VLOOKUP($L71,Data_Validation!$A:$D,3,0)</f>
        <v>Bilan</v>
      </c>
      <c r="V71" s="156" t="str">
        <f>+VLOOKUP($L71,Data_Validation!$A:$D,4,0)</f>
        <v>Recevables Manufacturier</v>
      </c>
      <c r="W71" s="156" t="str">
        <f>+VLOOKUP($L71,Data_Validation!$A:$E,5,0)</f>
        <v>$</v>
      </c>
      <c r="X71" s="156">
        <f>+VLOOKUP($L71,Data_Validation!$A:$F,6,0)</f>
        <v>0</v>
      </c>
    </row>
    <row r="72" spans="1:24" ht="15" hidden="1" customHeight="1">
      <c r="A72" s="1013" t="s">
        <v>2060</v>
      </c>
      <c r="B72" s="1013" t="s">
        <v>2061</v>
      </c>
      <c r="C72" s="1015">
        <v>135386.41</v>
      </c>
      <c r="D72" s="1015">
        <v>-94050.75</v>
      </c>
      <c r="E72" s="1015">
        <v>41335.660000000003</v>
      </c>
      <c r="F72" s="1013" t="s">
        <v>293</v>
      </c>
      <c r="G72" s="1013" t="s">
        <v>2061</v>
      </c>
      <c r="H72" s="150"/>
      <c r="I72" s="151"/>
      <c r="J72" s="151"/>
      <c r="K72" s="151"/>
      <c r="L72" s="153" t="str">
        <f t="shared" si="5"/>
        <v>1332</v>
      </c>
      <c r="M72" s="154" t="str">
        <f t="shared" si="6"/>
        <v>RECLAM. RECEVABLE-GARANTIE</v>
      </c>
      <c r="N72" s="155">
        <f>+IF(OR($Q72=Parametres!$G$2,$Q72=Parametres!$G$3),I72,C72)</f>
        <v>135386.41</v>
      </c>
      <c r="O72" s="155">
        <f>+IF(OR($Q72=Parametres!$G$2,$Q72=Parametres!$G$3),J72,D72)</f>
        <v>-94050.75</v>
      </c>
      <c r="P72" s="155">
        <f>+IF(OR($Q72=Parametres!$G$2,$Q72=Parametres!$G$3),K72,E72)</f>
        <v>41335.660000000003</v>
      </c>
      <c r="Q72" s="154" t="str">
        <f t="shared" si="7"/>
        <v>2-Actifs</v>
      </c>
      <c r="R72" s="153" t="str">
        <f t="shared" si="8"/>
        <v>1332</v>
      </c>
      <c r="S72" s="154">
        <f t="shared" si="9"/>
        <v>0</v>
      </c>
      <c r="T72" s="156" t="str">
        <f>+VLOOKUP($L72,Data_Validation!$A:$D,1,0)</f>
        <v>1332</v>
      </c>
      <c r="U72" s="156" t="str">
        <f>+VLOOKUP($L72,Data_Validation!$A:$D,3,0)</f>
        <v>Bilan</v>
      </c>
      <c r="V72" s="156" t="str">
        <f>+VLOOKUP($L72,Data_Validation!$A:$D,4,0)</f>
        <v>Recevables Garantie Manufacturier</v>
      </c>
      <c r="W72" s="156" t="str">
        <f>+VLOOKUP($L72,Data_Validation!$A:$E,5,0)</f>
        <v>$</v>
      </c>
      <c r="X72" s="156">
        <f>+VLOOKUP($L72,Data_Validation!$A:$F,6,0)</f>
        <v>0</v>
      </c>
    </row>
    <row r="73" spans="1:24" ht="15" hidden="1" customHeight="1">
      <c r="A73" s="1013" t="s">
        <v>2783</v>
      </c>
      <c r="B73" s="1013" t="s">
        <v>2784</v>
      </c>
      <c r="C73" s="1015">
        <v>4402.72</v>
      </c>
      <c r="D73" s="1015">
        <v>-4332.91</v>
      </c>
      <c r="E73" s="1015">
        <v>69.81</v>
      </c>
      <c r="F73" s="1013" t="s">
        <v>293</v>
      </c>
      <c r="G73" s="1013" t="s">
        <v>2623</v>
      </c>
      <c r="H73" s="150"/>
      <c r="I73" s="152"/>
      <c r="J73" s="152"/>
      <c r="K73" s="152"/>
      <c r="L73" s="153" t="str">
        <f t="shared" si="5"/>
        <v>1340</v>
      </c>
      <c r="M73" s="154" t="str">
        <f t="shared" si="6"/>
        <v>GARANTIE PPM</v>
      </c>
      <c r="N73" s="155">
        <f>+IF(OR($Q73=Parametres!$G$2,$Q73=Parametres!$G$3),I73,C73)</f>
        <v>4402.72</v>
      </c>
      <c r="O73" s="155">
        <f>+IF(OR($Q73=Parametres!$G$2,$Q73=Parametres!$G$3),J73,D73)</f>
        <v>-4332.91</v>
      </c>
      <c r="P73" s="155">
        <f>+IF(OR($Q73=Parametres!$G$2,$Q73=Parametres!$G$3),K73,E73)</f>
        <v>69.81</v>
      </c>
      <c r="Q73" s="154" t="str">
        <f t="shared" si="7"/>
        <v>2-Actifs</v>
      </c>
      <c r="R73" s="153" t="str">
        <f t="shared" si="8"/>
        <v>1382</v>
      </c>
      <c r="S73" s="154">
        <f t="shared" si="9"/>
        <v>0</v>
      </c>
      <c r="T73" s="156" t="str">
        <f>+VLOOKUP($L73,Data_Validation!$A:$D,1,0)</f>
        <v>1340</v>
      </c>
      <c r="U73" s="156" t="str">
        <f>+VLOOKUP($L73,Data_Validation!$A:$D,3,0)</f>
        <v>Bilan</v>
      </c>
      <c r="V73" s="156" t="str">
        <f>+VLOOKUP($L73,Data_Validation!$A:$D,4,0)</f>
        <v>recevables Autres</v>
      </c>
      <c r="W73" s="156" t="str">
        <f>+VLOOKUP($L73,Data_Validation!$A:$E,5,0)</f>
        <v>$</v>
      </c>
      <c r="X73" s="156">
        <f>+VLOOKUP($L73,Data_Validation!$A:$F,6,0)</f>
        <v>0</v>
      </c>
    </row>
    <row r="74" spans="1:24" ht="15" hidden="1" customHeight="1">
      <c r="A74" s="1013" t="s">
        <v>2020</v>
      </c>
      <c r="B74" s="1013" t="s">
        <v>2021</v>
      </c>
      <c r="C74" s="1015">
        <v>31105.98</v>
      </c>
      <c r="D74" s="1015">
        <v>181801.74</v>
      </c>
      <c r="E74" s="1015">
        <v>212907.72</v>
      </c>
      <c r="F74" s="1013" t="s">
        <v>293</v>
      </c>
      <c r="G74" s="1013" t="s">
        <v>2022</v>
      </c>
      <c r="H74" s="949"/>
      <c r="I74" s="948"/>
      <c r="J74" s="948"/>
      <c r="K74" s="948"/>
      <c r="L74" s="153" t="str">
        <f t="shared" si="5"/>
        <v>1352</v>
      </c>
      <c r="M74" s="154" t="str">
        <f t="shared" si="6"/>
        <v>RECEV. MANUFACTURIER VOLKS</v>
      </c>
      <c r="N74" s="155">
        <f>+IF(OR($Q74=Parametres!$G$2,$Q74=Parametres!$G$3),I74,C74)</f>
        <v>31105.98</v>
      </c>
      <c r="O74" s="575">
        <f>+IF(OR($Q74=Parametres!$G$2,$Q74=Parametres!$G$3),J74,D74)</f>
        <v>181801.74</v>
      </c>
      <c r="P74" s="155">
        <f>+IF(OR($Q74=Parametres!$G$2,$Q74=Parametres!$G$3),K74,E74)</f>
        <v>212907.72</v>
      </c>
      <c r="Q74" s="154" t="str">
        <f t="shared" si="7"/>
        <v>2-Actifs</v>
      </c>
      <c r="R74" s="153" t="str">
        <f t="shared" si="8"/>
        <v>1314</v>
      </c>
      <c r="S74" s="154">
        <f t="shared" si="9"/>
        <v>0</v>
      </c>
      <c r="T74" s="156" t="str">
        <f>+VLOOKUP($L74,Data_Validation!$A:$D,1,0)</f>
        <v>1352</v>
      </c>
      <c r="U74" s="156" t="str">
        <f>+VLOOKUP($L74,Data_Validation!$A:$D,3,0)</f>
        <v>Bilan</v>
      </c>
      <c r="V74" s="156" t="str">
        <f>+VLOOKUP($L74,Data_Validation!$A:$D,4,0)</f>
        <v>Recevables Manufacturier</v>
      </c>
      <c r="W74" s="156" t="str">
        <f>+VLOOKUP($L74,Data_Validation!$A:$E,5,0)</f>
        <v>$</v>
      </c>
      <c r="X74" s="156">
        <f>+VLOOKUP($L74,Data_Validation!$A:$F,6,0)</f>
        <v>0</v>
      </c>
    </row>
    <row r="75" spans="1:24" ht="15" hidden="1" customHeight="1">
      <c r="A75" s="1013" t="s">
        <v>2822</v>
      </c>
      <c r="B75" s="1013" t="s">
        <v>2823</v>
      </c>
      <c r="C75" s="1015">
        <v>53960.13</v>
      </c>
      <c r="D75" s="1015">
        <v>59001.7</v>
      </c>
      <c r="E75" s="1015">
        <v>112961.83</v>
      </c>
      <c r="F75" s="1013" t="s">
        <v>293</v>
      </c>
      <c r="G75" s="1013" t="s">
        <v>2823</v>
      </c>
      <c r="H75" s="150"/>
      <c r="I75" s="157"/>
      <c r="J75" s="157"/>
      <c r="K75" s="157"/>
      <c r="L75" s="153" t="str">
        <f t="shared" si="5"/>
        <v>1372</v>
      </c>
      <c r="M75" s="154" t="str">
        <f t="shared" si="6"/>
        <v>TAXES DE VENTES A RECEVOIR</v>
      </c>
      <c r="N75" s="155">
        <f>+IF(OR($Q75=Parametres!$G$2,$Q75=Parametres!$G$3),I75,C75)</f>
        <v>53960.13</v>
      </c>
      <c r="O75" s="155">
        <f>+IF(OR($Q75=Parametres!$G$2,$Q75=Parametres!$G$3),J75,D75)</f>
        <v>59001.7</v>
      </c>
      <c r="P75" s="155">
        <f>+IF(OR($Q75=Parametres!$G$2,$Q75=Parametres!$G$3),K75,E75)</f>
        <v>112961.83</v>
      </c>
      <c r="Q75" s="154" t="str">
        <f t="shared" si="7"/>
        <v>2-Actifs</v>
      </c>
      <c r="R75" s="153" t="str">
        <f t="shared" si="8"/>
        <v>1372</v>
      </c>
      <c r="S75" s="154">
        <f t="shared" si="9"/>
        <v>0</v>
      </c>
      <c r="T75" s="156" t="str">
        <f>+VLOOKUP($L75,Data_Validation!$A:$D,1,0)</f>
        <v>1372</v>
      </c>
      <c r="U75" s="156" t="str">
        <f>+VLOOKUP($L75,Data_Validation!$A:$D,3,0)</f>
        <v>Bilan</v>
      </c>
      <c r="V75" s="156" t="str">
        <f>+VLOOKUP($L75,Data_Validation!$A:$D,4,0)</f>
        <v>recevables Autres</v>
      </c>
      <c r="W75" s="156" t="str">
        <f>+VLOOKUP($L75,Data_Validation!$A:$E,5,0)</f>
        <v>$</v>
      </c>
      <c r="X75" s="156">
        <f>+VLOOKUP($L75,Data_Validation!$A:$F,6,0)</f>
        <v>0</v>
      </c>
    </row>
    <row r="76" spans="1:24" ht="15" hidden="1" customHeight="1">
      <c r="A76" s="1013" t="s">
        <v>2866</v>
      </c>
      <c r="B76" s="1013" t="s">
        <v>2867</v>
      </c>
      <c r="C76" s="1015">
        <v>-45000</v>
      </c>
      <c r="D76" s="1015">
        <v>0</v>
      </c>
      <c r="E76" s="1015">
        <v>-45000</v>
      </c>
      <c r="F76" s="1013" t="s">
        <v>293</v>
      </c>
      <c r="G76" s="1013" t="s">
        <v>2867</v>
      </c>
      <c r="H76" s="150"/>
      <c r="I76" s="157"/>
      <c r="J76" s="157"/>
      <c r="K76" s="157"/>
      <c r="L76" s="153" t="str">
        <f t="shared" si="5"/>
        <v>1399</v>
      </c>
      <c r="M76" s="154" t="str">
        <f t="shared" si="6"/>
        <v>RESERVE CREANCE DOUTEUSES</v>
      </c>
      <c r="N76" s="155">
        <f>+IF(OR($Q76=Parametres!$G$2,$Q76=Parametres!$G$3),I76,C76)</f>
        <v>-45000</v>
      </c>
      <c r="O76" s="575">
        <f>+IF(OR($Q76=Parametres!$G$2,$Q76=Parametres!$G$3),J76,D76)</f>
        <v>0</v>
      </c>
      <c r="P76" s="155">
        <f>+IF(OR($Q76=Parametres!$G$2,$Q76=Parametres!$G$3),K76,E76)</f>
        <v>-45000</v>
      </c>
      <c r="Q76" s="154" t="str">
        <f t="shared" si="7"/>
        <v>2-Actifs</v>
      </c>
      <c r="R76" s="153" t="str">
        <f t="shared" si="8"/>
        <v>1399</v>
      </c>
      <c r="S76" s="154">
        <f t="shared" si="9"/>
        <v>0</v>
      </c>
      <c r="T76" s="156" t="str">
        <f>+VLOOKUP($L76,Data_Validation!$A:$D,1,0)</f>
        <v>1399</v>
      </c>
      <c r="U76" s="156" t="str">
        <f>+VLOOKUP($L76,Data_Validation!$A:$D,3,0)</f>
        <v>Bilan</v>
      </c>
      <c r="V76" s="156" t="str">
        <f>+VLOOKUP($L76,Data_Validation!$A:$D,4,0)</f>
        <v>Recevables Pièces et Service</v>
      </c>
      <c r="W76" s="156" t="str">
        <f>+VLOOKUP($L76,Data_Validation!$A:$E,5,0)</f>
        <v>$</v>
      </c>
      <c r="X76" s="156">
        <f>+VLOOKUP($L76,Data_Validation!$A:$F,6,0)</f>
        <v>0</v>
      </c>
    </row>
    <row r="77" spans="1:24" ht="15" hidden="1" customHeight="1">
      <c r="A77" s="1013" t="s">
        <v>2109</v>
      </c>
      <c r="B77" s="1013" t="s">
        <v>2110</v>
      </c>
      <c r="C77" s="1015">
        <v>5602252.6900000004</v>
      </c>
      <c r="D77" s="1015">
        <v>-24150.91</v>
      </c>
      <c r="E77" s="1015">
        <v>5578101.7800000003</v>
      </c>
      <c r="F77" s="1013" t="s">
        <v>293</v>
      </c>
      <c r="G77" s="1013" t="s">
        <v>2110</v>
      </c>
      <c r="H77" s="150"/>
      <c r="I77" s="151"/>
      <c r="J77" s="151"/>
      <c r="K77" s="151"/>
      <c r="L77" s="153" t="str">
        <f t="shared" si="5"/>
        <v>1402</v>
      </c>
      <c r="M77" s="154" t="str">
        <f t="shared" si="6"/>
        <v>VEHIC. NEUFS VOLKS</v>
      </c>
      <c r="N77" s="155">
        <f>+IF(OR($Q77=Parametres!$G$2,$Q77=Parametres!$G$3),I77,C77)</f>
        <v>5602252.6900000004</v>
      </c>
      <c r="O77" s="155">
        <f>+IF(OR($Q77=Parametres!$G$2,$Q77=Parametres!$G$3),J77,D77)</f>
        <v>-24150.91</v>
      </c>
      <c r="P77" s="155">
        <f>+IF(OR($Q77=Parametres!$G$2,$Q77=Parametres!$G$3),K77,E77)</f>
        <v>5578101.7800000003</v>
      </c>
      <c r="Q77" s="154" t="str">
        <f t="shared" si="7"/>
        <v>2-Actifs</v>
      </c>
      <c r="R77" s="153" t="str">
        <f t="shared" si="8"/>
        <v>1402</v>
      </c>
      <c r="S77" s="154">
        <f t="shared" si="9"/>
        <v>0</v>
      </c>
      <c r="T77" s="156" t="str">
        <f>+VLOOKUP($L77,Data_Validation!$A:$D,1,0)</f>
        <v>1402</v>
      </c>
      <c r="U77" s="156" t="str">
        <f>+VLOOKUP($L77,Data_Validation!$A:$D,3,0)</f>
        <v>Bilan</v>
      </c>
      <c r="V77" s="156" t="str">
        <f>+VLOOKUP($L77,Data_Validation!$A:$D,4,0)</f>
        <v>Inventaire Véhicules Neufs</v>
      </c>
      <c r="W77" s="156" t="str">
        <f>+VLOOKUP($L77,Data_Validation!$A:$E,5,0)</f>
        <v>$</v>
      </c>
      <c r="X77" s="156">
        <f>+VLOOKUP($L77,Data_Validation!$A:$F,6,0)</f>
        <v>0</v>
      </c>
    </row>
    <row r="78" spans="1:24" ht="15" hidden="1" customHeight="1">
      <c r="A78" s="1013" t="s">
        <v>2477</v>
      </c>
      <c r="B78" s="1013" t="s">
        <v>2478</v>
      </c>
      <c r="C78" s="1015"/>
      <c r="D78" s="1015"/>
      <c r="E78" s="1015"/>
      <c r="F78" s="1013" t="s">
        <v>4</v>
      </c>
      <c r="G78" s="1013" t="s">
        <v>2110</v>
      </c>
      <c r="H78" s="949"/>
      <c r="I78" s="949">
        <v>164</v>
      </c>
      <c r="J78" s="949">
        <v>1</v>
      </c>
      <c r="K78" s="949">
        <v>165</v>
      </c>
      <c r="L78" s="153" t="str">
        <f t="shared" si="5"/>
        <v>1402@</v>
      </c>
      <c r="M78" s="154" t="str">
        <f t="shared" si="6"/>
        <v># DE INVENTAIRE VEH.NEUFS VW</v>
      </c>
      <c r="N78" s="155">
        <f>+IF(OR($Q78=Parametres!$G$2,$Q78=Parametres!$G$3),I78,C78)</f>
        <v>164</v>
      </c>
      <c r="O78" s="155">
        <f>+IF(OR($Q78=Parametres!$G$2,$Q78=Parametres!$G$3),J78,D78)</f>
        <v>1</v>
      </c>
      <c r="P78" s="155">
        <f>+IF(OR($Q78=Parametres!$G$2,$Q78=Parametres!$G$3),K78,E78)</f>
        <v>165</v>
      </c>
      <c r="Q78" s="154" t="str">
        <f t="shared" si="7"/>
        <v>10-Compte compteur</v>
      </c>
      <c r="R78" s="153" t="str">
        <f t="shared" si="8"/>
        <v>1402</v>
      </c>
      <c r="S78" s="154">
        <f t="shared" si="9"/>
        <v>0</v>
      </c>
      <c r="T78" s="156" t="str">
        <f>+VLOOKUP($L78,Data_Validation!$A:$D,1,0)</f>
        <v>1402@</v>
      </c>
      <c r="U78" s="156" t="str">
        <f>+VLOOKUP($L78,Data_Validation!$A:$D,3,0)</f>
        <v>Bilan</v>
      </c>
      <c r="V78" s="156">
        <f>+VLOOKUP($L78,Data_Validation!$A:$D,4,0)</f>
        <v>0</v>
      </c>
      <c r="W78" s="156" t="str">
        <f>+VLOOKUP($L78,Data_Validation!$A:$E,5,0)</f>
        <v>NB</v>
      </c>
      <c r="X78" s="156">
        <f>+VLOOKUP($L78,Data_Validation!$A:$F,6,0)</f>
        <v>0</v>
      </c>
    </row>
    <row r="79" spans="1:24" ht="15" hidden="1" customHeight="1">
      <c r="A79" s="1013" t="s">
        <v>2118</v>
      </c>
      <c r="B79" s="1013" t="s">
        <v>2119</v>
      </c>
      <c r="C79" s="1015">
        <v>-128735.54</v>
      </c>
      <c r="D79" s="1015">
        <v>3721.18</v>
      </c>
      <c r="E79" s="1015">
        <v>-125014.36</v>
      </c>
      <c r="F79" s="1013" t="s">
        <v>293</v>
      </c>
      <c r="G79" s="1013" t="s">
        <v>2110</v>
      </c>
      <c r="H79" s="150"/>
      <c r="I79" s="157"/>
      <c r="J79" s="157"/>
      <c r="K79" s="157"/>
      <c r="L79" s="153" t="str">
        <f t="shared" si="5"/>
        <v>1403</v>
      </c>
      <c r="M79" s="154" t="str">
        <f t="shared" si="6"/>
        <v>BRUISING VOLKS VEH. NEUFS</v>
      </c>
      <c r="N79" s="155">
        <f>+IF(OR($Q79=Parametres!$G$2,$Q79=Parametres!$G$3),I79,C79)</f>
        <v>-128735.54</v>
      </c>
      <c r="O79" s="576">
        <f>+IF(OR($Q79=Parametres!$G$2,$Q79=Parametres!$G$3),J79,D79)</f>
        <v>3721.18</v>
      </c>
      <c r="P79" s="155">
        <f>+IF(OR($Q79=Parametres!$G$2,$Q79=Parametres!$G$3),K79,E79)</f>
        <v>-125014.36</v>
      </c>
      <c r="Q79" s="154" t="str">
        <f t="shared" si="7"/>
        <v>2-Actifs</v>
      </c>
      <c r="R79" s="153" t="str">
        <f t="shared" si="8"/>
        <v>1402</v>
      </c>
      <c r="S79" s="154">
        <f t="shared" si="9"/>
        <v>0</v>
      </c>
      <c r="T79" s="156" t="str">
        <f>+VLOOKUP($L79,Data_Validation!$A:$D,1,0)</f>
        <v>1403</v>
      </c>
      <c r="U79" s="156" t="str">
        <f>+VLOOKUP($L79,Data_Validation!$A:$D,3,0)</f>
        <v>Bilan</v>
      </c>
      <c r="V79" s="156" t="str">
        <f>+VLOOKUP($L79,Data_Validation!$A:$D,4,0)</f>
        <v>Inventaire Véhicules Neufs</v>
      </c>
      <c r="W79" s="156" t="str">
        <f>+VLOOKUP($L79,Data_Validation!$A:$E,5,0)</f>
        <v>$</v>
      </c>
      <c r="X79" s="156">
        <f>+VLOOKUP($L79,Data_Validation!$A:$F,6,0)</f>
        <v>0</v>
      </c>
    </row>
    <row r="80" spans="1:24" ht="15.75" hidden="1" customHeight="1">
      <c r="A80" s="1013" t="s">
        <v>2761</v>
      </c>
      <c r="B80" s="1013" t="s">
        <v>2762</v>
      </c>
      <c r="C80" s="1015">
        <v>-25204.38</v>
      </c>
      <c r="D80" s="1015">
        <v>-5228.2</v>
      </c>
      <c r="E80" s="1015">
        <v>-30432.58</v>
      </c>
      <c r="F80" s="1013" t="s">
        <v>293</v>
      </c>
      <c r="G80" s="1013" t="s">
        <v>2762</v>
      </c>
      <c r="H80" s="150"/>
      <c r="I80" s="157"/>
      <c r="J80" s="157"/>
      <c r="K80" s="157"/>
      <c r="L80" s="153" t="str">
        <f t="shared" si="5"/>
        <v>1413</v>
      </c>
      <c r="M80" s="154" t="str">
        <f t="shared" si="6"/>
        <v>BRUISING USED CAR</v>
      </c>
      <c r="N80" s="155">
        <f>+IF(OR($Q80=Parametres!$G$2,$Q80=Parametres!$G$3),I80,C80)</f>
        <v>-25204.38</v>
      </c>
      <c r="O80" s="575">
        <f>+IF(OR($Q80=Parametres!$G$2,$Q80=Parametres!$G$3),J80,D80)</f>
        <v>-5228.2</v>
      </c>
      <c r="P80" s="155">
        <f>+IF(OR($Q80=Parametres!$G$2,$Q80=Parametres!$G$3),K80,E80)</f>
        <v>-30432.58</v>
      </c>
      <c r="Q80" s="154" t="str">
        <f t="shared" si="7"/>
        <v>2-Actifs</v>
      </c>
      <c r="R80" s="153" t="str">
        <f t="shared" si="8"/>
        <v>1413</v>
      </c>
      <c r="S80" s="154">
        <f t="shared" si="9"/>
        <v>0</v>
      </c>
      <c r="T80" s="156" t="str">
        <f>+VLOOKUP($L80,Data_Validation!$A:$D,1,0)</f>
        <v>1413</v>
      </c>
      <c r="U80" s="156" t="str">
        <f>+VLOOKUP($L80,Data_Validation!$A:$D,3,0)</f>
        <v>Bilan</v>
      </c>
      <c r="V80" s="156" t="str">
        <f>+VLOOKUP($L80,Data_Validation!$A:$D,4,0)</f>
        <v>Inventaire Véhicules Usagés</v>
      </c>
      <c r="W80" s="156" t="str">
        <f>+VLOOKUP($L80,Data_Validation!$A:$E,5,0)</f>
        <v>$</v>
      </c>
      <c r="X80" s="156">
        <f>+VLOOKUP($L80,Data_Validation!$A:$F,6,0)</f>
        <v>0</v>
      </c>
    </row>
    <row r="81" spans="1:24" ht="15" hidden="1" customHeight="1">
      <c r="A81" s="1013" t="s">
        <v>2826</v>
      </c>
      <c r="B81" s="1013" t="s">
        <v>2481</v>
      </c>
      <c r="C81" s="1015">
        <v>1497105.39</v>
      </c>
      <c r="D81" s="1015">
        <v>79738.929999999993</v>
      </c>
      <c r="E81" s="1015">
        <v>1576844.32</v>
      </c>
      <c r="F81" s="1013" t="s">
        <v>293</v>
      </c>
      <c r="G81" s="1013" t="s">
        <v>2481</v>
      </c>
      <c r="H81" s="150"/>
      <c r="I81" s="157"/>
      <c r="J81" s="157"/>
      <c r="K81" s="157"/>
      <c r="L81" s="153" t="str">
        <f t="shared" si="5"/>
        <v>1416</v>
      </c>
      <c r="M81" s="154" t="str">
        <f t="shared" si="6"/>
        <v>INV. VEH. USAGE VW</v>
      </c>
      <c r="N81" s="155">
        <f>+IF(OR($Q81=Parametres!$G$2,$Q81=Parametres!$G$3),I81,C81)</f>
        <v>1497105.39</v>
      </c>
      <c r="O81" s="155">
        <f>+IF(OR($Q81=Parametres!$G$2,$Q81=Parametres!$G$3),J81,D81)</f>
        <v>79738.929999999993</v>
      </c>
      <c r="P81" s="155">
        <f>+IF(OR($Q81=Parametres!$G$2,$Q81=Parametres!$G$3),K81,E81)</f>
        <v>1576844.32</v>
      </c>
      <c r="Q81" s="154" t="str">
        <f t="shared" si="7"/>
        <v>2-Actifs</v>
      </c>
      <c r="R81" s="153" t="str">
        <f t="shared" si="8"/>
        <v>1416</v>
      </c>
      <c r="S81" s="154">
        <f t="shared" si="9"/>
        <v>0</v>
      </c>
      <c r="T81" s="156" t="str">
        <f>+VLOOKUP($L81,Data_Validation!$A:$D,1,0)</f>
        <v>1416</v>
      </c>
      <c r="U81" s="156" t="str">
        <f>+VLOOKUP($L81,Data_Validation!$A:$D,3,0)</f>
        <v>Bilan</v>
      </c>
      <c r="V81" s="156" t="str">
        <f>+VLOOKUP($L81,Data_Validation!$A:$D,4,0)</f>
        <v>Inventaire Véhicules Usagés</v>
      </c>
      <c r="W81" s="156" t="str">
        <f>+VLOOKUP($L81,Data_Validation!$A:$E,5,0)</f>
        <v>$</v>
      </c>
      <c r="X81" s="156">
        <f>+VLOOKUP($L81,Data_Validation!$A:$F,6,0)</f>
        <v>0</v>
      </c>
    </row>
    <row r="82" spans="1:24" ht="15" hidden="1" customHeight="1">
      <c r="A82" s="1013" t="s">
        <v>2479</v>
      </c>
      <c r="B82" s="1013" t="s">
        <v>2480</v>
      </c>
      <c r="C82" s="1015"/>
      <c r="D82" s="1015"/>
      <c r="E82" s="1015"/>
      <c r="F82" s="1013" t="s">
        <v>4</v>
      </c>
      <c r="G82" s="1013" t="s">
        <v>2481</v>
      </c>
      <c r="H82" s="150"/>
      <c r="I82" s="157">
        <v>92</v>
      </c>
      <c r="J82" s="157">
        <v>2</v>
      </c>
      <c r="K82" s="157">
        <v>94</v>
      </c>
      <c r="L82" s="153" t="str">
        <f t="shared" si="5"/>
        <v>1416@</v>
      </c>
      <c r="M82" s="154" t="str">
        <f t="shared" si="6"/>
        <v># DE INV. VEH. USAGE VW</v>
      </c>
      <c r="N82" s="155">
        <f>+IF(OR($Q82=Parametres!$G$2,$Q82=Parametres!$G$3),I82,C82)</f>
        <v>92</v>
      </c>
      <c r="O82" s="576">
        <f>+IF(OR($Q82=Parametres!$G$2,$Q82=Parametres!$G$3),J82,D82)</f>
        <v>2</v>
      </c>
      <c r="P82" s="155">
        <f>+IF(OR($Q82=Parametres!$G$2,$Q82=Parametres!$G$3),K82,E82)</f>
        <v>94</v>
      </c>
      <c r="Q82" s="154" t="str">
        <f t="shared" si="7"/>
        <v>10-Compte compteur</v>
      </c>
      <c r="R82" s="153" t="str">
        <f t="shared" si="8"/>
        <v>1416</v>
      </c>
      <c r="S82" s="154">
        <f t="shared" si="9"/>
        <v>0</v>
      </c>
      <c r="T82" s="156" t="str">
        <f>+VLOOKUP($L82,Data_Validation!$A:$D,1,0)</f>
        <v>1416@</v>
      </c>
      <c r="U82" s="156" t="str">
        <f>+VLOOKUP($L82,Data_Validation!$A:$D,3,0)</f>
        <v>Bilan</v>
      </c>
      <c r="V82" s="156">
        <f>+VLOOKUP($L82,Data_Validation!$A:$D,4,0)</f>
        <v>0</v>
      </c>
      <c r="W82" s="156" t="str">
        <f>+VLOOKUP($L82,Data_Validation!$A:$E,5,0)</f>
        <v>NB</v>
      </c>
      <c r="X82" s="156">
        <f>+VLOOKUP($L82,Data_Validation!$A:$F,6,0)</f>
        <v>0</v>
      </c>
    </row>
    <row r="83" spans="1:24" ht="15" hidden="1" customHeight="1">
      <c r="A83" s="1013" t="s">
        <v>2868</v>
      </c>
      <c r="B83" s="1013" t="s">
        <v>2869</v>
      </c>
      <c r="C83" s="1015">
        <v>-15404.61</v>
      </c>
      <c r="D83" s="1015">
        <v>-2328.14</v>
      </c>
      <c r="E83" s="1015">
        <v>-17732.75</v>
      </c>
      <c r="F83" s="1013" t="s">
        <v>293</v>
      </c>
      <c r="G83" s="1013" t="s">
        <v>2869</v>
      </c>
      <c r="H83" s="150"/>
      <c r="I83" s="157"/>
      <c r="J83" s="157"/>
      <c r="K83" s="157"/>
      <c r="L83" s="153" t="str">
        <f t="shared" si="5"/>
        <v>1423</v>
      </c>
      <c r="M83" s="154" t="str">
        <f t="shared" si="6"/>
        <v>RESERVE DEMO</v>
      </c>
      <c r="N83" s="155">
        <f>+IF(OR($Q83=Parametres!$G$2,$Q83=Parametres!$G$3),I83,C83)</f>
        <v>-15404.61</v>
      </c>
      <c r="O83" s="155">
        <f>+IF(OR($Q83=Parametres!$G$2,$Q83=Parametres!$G$3),J83,D83)</f>
        <v>-2328.14</v>
      </c>
      <c r="P83" s="155">
        <f>+IF(OR($Q83=Parametres!$G$2,$Q83=Parametres!$G$3),K83,E83)</f>
        <v>-17732.75</v>
      </c>
      <c r="Q83" s="154" t="str">
        <f t="shared" si="7"/>
        <v>2-Actifs</v>
      </c>
      <c r="R83" s="153" t="str">
        <f t="shared" si="8"/>
        <v>1423</v>
      </c>
      <c r="S83" s="154">
        <f t="shared" si="9"/>
        <v>0</v>
      </c>
      <c r="T83" s="156" t="str">
        <f>+VLOOKUP($L83,Data_Validation!$A:$D,1,0)</f>
        <v>1423</v>
      </c>
      <c r="U83" s="156" t="str">
        <f>+VLOOKUP($L83,Data_Validation!$A:$D,3,0)</f>
        <v>Bilan</v>
      </c>
      <c r="V83" s="156" t="str">
        <f>+VLOOKUP($L83,Data_Validation!$A:$D,4,0)</f>
        <v>Inventaire Véhicules Neufs</v>
      </c>
      <c r="W83" s="156" t="str">
        <f>+VLOOKUP($L83,Data_Validation!$A:$E,5,0)</f>
        <v>$</v>
      </c>
      <c r="X83" s="156">
        <f>+VLOOKUP($L83,Data_Validation!$A:$F,6,0)</f>
        <v>0</v>
      </c>
    </row>
    <row r="84" spans="1:24" ht="15.75" hidden="1" customHeight="1">
      <c r="A84" s="1013" t="s">
        <v>2870</v>
      </c>
      <c r="B84" s="1013" t="s">
        <v>2871</v>
      </c>
      <c r="C84" s="1015">
        <v>-33322.31</v>
      </c>
      <c r="D84" s="1015">
        <v>4466.22</v>
      </c>
      <c r="E84" s="1015">
        <v>-28856.09</v>
      </c>
      <c r="F84" s="1013" t="s">
        <v>293</v>
      </c>
      <c r="G84" s="1013" t="s">
        <v>2872</v>
      </c>
      <c r="H84" s="150"/>
      <c r="I84" s="157"/>
      <c r="J84" s="157"/>
      <c r="K84" s="157"/>
      <c r="L84" s="153" t="str">
        <f t="shared" si="5"/>
        <v>1433</v>
      </c>
      <c r="M84" s="154" t="str">
        <f t="shared" si="6"/>
        <v>RESERVE COURTOISIE</v>
      </c>
      <c r="N84" s="155">
        <f>+IF(OR($Q84=Parametres!$G$2,$Q84=Parametres!$G$3),I84,C84)</f>
        <v>-33322.31</v>
      </c>
      <c r="O84" s="155">
        <f>+IF(OR($Q84=Parametres!$G$2,$Q84=Parametres!$G$3),J84,D84)</f>
        <v>4466.22</v>
      </c>
      <c r="P84" s="155">
        <f>+IF(OR($Q84=Parametres!$G$2,$Q84=Parametres!$G$3),K84,E84)</f>
        <v>-28856.09</v>
      </c>
      <c r="Q84" s="154" t="str">
        <f t="shared" si="7"/>
        <v>2-Actifs</v>
      </c>
      <c r="R84" s="153" t="str">
        <f t="shared" si="8"/>
        <v>143</v>
      </c>
      <c r="S84" s="154">
        <f t="shared" si="9"/>
        <v>0</v>
      </c>
      <c r="T84" s="156" t="str">
        <f>+VLOOKUP($L84,Data_Validation!$A:$D,1,0)</f>
        <v>1433</v>
      </c>
      <c r="U84" s="156" t="str">
        <f>+VLOOKUP($L84,Data_Validation!$A:$D,3,0)</f>
        <v>Bilan</v>
      </c>
      <c r="V84" s="156" t="str">
        <f>+VLOOKUP($L84,Data_Validation!$A:$D,4,0)</f>
        <v>Inventaire Véhicules Neufs</v>
      </c>
      <c r="W84" s="156" t="str">
        <f>+VLOOKUP($L84,Data_Validation!$A:$E,5,0)</f>
        <v>$</v>
      </c>
      <c r="X84" s="156">
        <f>+VLOOKUP($L84,Data_Validation!$A:$F,6,0)</f>
        <v>0</v>
      </c>
    </row>
    <row r="85" spans="1:24" ht="15" hidden="1" customHeight="1">
      <c r="A85" s="1013" t="s">
        <v>2032</v>
      </c>
      <c r="B85" s="1013" t="s">
        <v>2033</v>
      </c>
      <c r="C85" s="1015">
        <v>148256.54999999999</v>
      </c>
      <c r="D85" s="1015">
        <v>-12880</v>
      </c>
      <c r="E85" s="1015">
        <v>135376.54999999999</v>
      </c>
      <c r="F85" s="1013" t="s">
        <v>293</v>
      </c>
      <c r="G85" s="1013" t="s">
        <v>2033</v>
      </c>
      <c r="H85" s="150"/>
      <c r="I85" s="157"/>
      <c r="J85" s="157"/>
      <c r="K85" s="157"/>
      <c r="L85" s="153" t="str">
        <f t="shared" si="5"/>
        <v>1442</v>
      </c>
      <c r="M85" s="154" t="str">
        <f t="shared" si="6"/>
        <v>PIECES &amp; ACCESSOIRES NEUFS</v>
      </c>
      <c r="N85" s="155">
        <f>+IF(OR($Q85=Parametres!$G$2,$Q85=Parametres!$G$3),I85,C85)</f>
        <v>148256.54999999999</v>
      </c>
      <c r="O85" s="575">
        <f>+IF(OR($Q85=Parametres!$G$2,$Q85=Parametres!$G$3),J85,D85)</f>
        <v>-12880</v>
      </c>
      <c r="P85" s="155">
        <f>+IF(OR($Q85=Parametres!$G$2,$Q85=Parametres!$G$3),K85,E85)</f>
        <v>135376.54999999999</v>
      </c>
      <c r="Q85" s="154" t="str">
        <f t="shared" si="7"/>
        <v>2-Actifs</v>
      </c>
      <c r="R85" s="153" t="str">
        <f t="shared" si="8"/>
        <v>1442</v>
      </c>
      <c r="S85" s="154">
        <f t="shared" si="9"/>
        <v>0</v>
      </c>
      <c r="T85" s="156" t="str">
        <f>+VLOOKUP($L85,Data_Validation!$A:$D,1,0)</f>
        <v>1442</v>
      </c>
      <c r="U85" s="156" t="str">
        <f>+VLOOKUP($L85,Data_Validation!$A:$D,3,0)</f>
        <v>Bilan</v>
      </c>
      <c r="V85" s="156" t="str">
        <f>+VLOOKUP($L85,Data_Validation!$A:$D,4,0)</f>
        <v>Inventaire Pièces, Pneus, Huile</v>
      </c>
      <c r="W85" s="156" t="str">
        <f>+VLOOKUP($L85,Data_Validation!$A:$E,5,0)</f>
        <v>$</v>
      </c>
      <c r="X85" s="156">
        <f>+VLOOKUP($L85,Data_Validation!$A:$F,6,0)</f>
        <v>0</v>
      </c>
    </row>
    <row r="86" spans="1:24" ht="15" hidden="1" customHeight="1">
      <c r="A86" s="1013" t="s">
        <v>2873</v>
      </c>
      <c r="B86" s="1013" t="s">
        <v>2874</v>
      </c>
      <c r="C86" s="1015">
        <v>69.25</v>
      </c>
      <c r="D86" s="1015">
        <v>-78.39</v>
      </c>
      <c r="E86" s="1015">
        <v>-9.14</v>
      </c>
      <c r="F86" s="1013" t="s">
        <v>293</v>
      </c>
      <c r="G86" s="1013" t="s">
        <v>2033</v>
      </c>
      <c r="H86" s="150"/>
      <c r="I86" s="157"/>
      <c r="J86" s="157"/>
      <c r="K86" s="157"/>
      <c r="L86" s="153" t="str">
        <f t="shared" si="5"/>
        <v>1448</v>
      </c>
      <c r="M86" s="154" t="str">
        <f t="shared" si="6"/>
        <v>AUTRES MARQUES P&amp;A</v>
      </c>
      <c r="N86" s="155">
        <f>+IF(OR($Q86=Parametres!$G$2,$Q86=Parametres!$G$3),I86,C86)</f>
        <v>69.25</v>
      </c>
      <c r="O86" s="155">
        <f>+IF(OR($Q86=Parametres!$G$2,$Q86=Parametres!$G$3),J86,D86)</f>
        <v>-78.39</v>
      </c>
      <c r="P86" s="155">
        <f>+IF(OR($Q86=Parametres!$G$2,$Q86=Parametres!$G$3),K86,E86)</f>
        <v>-9.14</v>
      </c>
      <c r="Q86" s="154" t="str">
        <f t="shared" si="7"/>
        <v>2-Actifs</v>
      </c>
      <c r="R86" s="153" t="str">
        <f t="shared" si="8"/>
        <v>1442</v>
      </c>
      <c r="S86" s="154">
        <f t="shared" si="9"/>
        <v>0</v>
      </c>
      <c r="T86" s="156" t="str">
        <f>+VLOOKUP($L86,Data_Validation!$A:$D,1,0)</f>
        <v>1448</v>
      </c>
      <c r="U86" s="156" t="str">
        <f>+VLOOKUP($L86,Data_Validation!$A:$D,3,0)</f>
        <v>Bilan</v>
      </c>
      <c r="V86" s="156" t="str">
        <f>+VLOOKUP($L86,Data_Validation!$A:$D,4,0)</f>
        <v>Inventaire Pièces, Pneus, Huile</v>
      </c>
      <c r="W86" s="156" t="str">
        <f>+VLOOKUP($L86,Data_Validation!$A:$E,5,0)</f>
        <v>$</v>
      </c>
      <c r="X86" s="156">
        <f>+VLOOKUP($L86,Data_Validation!$A:$F,6,0)</f>
        <v>0</v>
      </c>
    </row>
    <row r="87" spans="1:24" ht="15" hidden="1" customHeight="1">
      <c r="A87" s="1013" t="s">
        <v>2824</v>
      </c>
      <c r="B87" s="1013" t="s">
        <v>2825</v>
      </c>
      <c r="C87" s="1015">
        <v>156858.96</v>
      </c>
      <c r="D87" s="1015">
        <v>40071.089999999997</v>
      </c>
      <c r="E87" s="1015">
        <v>196930.05</v>
      </c>
      <c r="F87" s="1013" t="s">
        <v>293</v>
      </c>
      <c r="G87" s="1013" t="s">
        <v>2033</v>
      </c>
      <c r="H87" s="150"/>
      <c r="I87" s="151"/>
      <c r="J87" s="151"/>
      <c r="K87" s="151"/>
      <c r="L87" s="153" t="str">
        <f t="shared" si="5"/>
        <v>1452</v>
      </c>
      <c r="M87" s="154" t="str">
        <f t="shared" si="6"/>
        <v>PNEUS</v>
      </c>
      <c r="N87" s="155">
        <f>+IF(OR($Q87=Parametres!$G$2,$Q87=Parametres!$G$3),I87,C87)</f>
        <v>156858.96</v>
      </c>
      <c r="O87" s="155">
        <f>+IF(OR($Q87=Parametres!$G$2,$Q87=Parametres!$G$3),J87,D87)</f>
        <v>40071.089999999997</v>
      </c>
      <c r="P87" s="155">
        <f>+IF(OR($Q87=Parametres!$G$2,$Q87=Parametres!$G$3),K87,E87)</f>
        <v>196930.05</v>
      </c>
      <c r="Q87" s="154" t="str">
        <f t="shared" si="7"/>
        <v>2-Actifs</v>
      </c>
      <c r="R87" s="153" t="str">
        <f t="shared" si="8"/>
        <v>1442</v>
      </c>
      <c r="S87" s="154">
        <f t="shared" si="9"/>
        <v>0</v>
      </c>
      <c r="T87" s="156" t="str">
        <f>+VLOOKUP($L87,Data_Validation!$A:$D,1,0)</f>
        <v>1452</v>
      </c>
      <c r="U87" s="156" t="str">
        <f>+VLOOKUP($L87,Data_Validation!$A:$D,3,0)</f>
        <v>Bilan</v>
      </c>
      <c r="V87" s="156" t="str">
        <f>+VLOOKUP($L87,Data_Validation!$A:$D,4,0)</f>
        <v>Inventaire Pièces, Pneus, Huile</v>
      </c>
      <c r="W87" s="156" t="str">
        <f>+VLOOKUP($L87,Data_Validation!$A:$E,5,0)</f>
        <v>$</v>
      </c>
      <c r="X87" s="156">
        <f>+VLOOKUP($L87,Data_Validation!$A:$F,6,0)</f>
        <v>0</v>
      </c>
    </row>
    <row r="88" spans="1:24" ht="15" hidden="1" customHeight="1">
      <c r="A88" s="1013" t="s">
        <v>2740</v>
      </c>
      <c r="B88" s="1013" t="s">
        <v>2741</v>
      </c>
      <c r="C88" s="1015">
        <v>33151.83</v>
      </c>
      <c r="D88" s="1015">
        <v>3075.47</v>
      </c>
      <c r="E88" s="1015">
        <v>36227.300000000003</v>
      </c>
      <c r="F88" s="1013" t="s">
        <v>293</v>
      </c>
      <c r="G88" s="1013" t="s">
        <v>2741</v>
      </c>
      <c r="H88" s="949"/>
      <c r="I88" s="948"/>
      <c r="J88" s="948"/>
      <c r="K88" s="948"/>
      <c r="L88" s="153" t="str">
        <f t="shared" si="5"/>
        <v>1456</v>
      </c>
      <c r="M88" s="154" t="str">
        <f t="shared" si="6"/>
        <v>PIECES VW NON ORIGINE</v>
      </c>
      <c r="N88" s="155">
        <f>+IF(OR($Q88=Parametres!$G$2,$Q88=Parametres!$G$3),I88,C88)</f>
        <v>33151.83</v>
      </c>
      <c r="O88" s="155">
        <f>+IF(OR($Q88=Parametres!$G$2,$Q88=Parametres!$G$3),J88,D88)</f>
        <v>3075.47</v>
      </c>
      <c r="P88" s="155">
        <f>+IF(OR($Q88=Parametres!$G$2,$Q88=Parametres!$G$3),K88,E88)</f>
        <v>36227.300000000003</v>
      </c>
      <c r="Q88" s="154" t="str">
        <f t="shared" si="7"/>
        <v>2-Actifs</v>
      </c>
      <c r="R88" s="153" t="str">
        <f t="shared" si="8"/>
        <v>1456</v>
      </c>
      <c r="S88" s="154">
        <f t="shared" si="9"/>
        <v>0</v>
      </c>
      <c r="T88" s="156" t="str">
        <f>+VLOOKUP($L88,Data_Validation!$A:$D,1,0)</f>
        <v>1456</v>
      </c>
      <c r="U88" s="156" t="str">
        <f>+VLOOKUP($L88,Data_Validation!$A:$D,3,0)</f>
        <v>Bilan</v>
      </c>
      <c r="V88" s="156" t="str">
        <f>+VLOOKUP($L88,Data_Validation!$A:$D,4,0)</f>
        <v>Inventaire Pièces, Pneus, Huile</v>
      </c>
      <c r="W88" s="156" t="str">
        <f>+VLOOKUP($L88,Data_Validation!$A:$E,5,0)</f>
        <v>$</v>
      </c>
      <c r="X88" s="156">
        <f>+VLOOKUP($L88,Data_Validation!$A:$F,6,0)</f>
        <v>0</v>
      </c>
    </row>
    <row r="89" spans="1:24" ht="15" hidden="1" customHeight="1">
      <c r="A89" s="1013" t="s">
        <v>2589</v>
      </c>
      <c r="B89" s="1013" t="s">
        <v>2590</v>
      </c>
      <c r="C89" s="1015">
        <v>5031.47</v>
      </c>
      <c r="D89" s="1015">
        <v>4156.2299999999996</v>
      </c>
      <c r="E89" s="1015">
        <v>9187.7000000000007</v>
      </c>
      <c r="F89" s="1013" t="s">
        <v>293</v>
      </c>
      <c r="G89" s="1013" t="s">
        <v>2590</v>
      </c>
      <c r="H89" s="949"/>
      <c r="I89" s="949"/>
      <c r="J89" s="949"/>
      <c r="K89" s="949"/>
      <c r="L89" s="153" t="str">
        <f t="shared" si="5"/>
        <v>1472</v>
      </c>
      <c r="M89" s="154" t="str">
        <f t="shared" si="6"/>
        <v>WIP M-O VW</v>
      </c>
      <c r="N89" s="155">
        <f>+IF(OR($Q89=Parametres!$G$2,$Q89=Parametres!$G$3),I89,C89)</f>
        <v>5031.47</v>
      </c>
      <c r="O89" s="575">
        <f>+IF(OR($Q89=Parametres!$G$2,$Q89=Parametres!$G$3),J89,D89)</f>
        <v>4156.2299999999996</v>
      </c>
      <c r="P89" s="155">
        <f>+IF(OR($Q89=Parametres!$G$2,$Q89=Parametres!$G$3),K89,E89)</f>
        <v>9187.7000000000007</v>
      </c>
      <c r="Q89" s="154" t="str">
        <f t="shared" si="7"/>
        <v>2-Actifs</v>
      </c>
      <c r="R89" s="153" t="str">
        <f t="shared" si="8"/>
        <v>1472</v>
      </c>
      <c r="S89" s="154">
        <f t="shared" si="9"/>
        <v>0</v>
      </c>
      <c r="T89" s="156" t="str">
        <f>+VLOOKUP($L89,Data_Validation!$A:$D,1,0)</f>
        <v>1472</v>
      </c>
      <c r="U89" s="156" t="str">
        <f>+VLOOKUP($L89,Data_Validation!$A:$D,3,0)</f>
        <v>Bilan</v>
      </c>
      <c r="V89" s="156" t="str">
        <f>+VLOOKUP($L89,Data_Validation!$A:$D,4,0)</f>
        <v>Travaux en Cours</v>
      </c>
      <c r="W89" s="156" t="str">
        <f>+VLOOKUP($L89,Data_Validation!$A:$E,5,0)</f>
        <v>$</v>
      </c>
      <c r="X89" s="156">
        <f>+VLOOKUP($L89,Data_Validation!$A:$F,6,0)</f>
        <v>0</v>
      </c>
    </row>
    <row r="90" spans="1:24" ht="15" hidden="1" customHeight="1">
      <c r="A90" s="1013" t="s">
        <v>2763</v>
      </c>
      <c r="B90" s="1013" t="s">
        <v>2764</v>
      </c>
      <c r="C90" s="1015">
        <v>-5456.57</v>
      </c>
      <c r="D90" s="1015">
        <v>2291.7600000000002</v>
      </c>
      <c r="E90" s="1015">
        <v>-3164.81</v>
      </c>
      <c r="F90" s="1013" t="s">
        <v>293</v>
      </c>
      <c r="G90" s="1013" t="s">
        <v>2590</v>
      </c>
      <c r="H90" s="150"/>
      <c r="I90" s="157"/>
      <c r="J90" s="157"/>
      <c r="K90" s="157"/>
      <c r="L90" s="153" t="str">
        <f t="shared" si="5"/>
        <v>1474</v>
      </c>
      <c r="M90" s="154" t="str">
        <f t="shared" si="6"/>
        <v>INVENTAIRE SOUS-TRAITANTS</v>
      </c>
      <c r="N90" s="155">
        <f>+IF(OR($Q90=Parametres!$G$2,$Q90=Parametres!$G$3),I90,C90)</f>
        <v>-5456.57</v>
      </c>
      <c r="O90" s="575">
        <f>+IF(OR($Q90=Parametres!$G$2,$Q90=Parametres!$G$3),J90,D90)</f>
        <v>2291.7600000000002</v>
      </c>
      <c r="P90" s="155">
        <f>+IF(OR($Q90=Parametres!$G$2,$Q90=Parametres!$G$3),K90,E90)</f>
        <v>-3164.81</v>
      </c>
      <c r="Q90" s="154" t="str">
        <f t="shared" si="7"/>
        <v>2-Actifs</v>
      </c>
      <c r="R90" s="153" t="str">
        <f t="shared" si="8"/>
        <v>1472</v>
      </c>
      <c r="S90" s="154">
        <f t="shared" si="9"/>
        <v>0</v>
      </c>
      <c r="T90" s="156" t="str">
        <f>+VLOOKUP($L90,Data_Validation!$A:$D,1,0)</f>
        <v>1474</v>
      </c>
      <c r="U90" s="156" t="str">
        <f>+VLOOKUP($L90,Data_Validation!$A:$D,3,0)</f>
        <v>Bilan</v>
      </c>
      <c r="V90" s="156" t="str">
        <f>+VLOOKUP($L90,Data_Validation!$A:$D,4,0)</f>
        <v>Sous-Traitance</v>
      </c>
      <c r="W90" s="156" t="str">
        <f>+VLOOKUP($L90,Data_Validation!$A:$E,5,0)</f>
        <v>$</v>
      </c>
      <c r="X90" s="156">
        <f>+VLOOKUP($L90,Data_Validation!$A:$F,6,0)</f>
        <v>0</v>
      </c>
    </row>
    <row r="91" spans="1:24" ht="15" hidden="1" customHeight="1">
      <c r="A91" s="1013" t="s">
        <v>2140</v>
      </c>
      <c r="B91" s="1013" t="s">
        <v>2141</v>
      </c>
      <c r="C91" s="1015">
        <v>26203.06</v>
      </c>
      <c r="D91" s="1015">
        <v>-2771.12</v>
      </c>
      <c r="E91" s="1015">
        <v>23431.94</v>
      </c>
      <c r="F91" s="1013" t="s">
        <v>293</v>
      </c>
      <c r="G91" s="1013" t="s">
        <v>2033</v>
      </c>
      <c r="H91" s="150"/>
      <c r="I91" s="157"/>
      <c r="J91" s="157"/>
      <c r="K91" s="157"/>
      <c r="L91" s="153" t="str">
        <f t="shared" si="5"/>
        <v>1492</v>
      </c>
      <c r="M91" s="154" t="str">
        <f t="shared" si="6"/>
        <v>CARBURANT, HUILE, GRAISSE</v>
      </c>
      <c r="N91" s="155">
        <f>+IF(OR($Q91=Parametres!$G$2,$Q91=Parametres!$G$3),I91,C91)</f>
        <v>26203.06</v>
      </c>
      <c r="O91" s="155">
        <f>+IF(OR($Q91=Parametres!$G$2,$Q91=Parametres!$G$3),J91,D91)</f>
        <v>-2771.12</v>
      </c>
      <c r="P91" s="155">
        <f>+IF(OR($Q91=Parametres!$G$2,$Q91=Parametres!$G$3),K91,E91)</f>
        <v>23431.94</v>
      </c>
      <c r="Q91" s="154" t="str">
        <f t="shared" si="7"/>
        <v>2-Actifs</v>
      </c>
      <c r="R91" s="153" t="str">
        <f t="shared" si="8"/>
        <v>1442</v>
      </c>
      <c r="S91" s="154">
        <f t="shared" si="9"/>
        <v>0</v>
      </c>
      <c r="T91" s="156" t="str">
        <f>+VLOOKUP($L91,Data_Validation!$A:$D,1,0)</f>
        <v>1492</v>
      </c>
      <c r="U91" s="156" t="str">
        <f>+VLOOKUP($L91,Data_Validation!$A:$D,3,0)</f>
        <v>Bilan</v>
      </c>
      <c r="V91" s="156" t="str">
        <f>+VLOOKUP($L91,Data_Validation!$A:$D,4,0)</f>
        <v>Inventaire Pièces, Pneus, Huile</v>
      </c>
      <c r="W91" s="156" t="str">
        <f>+VLOOKUP($L91,Data_Validation!$A:$E,5,0)</f>
        <v>$</v>
      </c>
      <c r="X91" s="156">
        <f>+VLOOKUP($L91,Data_Validation!$A:$F,6,0)</f>
        <v>0</v>
      </c>
    </row>
    <row r="92" spans="1:24" ht="15" hidden="1" customHeight="1">
      <c r="A92" s="1013" t="s">
        <v>2691</v>
      </c>
      <c r="B92" s="1013" t="s">
        <v>2692</v>
      </c>
      <c r="C92" s="1015">
        <v>-122.37</v>
      </c>
      <c r="D92" s="1015">
        <v>177.39</v>
      </c>
      <c r="E92" s="1015">
        <v>55.02</v>
      </c>
      <c r="F92" s="1013" t="s">
        <v>293</v>
      </c>
      <c r="G92" s="1013" t="s">
        <v>2692</v>
      </c>
      <c r="H92" s="150"/>
      <c r="I92" s="151"/>
      <c r="J92" s="151"/>
      <c r="K92" s="151"/>
      <c r="L92" s="153" t="str">
        <f t="shared" si="5"/>
        <v>1498</v>
      </c>
      <c r="M92" s="154" t="str">
        <f t="shared" si="6"/>
        <v>AUTRES INVENTAIRES</v>
      </c>
      <c r="N92" s="155">
        <f>+IF(OR($Q92=Parametres!$G$2,$Q92=Parametres!$G$3),I92,C92)</f>
        <v>-122.37</v>
      </c>
      <c r="O92" s="155">
        <f>+IF(OR($Q92=Parametres!$G$2,$Q92=Parametres!$G$3),J92,D92)</f>
        <v>177.39</v>
      </c>
      <c r="P92" s="155">
        <f>+IF(OR($Q92=Parametres!$G$2,$Q92=Parametres!$G$3),K92,E92)</f>
        <v>55.02</v>
      </c>
      <c r="Q92" s="154" t="str">
        <f t="shared" si="7"/>
        <v>2-Actifs</v>
      </c>
      <c r="R92" s="153" t="str">
        <f t="shared" si="8"/>
        <v>1498</v>
      </c>
      <c r="S92" s="154">
        <f t="shared" si="9"/>
        <v>0</v>
      </c>
      <c r="T92" s="156" t="str">
        <f>+VLOOKUP($L92,Data_Validation!$A:$D,1,0)</f>
        <v>1498</v>
      </c>
      <c r="U92" s="156" t="str">
        <f>+VLOOKUP($L92,Data_Validation!$A:$D,3,0)</f>
        <v>Bilan</v>
      </c>
      <c r="V92" s="156" t="str">
        <f>+VLOOKUP($L92,Data_Validation!$A:$D,4,0)</f>
        <v>Inventaire Pièces, Pneus, Huile</v>
      </c>
      <c r="W92" s="156" t="str">
        <f>+VLOOKUP($L92,Data_Validation!$A:$E,5,0)</f>
        <v>$</v>
      </c>
      <c r="X92" s="156">
        <f>+VLOOKUP($L92,Data_Validation!$A:$F,6,0)</f>
        <v>0</v>
      </c>
    </row>
    <row r="93" spans="1:24" ht="15" hidden="1" customHeight="1">
      <c r="A93" s="1013" t="s">
        <v>2104</v>
      </c>
      <c r="B93" s="1013" t="s">
        <v>2105</v>
      </c>
      <c r="C93" s="1015">
        <v>-2911.69</v>
      </c>
      <c r="D93" s="1015">
        <v>0</v>
      </c>
      <c r="E93" s="1015">
        <v>-2911.69</v>
      </c>
      <c r="F93" s="1013" t="s">
        <v>293</v>
      </c>
      <c r="G93" s="1013" t="s">
        <v>2106</v>
      </c>
      <c r="H93" s="150"/>
      <c r="I93" s="157"/>
      <c r="J93" s="157"/>
      <c r="K93" s="157"/>
      <c r="L93" s="153" t="str">
        <f t="shared" si="5"/>
        <v>1502</v>
      </c>
      <c r="M93" s="154" t="str">
        <f t="shared" si="6"/>
        <v>FPA PUB.VEHICULES NEUFS</v>
      </c>
      <c r="N93" s="155">
        <f>+IF(OR($Q93=Parametres!$G$2,$Q93=Parametres!$G$3),I93,C93)</f>
        <v>-2911.69</v>
      </c>
      <c r="O93" s="155">
        <f>+IF(OR($Q93=Parametres!$G$2,$Q93=Parametres!$G$3),J93,D93)</f>
        <v>0</v>
      </c>
      <c r="P93" s="155">
        <f>+IF(OR($Q93=Parametres!$G$2,$Q93=Parametres!$G$3),K93,E93)</f>
        <v>-2911.69</v>
      </c>
      <c r="Q93" s="154" t="str">
        <f t="shared" si="7"/>
        <v>2-Actifs</v>
      </c>
      <c r="R93" s="153" t="str">
        <f t="shared" si="8"/>
        <v>1500</v>
      </c>
      <c r="S93" s="154">
        <f t="shared" si="9"/>
        <v>0</v>
      </c>
      <c r="T93" s="156" t="str">
        <f>+VLOOKUP($L93,Data_Validation!$A:$D,1,0)</f>
        <v>1502</v>
      </c>
      <c r="U93" s="156" t="str">
        <f>+VLOOKUP($L93,Data_Validation!$A:$D,3,0)</f>
        <v>Bilan</v>
      </c>
      <c r="V93" s="156" t="str">
        <f>+VLOOKUP($L93,Data_Validation!$A:$D,4,0)</f>
        <v>Frais Payés d'Avance</v>
      </c>
      <c r="W93" s="156" t="str">
        <f>+VLOOKUP($L93,Data_Validation!$A:$E,5,0)</f>
        <v>$</v>
      </c>
      <c r="X93" s="156">
        <f>+VLOOKUP($L93,Data_Validation!$A:$F,6,0)</f>
        <v>0</v>
      </c>
    </row>
    <row r="94" spans="1:24" ht="15.75" hidden="1" customHeight="1">
      <c r="A94" s="1013" t="s">
        <v>2806</v>
      </c>
      <c r="B94" s="1013" t="s">
        <v>2807</v>
      </c>
      <c r="C94" s="1015">
        <v>-1303.55</v>
      </c>
      <c r="D94" s="1015">
        <v>-3534.11</v>
      </c>
      <c r="E94" s="1015">
        <v>-4837.66</v>
      </c>
      <c r="F94" s="1013" t="s">
        <v>293</v>
      </c>
      <c r="G94" s="1013" t="s">
        <v>2106</v>
      </c>
      <c r="H94" s="949"/>
      <c r="I94" s="948"/>
      <c r="J94" s="948"/>
      <c r="K94" s="948"/>
      <c r="L94" s="153" t="str">
        <f t="shared" si="5"/>
        <v>1506</v>
      </c>
      <c r="M94" s="154" t="str">
        <f t="shared" si="6"/>
        <v>FPA PUBLICITE SERVICE</v>
      </c>
      <c r="N94" s="155">
        <f>+IF(OR($Q94=Parametres!$G$2,$Q94=Parametres!$G$3),I94,C94)</f>
        <v>-1303.55</v>
      </c>
      <c r="O94" s="575">
        <f>+IF(OR($Q94=Parametres!$G$2,$Q94=Parametres!$G$3),J94,D94)</f>
        <v>-3534.11</v>
      </c>
      <c r="P94" s="155">
        <f>+IF(OR($Q94=Parametres!$G$2,$Q94=Parametres!$G$3),K94,E94)</f>
        <v>-4837.66</v>
      </c>
      <c r="Q94" s="154" t="str">
        <f t="shared" si="7"/>
        <v>2-Actifs</v>
      </c>
      <c r="R94" s="153" t="str">
        <f t="shared" si="8"/>
        <v>1500</v>
      </c>
      <c r="S94" s="154">
        <f t="shared" si="9"/>
        <v>0</v>
      </c>
      <c r="T94" s="156" t="str">
        <f>+VLOOKUP($L94,Data_Validation!$A:$D,1,0)</f>
        <v>1506</v>
      </c>
      <c r="U94" s="156" t="str">
        <f>+VLOOKUP($L94,Data_Validation!$A:$D,3,0)</f>
        <v>Bilan</v>
      </c>
      <c r="V94" s="156" t="str">
        <f>+VLOOKUP($L94,Data_Validation!$A:$D,4,0)</f>
        <v>Frais Payés d'Avance</v>
      </c>
      <c r="W94" s="156" t="str">
        <f>+VLOOKUP($L94,Data_Validation!$A:$E,5,0)</f>
        <v>$</v>
      </c>
      <c r="X94" s="156">
        <f>+VLOOKUP($L94,Data_Validation!$A:$F,6,0)</f>
        <v>0</v>
      </c>
    </row>
    <row r="95" spans="1:24" ht="15" hidden="1" customHeight="1">
      <c r="A95" s="1013" t="s">
        <v>2642</v>
      </c>
      <c r="B95" s="1013" t="s">
        <v>2643</v>
      </c>
      <c r="C95" s="1015">
        <v>4061.95</v>
      </c>
      <c r="D95" s="1015">
        <v>-215</v>
      </c>
      <c r="E95" s="1015">
        <v>3846.95</v>
      </c>
      <c r="F95" s="1013" t="s">
        <v>293</v>
      </c>
      <c r="G95" s="1013" t="s">
        <v>2106</v>
      </c>
      <c r="H95" s="150"/>
      <c r="I95" s="151"/>
      <c r="J95" s="151"/>
      <c r="K95" s="151"/>
      <c r="L95" s="153" t="str">
        <f t="shared" si="5"/>
        <v>1510</v>
      </c>
      <c r="M95" s="154" t="str">
        <f t="shared" si="6"/>
        <v>DIAMOND KOTE (NANO)</v>
      </c>
      <c r="N95" s="155">
        <f>+IF(OR($Q95=Parametres!$G$2,$Q95=Parametres!$G$3),I95,C95)</f>
        <v>4061.95</v>
      </c>
      <c r="O95" s="155">
        <f>+IF(OR($Q95=Parametres!$G$2,$Q95=Parametres!$G$3),J95,D95)</f>
        <v>-215</v>
      </c>
      <c r="P95" s="155">
        <f>+IF(OR($Q95=Parametres!$G$2,$Q95=Parametres!$G$3),K95,E95)</f>
        <v>3846.95</v>
      </c>
      <c r="Q95" s="154" t="str">
        <f t="shared" si="7"/>
        <v>2-Actifs</v>
      </c>
      <c r="R95" s="153" t="str">
        <f t="shared" si="8"/>
        <v>1500</v>
      </c>
      <c r="S95" s="154">
        <f t="shared" si="9"/>
        <v>0</v>
      </c>
      <c r="T95" s="156" t="str">
        <f>+VLOOKUP($L95,Data_Validation!$A:$D,1,0)</f>
        <v>1510</v>
      </c>
      <c r="U95" s="156" t="str">
        <f>+VLOOKUP($L95,Data_Validation!$A:$D,3,0)</f>
        <v>Bilan</v>
      </c>
      <c r="V95" s="156" t="str">
        <f>+VLOOKUP($L95,Data_Validation!$A:$D,4,0)</f>
        <v>Frais Payés d'Avance</v>
      </c>
      <c r="W95" s="156" t="str">
        <f>+VLOOKUP($L95,Data_Validation!$A:$E,5,0)</f>
        <v>$</v>
      </c>
      <c r="X95" s="156">
        <f>+VLOOKUP($L95,Data_Validation!$A:$F,6,0)</f>
        <v>0</v>
      </c>
    </row>
    <row r="96" spans="1:24" ht="15" hidden="1" customHeight="1">
      <c r="A96" s="1013" t="s">
        <v>2152</v>
      </c>
      <c r="B96" s="1013" t="s">
        <v>2153</v>
      </c>
      <c r="C96" s="1015">
        <v>1829.99</v>
      </c>
      <c r="D96" s="1015">
        <v>4949.6499999999996</v>
      </c>
      <c r="E96" s="1015">
        <v>6779.64</v>
      </c>
      <c r="F96" s="1013" t="s">
        <v>293</v>
      </c>
      <c r="G96" s="1013" t="s">
        <v>2106</v>
      </c>
      <c r="H96" s="150"/>
      <c r="I96" s="157"/>
      <c r="J96" s="157"/>
      <c r="K96" s="157"/>
      <c r="L96" s="153" t="str">
        <f t="shared" si="5"/>
        <v>1520</v>
      </c>
      <c r="M96" s="154" t="str">
        <f t="shared" si="6"/>
        <v>FPA IMMATRICULATION</v>
      </c>
      <c r="N96" s="155">
        <f>+IF(OR($Q96=Parametres!$G$2,$Q96=Parametres!$G$3),I96,C96)</f>
        <v>1829.99</v>
      </c>
      <c r="O96" s="155">
        <f>+IF(OR($Q96=Parametres!$G$2,$Q96=Parametres!$G$3),J96,D96)</f>
        <v>4949.6499999999996</v>
      </c>
      <c r="P96" s="155">
        <f>+IF(OR($Q96=Parametres!$G$2,$Q96=Parametres!$G$3),K96,E96)</f>
        <v>6779.64</v>
      </c>
      <c r="Q96" s="154" t="str">
        <f t="shared" si="7"/>
        <v>2-Actifs</v>
      </c>
      <c r="R96" s="153" t="str">
        <f t="shared" si="8"/>
        <v>1500</v>
      </c>
      <c r="S96" s="154">
        <f t="shared" si="9"/>
        <v>0</v>
      </c>
      <c r="T96" s="156" t="str">
        <f>+VLOOKUP($L96,Data_Validation!$A:$D,1,0)</f>
        <v>1520</v>
      </c>
      <c r="U96" s="156" t="str">
        <f>+VLOOKUP($L96,Data_Validation!$A:$D,3,0)</f>
        <v>Bilan</v>
      </c>
      <c r="V96" s="156" t="str">
        <f>+VLOOKUP($L96,Data_Validation!$A:$D,4,0)</f>
        <v>Frais Payés d'Avance</v>
      </c>
      <c r="W96" s="156" t="str">
        <f>+VLOOKUP($L96,Data_Validation!$A:$E,5,0)</f>
        <v>$</v>
      </c>
      <c r="X96" s="156">
        <f>+VLOOKUP($L96,Data_Validation!$A:$F,6,0)</f>
        <v>0</v>
      </c>
    </row>
    <row r="97" spans="1:24" ht="15" hidden="1" customHeight="1">
      <c r="A97" s="1013" t="s">
        <v>2181</v>
      </c>
      <c r="B97" s="1013" t="s">
        <v>2182</v>
      </c>
      <c r="C97" s="1015">
        <v>0</v>
      </c>
      <c r="D97" s="1015">
        <v>1769.3</v>
      </c>
      <c r="E97" s="1015">
        <v>1769.3</v>
      </c>
      <c r="F97" s="1013" t="s">
        <v>293</v>
      </c>
      <c r="G97" s="1013" t="s">
        <v>2106</v>
      </c>
      <c r="H97" s="949"/>
      <c r="I97" s="948"/>
      <c r="J97" s="948"/>
      <c r="K97" s="948"/>
      <c r="L97" s="153" t="str">
        <f t="shared" si="5"/>
        <v>1532</v>
      </c>
      <c r="M97" s="579" t="str">
        <f t="shared" si="6"/>
        <v>FPA C.C.A.M.Q.</v>
      </c>
      <c r="N97" s="155">
        <f>+IF(OR($Q97=Parametres!$G$2,$Q97=Parametres!$G$3),I97,C97)</f>
        <v>0</v>
      </c>
      <c r="O97" s="580">
        <f>+IF(OR($Q97=Parametres!$G$2,$Q97=Parametres!$G$3),J97,D97)</f>
        <v>1769.3</v>
      </c>
      <c r="P97" s="581">
        <f>+IF(OR($Q97=Parametres!$G$2,$Q97=Parametres!$G$3),K97,E97)</f>
        <v>1769.3</v>
      </c>
      <c r="Q97" s="154" t="str">
        <f t="shared" si="7"/>
        <v>2-Actifs</v>
      </c>
      <c r="R97" s="153" t="str">
        <f t="shared" si="8"/>
        <v>1500</v>
      </c>
      <c r="S97" s="154">
        <f t="shared" si="9"/>
        <v>0</v>
      </c>
      <c r="T97" s="156" t="str">
        <f>+VLOOKUP($L97,Data_Validation!$A:$D,1,0)</f>
        <v>1532</v>
      </c>
      <c r="U97" s="156" t="str">
        <f>+VLOOKUP($L97,Data_Validation!$A:$D,3,0)</f>
        <v>Bilan</v>
      </c>
      <c r="V97" s="156" t="str">
        <f>+VLOOKUP($L97,Data_Validation!$A:$D,4,0)</f>
        <v>Frais Payés d'Avance</v>
      </c>
      <c r="W97" s="156" t="str">
        <f>+VLOOKUP($L97,Data_Validation!$A:$E,5,0)</f>
        <v>$</v>
      </c>
      <c r="X97" s="156">
        <f>+VLOOKUP($L97,Data_Validation!$A:$F,6,0)</f>
        <v>0</v>
      </c>
    </row>
    <row r="98" spans="1:24" ht="15" hidden="1" customHeight="1">
      <c r="A98" s="1013" t="s">
        <v>2199</v>
      </c>
      <c r="B98" s="1013" t="s">
        <v>2200</v>
      </c>
      <c r="C98" s="1015">
        <v>0</v>
      </c>
      <c r="D98" s="1015">
        <v>-65</v>
      </c>
      <c r="E98" s="1015">
        <v>-65</v>
      </c>
      <c r="F98" s="1013" t="s">
        <v>293</v>
      </c>
      <c r="G98" s="1013" t="s">
        <v>2106</v>
      </c>
      <c r="H98" s="150"/>
      <c r="I98" s="151"/>
      <c r="J98" s="151"/>
      <c r="K98" s="151"/>
      <c r="L98" s="153" t="str">
        <f t="shared" si="5"/>
        <v>1534</v>
      </c>
      <c r="M98" s="154" t="str">
        <f t="shared" si="6"/>
        <v>FPA FOURNITURES LAVAGE</v>
      </c>
      <c r="N98" s="155">
        <f>+IF(OR($Q98=Parametres!$G$2,$Q98=Parametres!$G$3),I98,C98)</f>
        <v>0</v>
      </c>
      <c r="O98" s="155">
        <f>+IF(OR($Q98=Parametres!$G$2,$Q98=Parametres!$G$3),J98,D98)</f>
        <v>-65</v>
      </c>
      <c r="P98" s="155">
        <f>+IF(OR($Q98=Parametres!$G$2,$Q98=Parametres!$G$3),K98,E98)</f>
        <v>-65</v>
      </c>
      <c r="Q98" s="154" t="str">
        <f t="shared" si="7"/>
        <v>2-Actifs</v>
      </c>
      <c r="R98" s="153" t="str">
        <f t="shared" si="8"/>
        <v>1500</v>
      </c>
      <c r="S98" s="154">
        <f t="shared" si="9"/>
        <v>0</v>
      </c>
      <c r="T98" s="156" t="str">
        <f>+VLOOKUP($L98,Data_Validation!$A:$D,1,0)</f>
        <v>1534</v>
      </c>
      <c r="U98" s="156" t="str">
        <f>+VLOOKUP($L98,Data_Validation!$A:$D,3,0)</f>
        <v>Bilan</v>
      </c>
      <c r="V98" s="156" t="str">
        <f>+VLOOKUP($L98,Data_Validation!$A:$D,4,0)</f>
        <v>Frais Payés d'Avance</v>
      </c>
      <c r="W98" s="156" t="str">
        <f>+VLOOKUP($L98,Data_Validation!$A:$E,5,0)</f>
        <v>$</v>
      </c>
      <c r="X98" s="156">
        <f>+VLOOKUP($L98,Data_Validation!$A:$F,6,0)</f>
        <v>0</v>
      </c>
    </row>
    <row r="99" spans="1:24" ht="15.75" hidden="1" customHeight="1">
      <c r="A99" s="1013" t="s">
        <v>2785</v>
      </c>
      <c r="B99" s="1013" t="s">
        <v>2786</v>
      </c>
      <c r="C99" s="1015">
        <v>0</v>
      </c>
      <c r="D99" s="1015">
        <v>3270.37</v>
      </c>
      <c r="E99" s="1015">
        <v>3270.37</v>
      </c>
      <c r="F99" s="1013" t="s">
        <v>293</v>
      </c>
      <c r="G99" s="1013" t="s">
        <v>2106</v>
      </c>
      <c r="H99" s="150"/>
      <c r="I99" s="157"/>
      <c r="J99" s="157"/>
      <c r="K99" s="157"/>
      <c r="L99" s="153" t="str">
        <f t="shared" si="5"/>
        <v>1540</v>
      </c>
      <c r="M99" s="154" t="str">
        <f t="shared" si="6"/>
        <v>FPA CONTRATS DE SERVICES</v>
      </c>
      <c r="N99" s="155">
        <f>+IF(OR($Q99=Parametres!$G$2,$Q99=Parametres!$G$3),I99,C99)</f>
        <v>0</v>
      </c>
      <c r="O99" s="155">
        <f>+IF(OR($Q99=Parametres!$G$2,$Q99=Parametres!$G$3),J99,D99)</f>
        <v>3270.37</v>
      </c>
      <c r="P99" s="155">
        <f>+IF(OR($Q99=Parametres!$G$2,$Q99=Parametres!$G$3),K99,E99)</f>
        <v>3270.37</v>
      </c>
      <c r="Q99" s="154" t="str">
        <f t="shared" si="7"/>
        <v>2-Actifs</v>
      </c>
      <c r="R99" s="153" t="str">
        <f t="shared" si="8"/>
        <v>1500</v>
      </c>
      <c r="S99" s="154">
        <f t="shared" si="9"/>
        <v>0</v>
      </c>
      <c r="T99" s="156" t="str">
        <f>+VLOOKUP($L99,Data_Validation!$A:$D,1,0)</f>
        <v>1540</v>
      </c>
      <c r="U99" s="156" t="str">
        <f>+VLOOKUP($L99,Data_Validation!$A:$D,3,0)</f>
        <v>Bilan</v>
      </c>
      <c r="V99" s="156" t="str">
        <f>+VLOOKUP($L99,Data_Validation!$A:$D,4,0)</f>
        <v>Frais Payés d'Avance</v>
      </c>
      <c r="W99" s="156" t="str">
        <f>+VLOOKUP($L99,Data_Validation!$A:$E,5,0)</f>
        <v>$</v>
      </c>
      <c r="X99" s="156">
        <f>+VLOOKUP($L99,Data_Validation!$A:$F,6,0)</f>
        <v>0</v>
      </c>
    </row>
    <row r="100" spans="1:24" ht="15" hidden="1" customHeight="1">
      <c r="A100" s="1013" t="s">
        <v>2201</v>
      </c>
      <c r="B100" s="1013" t="s">
        <v>2202</v>
      </c>
      <c r="C100" s="1015">
        <v>-3525.13</v>
      </c>
      <c r="D100" s="1015">
        <v>0</v>
      </c>
      <c r="E100" s="1015">
        <v>-3525.13</v>
      </c>
      <c r="F100" s="1013" t="s">
        <v>293</v>
      </c>
      <c r="G100" s="1013" t="s">
        <v>2106</v>
      </c>
      <c r="H100" s="150"/>
      <c r="I100" s="157"/>
      <c r="J100" s="157"/>
      <c r="K100" s="157"/>
      <c r="L100" s="153" t="str">
        <f t="shared" si="5"/>
        <v>1544</v>
      </c>
      <c r="M100" s="154" t="str">
        <f t="shared" si="6"/>
        <v>FPA GAZ METROPOLITAIN</v>
      </c>
      <c r="N100" s="155">
        <f>+IF(OR($Q100=Parametres!$G$2,$Q100=Parametres!$G$3),I100,C100)</f>
        <v>-3525.13</v>
      </c>
      <c r="O100" s="155">
        <f>+IF(OR($Q100=Parametres!$G$2,$Q100=Parametres!$G$3),J100,D100)</f>
        <v>0</v>
      </c>
      <c r="P100" s="155">
        <f>+IF(OR($Q100=Parametres!$G$2,$Q100=Parametres!$G$3),K100,E100)</f>
        <v>-3525.13</v>
      </c>
      <c r="Q100" s="154" t="str">
        <f t="shared" si="7"/>
        <v>2-Actifs</v>
      </c>
      <c r="R100" s="153" t="str">
        <f t="shared" si="8"/>
        <v>1500</v>
      </c>
      <c r="S100" s="154">
        <f t="shared" si="9"/>
        <v>0</v>
      </c>
      <c r="T100" s="156" t="str">
        <f>+VLOOKUP($L100,Data_Validation!$A:$D,1,0)</f>
        <v>1544</v>
      </c>
      <c r="U100" s="156" t="str">
        <f>+VLOOKUP($L100,Data_Validation!$A:$D,3,0)</f>
        <v>Bilan</v>
      </c>
      <c r="V100" s="156" t="str">
        <f>+VLOOKUP($L100,Data_Validation!$A:$D,4,0)</f>
        <v>Autres Courus</v>
      </c>
      <c r="W100" s="156" t="str">
        <f>+VLOOKUP($L100,Data_Validation!$A:$E,5,0)</f>
        <v>$</v>
      </c>
      <c r="X100" s="156">
        <f>+VLOOKUP($L100,Data_Validation!$A:$F,6,0)</f>
        <v>0</v>
      </c>
    </row>
    <row r="101" spans="1:24" ht="15" hidden="1" customHeight="1">
      <c r="A101" s="1013" t="s">
        <v>2186</v>
      </c>
      <c r="B101" s="1013" t="s">
        <v>2187</v>
      </c>
      <c r="C101" s="1015">
        <v>196.38</v>
      </c>
      <c r="D101" s="1015">
        <v>-196.38</v>
      </c>
      <c r="E101" s="1015">
        <v>0</v>
      </c>
      <c r="F101" s="1013" t="s">
        <v>293</v>
      </c>
      <c r="G101" s="1013" t="s">
        <v>2106</v>
      </c>
      <c r="H101" s="949"/>
      <c r="I101" s="948"/>
      <c r="J101" s="948"/>
      <c r="K101" s="948"/>
      <c r="L101" s="153" t="str">
        <f t="shared" si="5"/>
        <v>1546</v>
      </c>
      <c r="M101" s="154" t="str">
        <f t="shared" si="6"/>
        <v>FPA ELECTRICITE HYDRO-QUEBEC</v>
      </c>
      <c r="N101" s="155">
        <f>+IF(OR($Q101=Parametres!$G$2,$Q101=Parametres!$G$3),I101,C101)</f>
        <v>196.38</v>
      </c>
      <c r="O101" s="155">
        <f>+IF(OR($Q101=Parametres!$G$2,$Q101=Parametres!$G$3),J101,D101)</f>
        <v>-196.38</v>
      </c>
      <c r="P101" s="155">
        <f>+IF(OR($Q101=Parametres!$G$2,$Q101=Parametres!$G$3),K101,E101)</f>
        <v>0</v>
      </c>
      <c r="Q101" s="154" t="str">
        <f t="shared" si="7"/>
        <v>2-Actifs</v>
      </c>
      <c r="R101" s="153" t="str">
        <f t="shared" si="8"/>
        <v>1500</v>
      </c>
      <c r="S101" s="154">
        <f t="shared" si="9"/>
        <v>0</v>
      </c>
      <c r="T101" s="156" t="str">
        <f>+VLOOKUP($L101,Data_Validation!$A:$D,1,0)</f>
        <v>1546</v>
      </c>
      <c r="U101" s="156" t="str">
        <f>+VLOOKUP($L101,Data_Validation!$A:$D,3,0)</f>
        <v>Bilan</v>
      </c>
      <c r="V101" s="156" t="str">
        <f>+VLOOKUP($L101,Data_Validation!$A:$D,4,0)</f>
        <v>Autres Courus</v>
      </c>
      <c r="W101" s="156" t="str">
        <f>+VLOOKUP($L101,Data_Validation!$A:$E,5,0)</f>
        <v>$</v>
      </c>
      <c r="X101" s="156">
        <f>+VLOOKUP($L101,Data_Validation!$A:$F,6,0)</f>
        <v>0</v>
      </c>
    </row>
    <row r="102" spans="1:24" ht="15" hidden="1" customHeight="1">
      <c r="A102" s="1013" t="s">
        <v>2122</v>
      </c>
      <c r="B102" s="1013" t="s">
        <v>2123</v>
      </c>
      <c r="C102" s="1015">
        <v>8338.98</v>
      </c>
      <c r="D102" s="1015">
        <v>-8544.2199999999993</v>
      </c>
      <c r="E102" s="1015">
        <v>-205.24</v>
      </c>
      <c r="F102" s="1013" t="s">
        <v>293</v>
      </c>
      <c r="G102" s="1013" t="s">
        <v>2106</v>
      </c>
      <c r="H102" s="949"/>
      <c r="I102" s="948"/>
      <c r="J102" s="948"/>
      <c r="K102" s="948"/>
      <c r="L102" s="153" t="str">
        <f t="shared" si="5"/>
        <v>1552</v>
      </c>
      <c r="M102" s="154" t="str">
        <f t="shared" si="6"/>
        <v>FPA C.S.S.T.</v>
      </c>
      <c r="N102" s="155">
        <f>+IF(OR($Q102=Parametres!$G$2,$Q102=Parametres!$G$3),I102,C102)</f>
        <v>8338.98</v>
      </c>
      <c r="O102" s="155">
        <f>+IF(OR($Q102=Parametres!$G$2,$Q102=Parametres!$G$3),J102,D102)</f>
        <v>-8544.2199999999993</v>
      </c>
      <c r="P102" s="155">
        <f>+IF(OR($Q102=Parametres!$G$2,$Q102=Parametres!$G$3),K102,E102)</f>
        <v>-205.24</v>
      </c>
      <c r="Q102" s="154" t="str">
        <f t="shared" si="7"/>
        <v>2-Actifs</v>
      </c>
      <c r="R102" s="153" t="str">
        <f t="shared" si="8"/>
        <v>1500</v>
      </c>
      <c r="S102" s="154">
        <f t="shared" si="9"/>
        <v>0</v>
      </c>
      <c r="T102" s="156" t="str">
        <f>+VLOOKUP($L102,Data_Validation!$A:$D,1,0)</f>
        <v>1552</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013" t="s">
        <v>2116</v>
      </c>
      <c r="B103" s="1013" t="s">
        <v>2117</v>
      </c>
      <c r="C103" s="1015">
        <v>6978.91</v>
      </c>
      <c r="D103" s="1015">
        <v>-7699.3</v>
      </c>
      <c r="E103" s="1015">
        <v>-720.39</v>
      </c>
      <c r="F103" s="1013" t="s">
        <v>293</v>
      </c>
      <c r="G103" s="1013" t="s">
        <v>2106</v>
      </c>
      <c r="H103" s="150"/>
      <c r="I103" s="157"/>
      <c r="J103" s="157"/>
      <c r="K103" s="157"/>
      <c r="L103" s="153" t="str">
        <f t="shared" si="5"/>
        <v>1582</v>
      </c>
      <c r="M103" s="154" t="str">
        <f t="shared" si="6"/>
        <v>FPA TAXES MUNICIPALES</v>
      </c>
      <c r="N103" s="155">
        <f>+IF(OR($Q103=Parametres!$G$2,$Q103=Parametres!$G$3),I103,C103)</f>
        <v>6978.91</v>
      </c>
      <c r="O103" s="155">
        <f>+IF(OR($Q103=Parametres!$G$2,$Q103=Parametres!$G$3),J103,D103)</f>
        <v>-7699.3</v>
      </c>
      <c r="P103" s="155">
        <f>+IF(OR($Q103=Parametres!$G$2,$Q103=Parametres!$G$3),K103,E103)</f>
        <v>-720.39</v>
      </c>
      <c r="Q103" s="154" t="str">
        <f t="shared" si="7"/>
        <v>2-Actifs</v>
      </c>
      <c r="R103" s="153" t="str">
        <f t="shared" si="8"/>
        <v>1500</v>
      </c>
      <c r="S103" s="154">
        <f t="shared" si="9"/>
        <v>0</v>
      </c>
      <c r="T103" s="156" t="str">
        <f>+VLOOKUP($L103,Data_Validation!$A:$D,1,0)</f>
        <v>1582</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3" t="s">
        <v>2177</v>
      </c>
      <c r="B104" s="1013" t="s">
        <v>2178</v>
      </c>
      <c r="C104" s="1015">
        <v>1378.6</v>
      </c>
      <c r="D104" s="1015">
        <v>-310.7</v>
      </c>
      <c r="E104" s="1015">
        <v>1067.9000000000001</v>
      </c>
      <c r="F104" s="1013" t="s">
        <v>293</v>
      </c>
      <c r="G104" s="1013" t="s">
        <v>2106</v>
      </c>
      <c r="H104" s="949"/>
      <c r="I104" s="948"/>
      <c r="J104" s="948"/>
      <c r="K104" s="948"/>
      <c r="L104" s="153" t="str">
        <f t="shared" si="5"/>
        <v>1586</v>
      </c>
      <c r="M104" s="579" t="str">
        <f t="shared" si="6"/>
        <v>FPA TAXES SCOLAIRES</v>
      </c>
      <c r="N104" s="155">
        <f>+IF(OR($Q104=Parametres!$G$2,$Q104=Parametres!$G$3),I104,C104)</f>
        <v>1378.6</v>
      </c>
      <c r="O104" s="580">
        <f>+IF(OR($Q104=Parametres!$G$2,$Q104=Parametres!$G$3),J104,D104)</f>
        <v>-310.7</v>
      </c>
      <c r="P104" s="581">
        <f>+IF(OR($Q104=Parametres!$G$2,$Q104=Parametres!$G$3),K104,E104)</f>
        <v>1067.9000000000001</v>
      </c>
      <c r="Q104" s="154" t="str">
        <f t="shared" si="7"/>
        <v>2-Actifs</v>
      </c>
      <c r="R104" s="153" t="str">
        <f t="shared" si="8"/>
        <v>1500</v>
      </c>
      <c r="S104" s="154">
        <f t="shared" si="9"/>
        <v>0</v>
      </c>
      <c r="T104" s="156" t="str">
        <f>+VLOOKUP($L104,Data_Validation!$A:$D,1,0)</f>
        <v>1586</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3" t="s">
        <v>2803</v>
      </c>
      <c r="B105" s="1013" t="s">
        <v>2804</v>
      </c>
      <c r="C105" s="1015">
        <v>40525.870000000003</v>
      </c>
      <c r="D105" s="1015">
        <v>78808.66</v>
      </c>
      <c r="E105" s="1015">
        <v>119334.53</v>
      </c>
      <c r="F105" s="1013" t="s">
        <v>293</v>
      </c>
      <c r="G105" s="1013" t="s">
        <v>2106</v>
      </c>
      <c r="H105" s="949"/>
      <c r="I105" s="948"/>
      <c r="J105" s="948"/>
      <c r="K105" s="948"/>
      <c r="L105" s="153" t="str">
        <f t="shared" si="5"/>
        <v>1592</v>
      </c>
      <c r="M105" s="154" t="str">
        <f t="shared" si="6"/>
        <v>FPA AUTRES</v>
      </c>
      <c r="N105" s="155">
        <f>+IF(OR($Q105=Parametres!$G$2,$Q105=Parametres!$G$3),I105,C105)</f>
        <v>40525.870000000003</v>
      </c>
      <c r="O105" s="575">
        <f>+IF(OR($Q105=Parametres!$G$2,$Q105=Parametres!$G$3),J105,D105)</f>
        <v>78808.66</v>
      </c>
      <c r="P105" s="155">
        <f>+IF(OR($Q105=Parametres!$G$2,$Q105=Parametres!$G$3),K105,E105)</f>
        <v>119334.53</v>
      </c>
      <c r="Q105" s="154" t="str">
        <f t="shared" si="7"/>
        <v>2-Actifs</v>
      </c>
      <c r="R105" s="153" t="str">
        <f t="shared" si="8"/>
        <v>1500</v>
      </c>
      <c r="S105" s="154">
        <f t="shared" si="9"/>
        <v>0</v>
      </c>
      <c r="T105" s="156" t="str">
        <f>+VLOOKUP($L105,Data_Validation!$A:$D,1,0)</f>
        <v>1592</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3" t="s">
        <v>2400</v>
      </c>
      <c r="B106" s="1013" t="s">
        <v>2401</v>
      </c>
      <c r="C106" s="1015">
        <v>96990.28</v>
      </c>
      <c r="D106" s="1015">
        <v>0</v>
      </c>
      <c r="E106" s="1015">
        <v>96990.28</v>
      </c>
      <c r="F106" s="1013" t="s">
        <v>293</v>
      </c>
      <c r="G106" s="1013" t="s">
        <v>2128</v>
      </c>
      <c r="H106" s="949"/>
      <c r="I106" s="948"/>
      <c r="J106" s="948"/>
      <c r="K106" s="948"/>
      <c r="L106" s="153" t="str">
        <f t="shared" si="5"/>
        <v>1732</v>
      </c>
      <c r="M106" s="154" t="str">
        <f t="shared" si="6"/>
        <v>AMELIOR. LOCATIVES</v>
      </c>
      <c r="N106" s="155">
        <f>+IF(OR($Q106=Parametres!$G$2,$Q106=Parametres!$G$3),I106,C106)</f>
        <v>96990.28</v>
      </c>
      <c r="O106" s="575">
        <f>+IF(OR($Q106=Parametres!$G$2,$Q106=Parametres!$G$3),J106,D106)</f>
        <v>0</v>
      </c>
      <c r="P106" s="155">
        <f>+IF(OR($Q106=Parametres!$G$2,$Q106=Parametres!$G$3),K106,E106)</f>
        <v>96990.28</v>
      </c>
      <c r="Q106" s="154" t="str">
        <f t="shared" si="7"/>
        <v>2-Actifs</v>
      </c>
      <c r="R106" s="153" t="str">
        <f t="shared" si="8"/>
        <v>1700</v>
      </c>
      <c r="S106" s="154">
        <f t="shared" si="9"/>
        <v>0</v>
      </c>
      <c r="T106" s="156" t="str">
        <f>+VLOOKUP($L106,Data_Validation!$A:$D,1,0)</f>
        <v>1732</v>
      </c>
      <c r="U106" s="156" t="str">
        <f>+VLOOKUP($L106,Data_Validation!$A:$D,3,0)</f>
        <v>Bilan</v>
      </c>
      <c r="V106" s="156" t="str">
        <f>+VLOOKUP($L106,Data_Validation!$A:$D,4,0)</f>
        <v>Améliorations Locatives</v>
      </c>
      <c r="W106" s="156" t="str">
        <f>+VLOOKUP($L106,Data_Validation!$A:$E,5,0)</f>
        <v>$</v>
      </c>
      <c r="X106" s="156">
        <f>+VLOOKUP($L106,Data_Validation!$A:$F,6,0)</f>
        <v>0</v>
      </c>
    </row>
    <row r="107" spans="1:24" ht="15" hidden="1" customHeight="1">
      <c r="A107" s="1013" t="s">
        <v>2156</v>
      </c>
      <c r="B107" s="1013" t="s">
        <v>2157</v>
      </c>
      <c r="C107" s="1015">
        <v>-97750.97</v>
      </c>
      <c r="D107" s="1015">
        <v>-1730</v>
      </c>
      <c r="E107" s="1015">
        <v>-99480.97</v>
      </c>
      <c r="F107" s="1013" t="s">
        <v>293</v>
      </c>
      <c r="G107" s="1013" t="s">
        <v>2128</v>
      </c>
      <c r="H107" s="949"/>
      <c r="I107" s="948"/>
      <c r="J107" s="948"/>
      <c r="K107" s="948"/>
      <c r="L107" s="153" t="str">
        <f t="shared" si="5"/>
        <v>1733</v>
      </c>
      <c r="M107" s="154" t="str">
        <f t="shared" si="6"/>
        <v>AMORT. CUM. AMEL. LOCAT.</v>
      </c>
      <c r="N107" s="155">
        <f>+IF(OR($Q107=Parametres!$G$2,$Q107=Parametres!$G$3),I107,C107)</f>
        <v>-97750.97</v>
      </c>
      <c r="O107" s="155">
        <f>+IF(OR($Q107=Parametres!$G$2,$Q107=Parametres!$G$3),J107,D107)</f>
        <v>-1730</v>
      </c>
      <c r="P107" s="155">
        <f>+IF(OR($Q107=Parametres!$G$2,$Q107=Parametres!$G$3),K107,E107)</f>
        <v>-99480.97</v>
      </c>
      <c r="Q107" s="154" t="str">
        <f t="shared" si="7"/>
        <v>2-Actifs</v>
      </c>
      <c r="R107" s="153" t="str">
        <f t="shared" si="8"/>
        <v>1700</v>
      </c>
      <c r="S107" s="154">
        <f t="shared" si="9"/>
        <v>0</v>
      </c>
      <c r="T107" s="156" t="str">
        <f>+VLOOKUP($L107,Data_Validation!$A:$D,1,0)</f>
        <v>1733</v>
      </c>
      <c r="U107" s="156" t="str">
        <f>+VLOOKUP($L107,Data_Validation!$A:$D,3,0)</f>
        <v>Bilan</v>
      </c>
      <c r="V107" s="156" t="str">
        <f>+VLOOKUP($L107,Data_Validation!$A:$D,4,0)</f>
        <v>Améliorations Locatives</v>
      </c>
      <c r="W107" s="156" t="str">
        <f>+VLOOKUP($L107,Data_Validation!$A:$E,5,0)</f>
        <v>$</v>
      </c>
      <c r="X107" s="156">
        <f>+VLOOKUP($L107,Data_Validation!$A:$F,6,0)</f>
        <v>0</v>
      </c>
    </row>
    <row r="108" spans="1:24" ht="15" hidden="1" customHeight="1">
      <c r="A108" s="1013" t="s">
        <v>2402</v>
      </c>
      <c r="B108" s="1013" t="s">
        <v>2403</v>
      </c>
      <c r="C108" s="1015">
        <v>942882.53</v>
      </c>
      <c r="D108" s="1015">
        <v>0</v>
      </c>
      <c r="E108" s="1015">
        <v>942882.53</v>
      </c>
      <c r="F108" s="1013" t="s">
        <v>293</v>
      </c>
      <c r="G108" s="1013" t="s">
        <v>2128</v>
      </c>
      <c r="H108" s="150"/>
      <c r="I108" s="157"/>
      <c r="J108" s="157"/>
      <c r="K108" s="157"/>
      <c r="L108" s="153" t="str">
        <f t="shared" si="5"/>
        <v>1742</v>
      </c>
      <c r="M108" s="154" t="str">
        <f t="shared" si="6"/>
        <v>MACHINERIE &amp; EQUIPEMENT</v>
      </c>
      <c r="N108" s="155">
        <f>+IF(OR($Q108=Parametres!$G$2,$Q108=Parametres!$G$3),I108,C108)</f>
        <v>942882.53</v>
      </c>
      <c r="O108" s="155">
        <f>+IF(OR($Q108=Parametres!$G$2,$Q108=Parametres!$G$3),J108,D108)</f>
        <v>0</v>
      </c>
      <c r="P108" s="155">
        <f>+IF(OR($Q108=Parametres!$G$2,$Q108=Parametres!$G$3),K108,E108)</f>
        <v>942882.53</v>
      </c>
      <c r="Q108" s="154" t="str">
        <f t="shared" si="7"/>
        <v>2-Actifs</v>
      </c>
      <c r="R108" s="153" t="str">
        <f t="shared" si="8"/>
        <v>1700</v>
      </c>
      <c r="S108" s="154">
        <f t="shared" si="9"/>
        <v>0</v>
      </c>
      <c r="T108" s="156" t="str">
        <f>+VLOOKUP($L108,Data_Validation!$A:$D,1,0)</f>
        <v>1742</v>
      </c>
      <c r="U108" s="156" t="str">
        <f>+VLOOKUP($L108,Data_Validation!$A:$D,3,0)</f>
        <v>Bilan</v>
      </c>
      <c r="V108" s="156" t="str">
        <f>+VLOOKUP($L108,Data_Validation!$A:$D,4,0)</f>
        <v>Équipements Service</v>
      </c>
      <c r="W108" s="156" t="str">
        <f>+VLOOKUP($L108,Data_Validation!$A:$E,5,0)</f>
        <v>$</v>
      </c>
      <c r="X108" s="156">
        <f>+VLOOKUP($L108,Data_Validation!$A:$F,6,0)</f>
        <v>0</v>
      </c>
    </row>
    <row r="109" spans="1:24" ht="15.75" hidden="1" customHeight="1">
      <c r="A109" s="1013" t="s">
        <v>2126</v>
      </c>
      <c r="B109" s="1013" t="s">
        <v>2127</v>
      </c>
      <c r="C109" s="1015">
        <v>-761666.84</v>
      </c>
      <c r="D109" s="1015">
        <v>-3972</v>
      </c>
      <c r="E109" s="1015">
        <v>-765638.84</v>
      </c>
      <c r="F109" s="1013" t="s">
        <v>293</v>
      </c>
      <c r="G109" s="1013" t="s">
        <v>2128</v>
      </c>
      <c r="H109" s="150"/>
      <c r="I109" s="157"/>
      <c r="J109" s="157"/>
      <c r="K109" s="157"/>
      <c r="L109" s="153" t="str">
        <f t="shared" si="5"/>
        <v>1743</v>
      </c>
      <c r="M109" s="154" t="str">
        <f t="shared" si="6"/>
        <v>AMORTISS.MACHINERIE &amp; EQUIP.</v>
      </c>
      <c r="N109" s="155">
        <f>+IF(OR($Q109=Parametres!$G$2,$Q109=Parametres!$G$3),I109,C109)</f>
        <v>-761666.84</v>
      </c>
      <c r="O109" s="575">
        <f>+IF(OR($Q109=Parametres!$G$2,$Q109=Parametres!$G$3),J109,D109)</f>
        <v>-3972</v>
      </c>
      <c r="P109" s="155">
        <f>+IF(OR($Q109=Parametres!$G$2,$Q109=Parametres!$G$3),K109,E109)</f>
        <v>-765638.84</v>
      </c>
      <c r="Q109" s="154" t="str">
        <f t="shared" si="7"/>
        <v>2-Actifs</v>
      </c>
      <c r="R109" s="153" t="str">
        <f t="shared" si="8"/>
        <v>1700</v>
      </c>
      <c r="S109" s="154">
        <f t="shared" si="9"/>
        <v>0</v>
      </c>
      <c r="T109" s="156" t="str">
        <f>+VLOOKUP($L109,Data_Validation!$A:$D,1,0)</f>
        <v>1743</v>
      </c>
      <c r="U109" s="156" t="str">
        <f>+VLOOKUP($L109,Data_Validation!$A:$D,3,0)</f>
        <v>Bilan</v>
      </c>
      <c r="V109" s="156" t="str">
        <f>+VLOOKUP($L109,Data_Validation!$A:$D,4,0)</f>
        <v>Équipements Service</v>
      </c>
      <c r="W109" s="156" t="str">
        <f>+VLOOKUP($L109,Data_Validation!$A:$E,5,0)</f>
        <v>$</v>
      </c>
      <c r="X109" s="156">
        <f>+VLOOKUP($L109,Data_Validation!$A:$F,6,0)</f>
        <v>0</v>
      </c>
    </row>
    <row r="110" spans="1:24" ht="15" hidden="1" customHeight="1">
      <c r="A110" s="1013" t="s">
        <v>2404</v>
      </c>
      <c r="B110" s="1013" t="s">
        <v>2405</v>
      </c>
      <c r="C110" s="1015">
        <v>47461.59</v>
      </c>
      <c r="D110" s="1015">
        <v>0</v>
      </c>
      <c r="E110" s="1015">
        <v>47461.59</v>
      </c>
      <c r="F110" s="1013" t="s">
        <v>293</v>
      </c>
      <c r="G110" s="1013" t="s">
        <v>2128</v>
      </c>
      <c r="H110" s="150"/>
      <c r="I110" s="157"/>
      <c r="J110" s="157"/>
      <c r="K110" s="157"/>
      <c r="L110" s="153" t="str">
        <f t="shared" si="5"/>
        <v>1744</v>
      </c>
      <c r="M110" s="154" t="str">
        <f t="shared" si="6"/>
        <v>EQUIPEMENT PIECES</v>
      </c>
      <c r="N110" s="155">
        <f>+IF(OR($Q110=Parametres!$G$2,$Q110=Parametres!$G$3),I110,C110)</f>
        <v>47461.59</v>
      </c>
      <c r="O110" s="155">
        <f>+IF(OR($Q110=Parametres!$G$2,$Q110=Parametres!$G$3),J110,D110)</f>
        <v>0</v>
      </c>
      <c r="P110" s="155">
        <f>+IF(OR($Q110=Parametres!$G$2,$Q110=Parametres!$G$3),K110,E110)</f>
        <v>47461.59</v>
      </c>
      <c r="Q110" s="154" t="str">
        <f t="shared" si="7"/>
        <v>2-Actifs</v>
      </c>
      <c r="R110" s="153" t="str">
        <f t="shared" si="8"/>
        <v>1700</v>
      </c>
      <c r="S110" s="154">
        <f t="shared" si="9"/>
        <v>0</v>
      </c>
      <c r="T110" s="156" t="str">
        <f>+VLOOKUP($L110,Data_Validation!$A:$D,1,0)</f>
        <v>1744</v>
      </c>
      <c r="U110" s="156" t="str">
        <f>+VLOOKUP($L110,Data_Validation!$A:$D,3,0)</f>
        <v>Bilan</v>
      </c>
      <c r="V110" s="156" t="str">
        <f>+VLOOKUP($L110,Data_Validation!$A:$D,4,0)</f>
        <v>Équipements Service</v>
      </c>
      <c r="W110" s="156" t="str">
        <f>+VLOOKUP($L110,Data_Validation!$A:$E,5,0)</f>
        <v>$</v>
      </c>
      <c r="X110" s="156">
        <f>+VLOOKUP($L110,Data_Validation!$A:$F,6,0)</f>
        <v>0</v>
      </c>
    </row>
    <row r="111" spans="1:24" ht="15" hidden="1" customHeight="1">
      <c r="A111" s="1013" t="s">
        <v>2197</v>
      </c>
      <c r="B111" s="1013" t="s">
        <v>2198</v>
      </c>
      <c r="C111" s="1015">
        <v>-47653.48</v>
      </c>
      <c r="D111" s="1015">
        <v>-180</v>
      </c>
      <c r="E111" s="1015">
        <v>-47833.48</v>
      </c>
      <c r="F111" s="1013" t="s">
        <v>293</v>
      </c>
      <c r="G111" s="1013" t="s">
        <v>2128</v>
      </c>
      <c r="H111" s="150"/>
      <c r="I111" s="151"/>
      <c r="J111" s="151"/>
      <c r="K111" s="151"/>
      <c r="L111" s="153" t="str">
        <f t="shared" si="5"/>
        <v>1745</v>
      </c>
      <c r="M111" s="154" t="str">
        <f t="shared" si="6"/>
        <v>AMORTISS.EQUIPEMENTS PIECES</v>
      </c>
      <c r="N111" s="155">
        <f>+IF(OR($Q111=Parametres!$G$2,$Q111=Parametres!$G$3),I111,C111)</f>
        <v>-47653.48</v>
      </c>
      <c r="O111" s="155">
        <f>+IF(OR($Q111=Parametres!$G$2,$Q111=Parametres!$G$3),J111,D111)</f>
        <v>-180</v>
      </c>
      <c r="P111" s="155">
        <f>+IF(OR($Q111=Parametres!$G$2,$Q111=Parametres!$G$3),K111,E111)</f>
        <v>-47833.48</v>
      </c>
      <c r="Q111" s="154" t="str">
        <f t="shared" si="7"/>
        <v>2-Actifs</v>
      </c>
      <c r="R111" s="153" t="str">
        <f t="shared" si="8"/>
        <v>1700</v>
      </c>
      <c r="S111" s="154">
        <f t="shared" si="9"/>
        <v>0</v>
      </c>
      <c r="T111" s="156" t="str">
        <f>+VLOOKUP($L111,Data_Validation!$A:$D,1,0)</f>
        <v>1745</v>
      </c>
      <c r="U111" s="156" t="str">
        <f>+VLOOKUP($L111,Data_Validation!$A:$D,3,0)</f>
        <v>Bilan</v>
      </c>
      <c r="V111" s="156" t="str">
        <f>+VLOOKUP($L111,Data_Validation!$A:$D,4,0)</f>
        <v>Équipements Service</v>
      </c>
      <c r="W111" s="156" t="str">
        <f>+VLOOKUP($L111,Data_Validation!$A:$E,5,0)</f>
        <v>$</v>
      </c>
      <c r="X111" s="156">
        <f>+VLOOKUP($L111,Data_Validation!$A:$F,6,0)</f>
        <v>0</v>
      </c>
    </row>
    <row r="112" spans="1:24" ht="15" hidden="1" customHeight="1">
      <c r="A112" s="1013" t="s">
        <v>2406</v>
      </c>
      <c r="B112" s="1013" t="s">
        <v>2407</v>
      </c>
      <c r="C112" s="1015">
        <v>155280.23000000001</v>
      </c>
      <c r="D112" s="1015">
        <v>0</v>
      </c>
      <c r="E112" s="1015">
        <v>155280.23000000001</v>
      </c>
      <c r="F112" s="1013" t="s">
        <v>293</v>
      </c>
      <c r="G112" s="1013" t="s">
        <v>2128</v>
      </c>
      <c r="H112" s="150"/>
      <c r="I112" s="157"/>
      <c r="J112" s="157"/>
      <c r="K112" s="157"/>
      <c r="L112" s="153" t="str">
        <f t="shared" si="5"/>
        <v>1760</v>
      </c>
      <c r="M112" s="154" t="str">
        <f t="shared" si="6"/>
        <v>EQUIPEMENT TELEPHONIQUE</v>
      </c>
      <c r="N112" s="155">
        <f>+IF(OR($Q112=Parametres!$G$2,$Q112=Parametres!$G$3),I112,C112)</f>
        <v>155280.23000000001</v>
      </c>
      <c r="O112" s="576">
        <f>+IF(OR($Q112=Parametres!$G$2,$Q112=Parametres!$G$3),J112,D112)</f>
        <v>0</v>
      </c>
      <c r="P112" s="155">
        <f>+IF(OR($Q112=Parametres!$G$2,$Q112=Parametres!$G$3),K112,E112)</f>
        <v>155280.23000000001</v>
      </c>
      <c r="Q112" s="154" t="str">
        <f t="shared" si="7"/>
        <v>2-Actifs</v>
      </c>
      <c r="R112" s="153" t="str">
        <f t="shared" si="8"/>
        <v>1700</v>
      </c>
      <c r="S112" s="154">
        <f t="shared" si="9"/>
        <v>0</v>
      </c>
      <c r="T112" s="156" t="str">
        <f>+VLOOKUP($L112,Data_Validation!$A:$D,1,0)</f>
        <v>1760</v>
      </c>
      <c r="U112" s="156" t="str">
        <f>+VLOOKUP($L112,Data_Validation!$A:$D,3,0)</f>
        <v>Bilan</v>
      </c>
      <c r="V112" s="156" t="str">
        <f>+VLOOKUP($L112,Data_Validation!$A:$D,4,0)</f>
        <v>Équipements Téléphonique</v>
      </c>
      <c r="W112" s="156" t="str">
        <f>+VLOOKUP($L112,Data_Validation!$A:$E,5,0)</f>
        <v>$</v>
      </c>
      <c r="X112" s="156">
        <f>+VLOOKUP($L112,Data_Validation!$A:$F,6,0)</f>
        <v>0</v>
      </c>
    </row>
    <row r="113" spans="1:24" ht="15.75" hidden="1" customHeight="1">
      <c r="A113" s="1013" t="s">
        <v>2570</v>
      </c>
      <c r="B113" s="1013" t="s">
        <v>2571</v>
      </c>
      <c r="C113" s="1015">
        <v>-155240.23000000001</v>
      </c>
      <c r="D113" s="1015">
        <v>20</v>
      </c>
      <c r="E113" s="1015">
        <v>-155220.23000000001</v>
      </c>
      <c r="F113" s="1013" t="s">
        <v>293</v>
      </c>
      <c r="G113" s="1013" t="s">
        <v>2128</v>
      </c>
      <c r="H113" s="150"/>
      <c r="I113" s="157"/>
      <c r="J113" s="157"/>
      <c r="K113" s="157"/>
      <c r="L113" s="153" t="str">
        <f t="shared" si="5"/>
        <v>1761</v>
      </c>
      <c r="M113" s="154" t="str">
        <f t="shared" si="6"/>
        <v>AMORTISS.EQUIP.TELEPHONIQUES</v>
      </c>
      <c r="N113" s="155">
        <f>+IF(OR($Q113=Parametres!$G$2,$Q113=Parametres!$G$3),I113,C113)</f>
        <v>-155240.23000000001</v>
      </c>
      <c r="O113" s="155">
        <f>+IF(OR($Q113=Parametres!$G$2,$Q113=Parametres!$G$3),J113,D113)</f>
        <v>20</v>
      </c>
      <c r="P113" s="155">
        <f>+IF(OR($Q113=Parametres!$G$2,$Q113=Parametres!$G$3),K113,E113)</f>
        <v>-155220.23000000001</v>
      </c>
      <c r="Q113" s="154" t="str">
        <f t="shared" si="7"/>
        <v>2-Actifs</v>
      </c>
      <c r="R113" s="153" t="str">
        <f t="shared" si="8"/>
        <v>1700</v>
      </c>
      <c r="S113" s="154">
        <f t="shared" si="9"/>
        <v>0</v>
      </c>
      <c r="T113" s="156" t="str">
        <f>+VLOOKUP($L113,Data_Validation!$A:$D,1,0)</f>
        <v>1761</v>
      </c>
      <c r="U113" s="156" t="str">
        <f>+VLOOKUP($L113,Data_Validation!$A:$D,3,0)</f>
        <v>Bilan</v>
      </c>
      <c r="V113" s="156" t="str">
        <f>+VLOOKUP($L113,Data_Validation!$A:$D,4,0)</f>
        <v>Équipements Téléphonique</v>
      </c>
      <c r="W113" s="156" t="str">
        <f>+VLOOKUP($L113,Data_Validation!$A:$E,5,0)</f>
        <v>$</v>
      </c>
      <c r="X113" s="156">
        <f>+VLOOKUP($L113,Data_Validation!$A:$F,6,0)</f>
        <v>0</v>
      </c>
    </row>
    <row r="114" spans="1:24" ht="15" hidden="1" customHeight="1">
      <c r="A114" s="1013" t="s">
        <v>2408</v>
      </c>
      <c r="B114" s="1013" t="s">
        <v>2409</v>
      </c>
      <c r="C114" s="1015">
        <v>433206.49</v>
      </c>
      <c r="D114" s="1015">
        <v>0</v>
      </c>
      <c r="E114" s="1015">
        <v>433206.49</v>
      </c>
      <c r="F114" s="1013" t="s">
        <v>293</v>
      </c>
      <c r="G114" s="1013" t="s">
        <v>2128</v>
      </c>
      <c r="H114" s="949"/>
      <c r="I114" s="948"/>
      <c r="J114" s="948"/>
      <c r="K114" s="948"/>
      <c r="L114" s="153" t="str">
        <f t="shared" si="5"/>
        <v>1762</v>
      </c>
      <c r="M114" s="154" t="str">
        <f t="shared" si="6"/>
        <v>AMEUBLEMENT &amp; INSTR.</v>
      </c>
      <c r="N114" s="155">
        <f>+IF(OR($Q114=Parametres!$G$2,$Q114=Parametres!$G$3),I114,C114)</f>
        <v>433206.49</v>
      </c>
      <c r="O114" s="155">
        <f>+IF(OR($Q114=Parametres!$G$2,$Q114=Parametres!$G$3),J114,D114)</f>
        <v>0</v>
      </c>
      <c r="P114" s="155">
        <f>+IF(OR($Q114=Parametres!$G$2,$Q114=Parametres!$G$3),K114,E114)</f>
        <v>433206.49</v>
      </c>
      <c r="Q114" s="154" t="str">
        <f t="shared" si="7"/>
        <v>2-Actifs</v>
      </c>
      <c r="R114" s="153" t="str">
        <f t="shared" si="8"/>
        <v>1700</v>
      </c>
      <c r="S114" s="154">
        <f t="shared" si="9"/>
        <v>0</v>
      </c>
      <c r="T114" s="156" t="str">
        <f>+VLOOKUP($L114,Data_Validation!$A:$D,1,0)</f>
        <v>1762</v>
      </c>
      <c r="U114" s="156" t="str">
        <f>+VLOOKUP($L114,Data_Validation!$A:$D,3,0)</f>
        <v>Bilan</v>
      </c>
      <c r="V114" s="156" t="str">
        <f>+VLOOKUP($L114,Data_Validation!$A:$D,4,0)</f>
        <v>Mobilier</v>
      </c>
      <c r="W114" s="156" t="str">
        <f>+VLOOKUP($L114,Data_Validation!$A:$E,5,0)</f>
        <v>$</v>
      </c>
      <c r="X114" s="156">
        <f>+VLOOKUP($L114,Data_Validation!$A:$F,6,0)</f>
        <v>0</v>
      </c>
    </row>
    <row r="115" spans="1:24" ht="15" hidden="1" customHeight="1">
      <c r="A115" s="1013" t="s">
        <v>2163</v>
      </c>
      <c r="B115" s="1013" t="s">
        <v>2164</v>
      </c>
      <c r="C115" s="1015">
        <v>-398742.54</v>
      </c>
      <c r="D115" s="1015">
        <v>-1250</v>
      </c>
      <c r="E115" s="1015">
        <v>-399992.54</v>
      </c>
      <c r="F115" s="1013" t="s">
        <v>293</v>
      </c>
      <c r="G115" s="1013" t="s">
        <v>2128</v>
      </c>
      <c r="H115" s="949"/>
      <c r="I115" s="948"/>
      <c r="J115" s="948"/>
      <c r="K115" s="948"/>
      <c r="L115" s="153" t="str">
        <f t="shared" si="5"/>
        <v>1763</v>
      </c>
      <c r="M115" s="154" t="str">
        <f t="shared" si="6"/>
        <v>AMORTISS.AMEUBL.INSTR.</v>
      </c>
      <c r="N115" s="155">
        <f>+IF(OR($Q115=Parametres!$G$2,$Q115=Parametres!$G$3),I115,C115)</f>
        <v>-398742.54</v>
      </c>
      <c r="O115" s="155">
        <f>+IF(OR($Q115=Parametres!$G$2,$Q115=Parametres!$G$3),J115,D115)</f>
        <v>-1250</v>
      </c>
      <c r="P115" s="155">
        <f>+IF(OR($Q115=Parametres!$G$2,$Q115=Parametres!$G$3),K115,E115)</f>
        <v>-399992.54</v>
      </c>
      <c r="Q115" s="154" t="str">
        <f t="shared" si="7"/>
        <v>2-Actifs</v>
      </c>
      <c r="R115" s="153" t="str">
        <f t="shared" si="8"/>
        <v>1700</v>
      </c>
      <c r="S115" s="154">
        <f t="shared" si="9"/>
        <v>0</v>
      </c>
      <c r="T115" s="156" t="str">
        <f>+VLOOKUP($L115,Data_Validation!$A:$D,1,0)</f>
        <v>1763</v>
      </c>
      <c r="U115" s="156" t="str">
        <f>+VLOOKUP($L115,Data_Validation!$A:$D,3,0)</f>
        <v>Bilan</v>
      </c>
      <c r="V115" s="156" t="str">
        <f>+VLOOKUP($L115,Data_Validation!$A:$D,4,0)</f>
        <v>Mobilier</v>
      </c>
      <c r="W115" s="156" t="str">
        <f>+VLOOKUP($L115,Data_Validation!$A:$E,5,0)</f>
        <v>$</v>
      </c>
      <c r="X115" s="156">
        <f>+VLOOKUP($L115,Data_Validation!$A:$F,6,0)</f>
        <v>0</v>
      </c>
    </row>
    <row r="116" spans="1:24" ht="15" hidden="1" customHeight="1">
      <c r="A116" s="1013" t="s">
        <v>2410</v>
      </c>
      <c r="B116" s="1013" t="s">
        <v>2411</v>
      </c>
      <c r="C116" s="1015">
        <v>3987.88</v>
      </c>
      <c r="D116" s="1015">
        <v>0</v>
      </c>
      <c r="E116" s="1015">
        <v>3987.88</v>
      </c>
      <c r="F116" s="1013" t="s">
        <v>293</v>
      </c>
      <c r="G116" s="1013" t="s">
        <v>2128</v>
      </c>
      <c r="H116" s="949"/>
      <c r="I116" s="948"/>
      <c r="J116" s="948"/>
      <c r="K116" s="948"/>
      <c r="L116" s="153" t="str">
        <f t="shared" si="5"/>
        <v>1772</v>
      </c>
      <c r="M116" s="154" t="str">
        <f t="shared" si="6"/>
        <v>VEHICULES DE CIE</v>
      </c>
      <c r="N116" s="155">
        <f>+IF(OR($Q116=Parametres!$G$2,$Q116=Parametres!$G$3),I116,C116)</f>
        <v>3987.88</v>
      </c>
      <c r="O116" s="155">
        <f>+IF(OR($Q116=Parametres!$G$2,$Q116=Parametres!$G$3),J116,D116)</f>
        <v>0</v>
      </c>
      <c r="P116" s="155">
        <f>+IF(OR($Q116=Parametres!$G$2,$Q116=Parametres!$G$3),K116,E116)</f>
        <v>3987.88</v>
      </c>
      <c r="Q116" s="154" t="str">
        <f t="shared" si="7"/>
        <v>2-Actifs</v>
      </c>
      <c r="R116" s="153" t="str">
        <f t="shared" si="8"/>
        <v>1700</v>
      </c>
      <c r="S116" s="154">
        <f t="shared" si="9"/>
        <v>0</v>
      </c>
      <c r="T116" s="156" t="str">
        <f>+VLOOKUP($L116,Data_Validation!$A:$D,1,0)</f>
        <v>1772</v>
      </c>
      <c r="U116" s="156" t="str">
        <f>+VLOOKUP($L116,Data_Validation!$A:$D,3,0)</f>
        <v>Bilan</v>
      </c>
      <c r="V116" s="156" t="str">
        <f>+VLOOKUP($L116,Data_Validation!$A:$D,4,0)</f>
        <v>Équipements Service</v>
      </c>
      <c r="W116" s="156" t="str">
        <f>+VLOOKUP($L116,Data_Validation!$A:$E,5,0)</f>
        <v>$</v>
      </c>
      <c r="X116" s="156">
        <f>+VLOOKUP($L116,Data_Validation!$A:$F,6,0)</f>
        <v>0</v>
      </c>
    </row>
    <row r="117" spans="1:24" ht="15.75" hidden="1" customHeight="1">
      <c r="A117" s="1013" t="s">
        <v>2412</v>
      </c>
      <c r="B117" s="1013" t="s">
        <v>2413</v>
      </c>
      <c r="C117" s="1015">
        <v>-3987.88</v>
      </c>
      <c r="D117" s="1015">
        <v>0</v>
      </c>
      <c r="E117" s="1015">
        <v>-3987.88</v>
      </c>
      <c r="F117" s="1013" t="s">
        <v>293</v>
      </c>
      <c r="G117" s="1013" t="s">
        <v>2128</v>
      </c>
      <c r="H117" s="949"/>
      <c r="I117" s="948"/>
      <c r="J117" s="948"/>
      <c r="K117" s="948"/>
      <c r="L117" s="153" t="str">
        <f t="shared" si="5"/>
        <v>1773</v>
      </c>
      <c r="M117" s="154" t="str">
        <f t="shared" si="6"/>
        <v>DEPRECIATION &amp; AMORT.</v>
      </c>
      <c r="N117" s="155">
        <f>+IF(OR($Q117=Parametres!$G$2,$Q117=Parametres!$G$3),I117,C117)</f>
        <v>-3987.88</v>
      </c>
      <c r="O117" s="155">
        <f>+IF(OR($Q117=Parametres!$G$2,$Q117=Parametres!$G$3),J117,D117)</f>
        <v>0</v>
      </c>
      <c r="P117" s="155">
        <f>+IF(OR($Q117=Parametres!$G$2,$Q117=Parametres!$G$3),K117,E117)</f>
        <v>-3987.88</v>
      </c>
      <c r="Q117" s="154" t="str">
        <f t="shared" si="7"/>
        <v>2-Actifs</v>
      </c>
      <c r="R117" s="153" t="str">
        <f t="shared" si="8"/>
        <v>1700</v>
      </c>
      <c r="S117" s="154">
        <f t="shared" si="9"/>
        <v>0</v>
      </c>
      <c r="T117" s="156" t="str">
        <f>+VLOOKUP($L117,Data_Validation!$A:$D,1,0)</f>
        <v>1773</v>
      </c>
      <c r="U117" s="156" t="str">
        <f>+VLOOKUP($L117,Data_Validation!$A:$D,3,0)</f>
        <v>Bilan</v>
      </c>
      <c r="V117" s="156" t="str">
        <f>+VLOOKUP($L117,Data_Validation!$A:$D,4,0)</f>
        <v>Équipements Service</v>
      </c>
      <c r="W117" s="156" t="str">
        <f>+VLOOKUP($L117,Data_Validation!$A:$E,5,0)</f>
        <v>$</v>
      </c>
      <c r="X117" s="156">
        <f>+VLOOKUP($L117,Data_Validation!$A:$F,6,0)</f>
        <v>0</v>
      </c>
    </row>
    <row r="118" spans="1:24" ht="15" hidden="1" customHeight="1">
      <c r="A118" s="1013" t="s">
        <v>2568</v>
      </c>
      <c r="B118" s="1013" t="s">
        <v>2569</v>
      </c>
      <c r="C118" s="1015">
        <v>270585.31</v>
      </c>
      <c r="D118" s="1015">
        <v>934.96</v>
      </c>
      <c r="E118" s="1015">
        <v>271520.27</v>
      </c>
      <c r="F118" s="1013" t="s">
        <v>293</v>
      </c>
      <c r="G118" s="1013" t="s">
        <v>2128</v>
      </c>
      <c r="H118" s="150"/>
      <c r="I118" s="151"/>
      <c r="J118" s="151"/>
      <c r="K118" s="151"/>
      <c r="L118" s="153" t="str">
        <f t="shared" si="5"/>
        <v>1786</v>
      </c>
      <c r="M118" s="154" t="str">
        <f t="shared" si="6"/>
        <v>EQUIPEMENT INFORMATIQUE</v>
      </c>
      <c r="N118" s="155">
        <f>+IF(OR($Q118=Parametres!$G$2,$Q118=Parametres!$G$3),I118,C118)</f>
        <v>270585.31</v>
      </c>
      <c r="O118" s="155">
        <f>+IF(OR($Q118=Parametres!$G$2,$Q118=Parametres!$G$3),J118,D118)</f>
        <v>934.96</v>
      </c>
      <c r="P118" s="155">
        <f>+IF(OR($Q118=Parametres!$G$2,$Q118=Parametres!$G$3),K118,E118)</f>
        <v>271520.27</v>
      </c>
      <c r="Q118" s="154" t="str">
        <f t="shared" si="7"/>
        <v>2-Actifs</v>
      </c>
      <c r="R118" s="153" t="str">
        <f t="shared" si="8"/>
        <v>1700</v>
      </c>
      <c r="S118" s="154">
        <f t="shared" si="9"/>
        <v>0</v>
      </c>
      <c r="T118" s="156" t="str">
        <f>+VLOOKUP($L118,Data_Validation!$A:$D,1,0)</f>
        <v>1786</v>
      </c>
      <c r="U118" s="156" t="str">
        <f>+VLOOKUP($L118,Data_Validation!$A:$D,3,0)</f>
        <v>Bilan</v>
      </c>
      <c r="V118" s="156" t="str">
        <f>+VLOOKUP($L118,Data_Validation!$A:$D,4,0)</f>
        <v>Équipements Informatique</v>
      </c>
      <c r="W118" s="156" t="str">
        <f>+VLOOKUP($L118,Data_Validation!$A:$E,5,0)</f>
        <v>$</v>
      </c>
      <c r="X118" s="156">
        <f>+VLOOKUP($L118,Data_Validation!$A:$F,6,0)</f>
        <v>0</v>
      </c>
    </row>
    <row r="119" spans="1:24" ht="15" hidden="1" customHeight="1">
      <c r="A119" s="1013" t="s">
        <v>2154</v>
      </c>
      <c r="B119" s="1013" t="s">
        <v>2155</v>
      </c>
      <c r="C119" s="1015">
        <v>-248044.65</v>
      </c>
      <c r="D119" s="1015">
        <v>-1870</v>
      </c>
      <c r="E119" s="1015">
        <v>-249914.65</v>
      </c>
      <c r="F119" s="1013" t="s">
        <v>293</v>
      </c>
      <c r="G119" s="1013" t="s">
        <v>2128</v>
      </c>
      <c r="H119" s="150"/>
      <c r="I119" s="157"/>
      <c r="J119" s="157"/>
      <c r="K119" s="157"/>
      <c r="L119" s="153" t="str">
        <f t="shared" si="5"/>
        <v>1787</v>
      </c>
      <c r="M119" s="154" t="str">
        <f t="shared" si="6"/>
        <v>AMORTISS.EQUIP.INFORMATIQUES</v>
      </c>
      <c r="N119" s="155">
        <f>+IF(OR($Q119=Parametres!$G$2,$Q119=Parametres!$G$3),I119,C119)</f>
        <v>-248044.65</v>
      </c>
      <c r="O119" s="575">
        <f>+IF(OR($Q119=Parametres!$G$2,$Q119=Parametres!$G$3),J119,D119)</f>
        <v>-1870</v>
      </c>
      <c r="P119" s="155">
        <f>+IF(OR($Q119=Parametres!$G$2,$Q119=Parametres!$G$3),K119,E119)</f>
        <v>-249914.65</v>
      </c>
      <c r="Q119" s="154" t="str">
        <f t="shared" si="7"/>
        <v>2-Actifs</v>
      </c>
      <c r="R119" s="153" t="str">
        <f t="shared" si="8"/>
        <v>1700</v>
      </c>
      <c r="S119" s="154">
        <f t="shared" si="9"/>
        <v>0</v>
      </c>
      <c r="T119" s="156" t="str">
        <f>+VLOOKUP($L119,Data_Validation!$A:$D,1,0)</f>
        <v>1787</v>
      </c>
      <c r="U119" s="156" t="str">
        <f>+VLOOKUP($L119,Data_Validation!$A:$D,3,0)</f>
        <v>Bilan</v>
      </c>
      <c r="V119" s="156" t="str">
        <f>+VLOOKUP($L119,Data_Validation!$A:$D,4,0)</f>
        <v>Équipements Informatique</v>
      </c>
      <c r="W119" s="156" t="str">
        <f>+VLOOKUP($L119,Data_Validation!$A:$E,5,0)</f>
        <v>$</v>
      </c>
      <c r="X119" s="156">
        <f>+VLOOKUP($L119,Data_Validation!$A:$F,6,0)</f>
        <v>0</v>
      </c>
    </row>
    <row r="120" spans="1:24" ht="15" hidden="1" customHeight="1">
      <c r="A120" s="1013" t="s">
        <v>822</v>
      </c>
      <c r="B120" s="1013" t="s">
        <v>2414</v>
      </c>
      <c r="C120" s="1015">
        <v>119393.66</v>
      </c>
      <c r="D120" s="1015">
        <v>0</v>
      </c>
      <c r="E120" s="1015">
        <v>119393.66</v>
      </c>
      <c r="F120" s="1013" t="s">
        <v>293</v>
      </c>
      <c r="G120" s="1013" t="s">
        <v>2128</v>
      </c>
      <c r="H120" s="949"/>
      <c r="I120" s="948"/>
      <c r="J120" s="948"/>
      <c r="K120" s="948"/>
      <c r="L120" s="153" t="str">
        <f t="shared" si="5"/>
        <v>1792</v>
      </c>
      <c r="M120" s="154" t="str">
        <f t="shared" si="6"/>
        <v>ENSEIGNES</v>
      </c>
      <c r="N120" s="155">
        <f>+IF(OR($Q120=Parametres!$G$2,$Q120=Parametres!$G$3),I120,C120)</f>
        <v>119393.66</v>
      </c>
      <c r="O120" s="155">
        <f>+IF(OR($Q120=Parametres!$G$2,$Q120=Parametres!$G$3),J120,D120)</f>
        <v>0</v>
      </c>
      <c r="P120" s="155">
        <f>+IF(OR($Q120=Parametres!$G$2,$Q120=Parametres!$G$3),K120,E120)</f>
        <v>119393.66</v>
      </c>
      <c r="Q120" s="154" t="str">
        <f t="shared" si="7"/>
        <v>2-Actifs</v>
      </c>
      <c r="R120" s="153" t="str">
        <f t="shared" si="8"/>
        <v>1700</v>
      </c>
      <c r="S120" s="154">
        <f t="shared" si="9"/>
        <v>0</v>
      </c>
      <c r="T120" s="156" t="str">
        <f>+VLOOKUP($L120,Data_Validation!$A:$D,1,0)</f>
        <v>1792</v>
      </c>
      <c r="U120" s="156" t="str">
        <f>+VLOOKUP($L120,Data_Validation!$A:$D,3,0)</f>
        <v>Bilan</v>
      </c>
      <c r="V120" s="156" t="str">
        <f>+VLOOKUP($L120,Data_Validation!$A:$D,4,0)</f>
        <v>Enseigne</v>
      </c>
      <c r="W120" s="156" t="str">
        <f>+VLOOKUP($L120,Data_Validation!$A:$E,5,0)</f>
        <v>$</v>
      </c>
      <c r="X120" s="156">
        <f>+VLOOKUP($L120,Data_Validation!$A:$F,6,0)</f>
        <v>0</v>
      </c>
    </row>
    <row r="121" spans="1:24" ht="15" hidden="1" customHeight="1">
      <c r="A121" s="1013" t="s">
        <v>2195</v>
      </c>
      <c r="B121" s="1013" t="s">
        <v>2196</v>
      </c>
      <c r="C121" s="1015">
        <v>-119763.65</v>
      </c>
      <c r="D121" s="1015">
        <v>-185</v>
      </c>
      <c r="E121" s="1015">
        <v>-119948.65</v>
      </c>
      <c r="F121" s="1013" t="s">
        <v>293</v>
      </c>
      <c r="G121" s="1013" t="s">
        <v>2128</v>
      </c>
      <c r="H121" s="1014"/>
      <c r="I121" s="1014"/>
      <c r="J121" s="1014"/>
      <c r="K121" s="1014"/>
      <c r="L121" s="153" t="str">
        <f t="shared" si="5"/>
        <v>1793</v>
      </c>
      <c r="M121" s="154" t="str">
        <f t="shared" si="6"/>
        <v>AMORT. CUM. ENSEIGNES</v>
      </c>
      <c r="N121" s="155">
        <f>+IF(OR($Q121=Parametres!$G$2,$Q121=Parametres!$G$3),I121,C121)</f>
        <v>-119763.65</v>
      </c>
      <c r="O121" s="575">
        <f>+IF(OR($Q121=Parametres!$G$2,$Q121=Parametres!$G$3),J121,D121)</f>
        <v>-185</v>
      </c>
      <c r="P121" s="155">
        <f>+IF(OR($Q121=Parametres!$G$2,$Q121=Parametres!$G$3),K121,E121)</f>
        <v>-119948.65</v>
      </c>
      <c r="Q121" s="154" t="str">
        <f t="shared" si="7"/>
        <v>2-Actifs</v>
      </c>
      <c r="R121" s="153" t="str">
        <f t="shared" si="8"/>
        <v>1700</v>
      </c>
      <c r="S121" s="154">
        <f t="shared" si="9"/>
        <v>0</v>
      </c>
      <c r="T121" s="156" t="str">
        <f>+VLOOKUP($L121,Data_Validation!$A:$D,1,0)</f>
        <v>1793</v>
      </c>
      <c r="U121" s="156" t="str">
        <f>+VLOOKUP($L121,Data_Validation!$A:$D,3,0)</f>
        <v>Bilan</v>
      </c>
      <c r="V121" s="156" t="str">
        <f>+VLOOKUP($L121,Data_Validation!$A:$D,4,0)</f>
        <v>Enseigne</v>
      </c>
      <c r="W121" s="156" t="str">
        <f>+VLOOKUP($L121,Data_Validation!$A:$E,5,0)</f>
        <v>$</v>
      </c>
      <c r="X121" s="156">
        <f>+VLOOKUP($L121,Data_Validation!$A:$F,6,0)</f>
        <v>0</v>
      </c>
    </row>
    <row r="122" spans="1:24" ht="15" hidden="1" customHeight="1">
      <c r="A122" s="1013" t="s">
        <v>2415</v>
      </c>
      <c r="B122" s="1013" t="s">
        <v>2416</v>
      </c>
      <c r="C122" s="1015">
        <v>1623600</v>
      </c>
      <c r="D122" s="1015">
        <v>0</v>
      </c>
      <c r="E122" s="1015">
        <v>1623600</v>
      </c>
      <c r="F122" s="1013" t="s">
        <v>293</v>
      </c>
      <c r="G122" s="1013" t="s">
        <v>2416</v>
      </c>
      <c r="H122" s="1014"/>
      <c r="I122" s="1014"/>
      <c r="J122" s="1014"/>
      <c r="K122" s="1014"/>
      <c r="L122" s="153" t="str">
        <f t="shared" si="5"/>
        <v>1804</v>
      </c>
      <c r="M122" s="154" t="str">
        <f t="shared" si="6"/>
        <v>RECEVABLE-PROP. &amp; EMPL.</v>
      </c>
      <c r="N122" s="155">
        <f>+IF(OR($Q122=Parametres!$G$2,$Q122=Parametres!$G$3),I122,C122)</f>
        <v>1623600</v>
      </c>
      <c r="O122" s="155">
        <f>+IF(OR($Q122=Parametres!$G$2,$Q122=Parametres!$G$3),J122,D122)</f>
        <v>0</v>
      </c>
      <c r="P122" s="155">
        <f>+IF(OR($Q122=Parametres!$G$2,$Q122=Parametres!$G$3),K122,E122)</f>
        <v>1623600</v>
      </c>
      <c r="Q122" s="154" t="str">
        <f t="shared" si="7"/>
        <v>2-Actifs</v>
      </c>
      <c r="R122" s="153" t="str">
        <f t="shared" si="8"/>
        <v>1804</v>
      </c>
      <c r="S122" s="154">
        <f t="shared" si="9"/>
        <v>0</v>
      </c>
      <c r="T122" s="156" t="str">
        <f>+VLOOKUP($L122,Data_Validation!$A:$D,1,0)</f>
        <v>1804</v>
      </c>
      <c r="U122" s="156" t="str">
        <f>+VLOOKUP($L122,Data_Validation!$A:$D,3,0)</f>
        <v>Bilan</v>
      </c>
      <c r="V122" s="156" t="str">
        <f>+VLOOKUP($L122,Data_Validation!$A:$D,4,0)</f>
        <v>Avances à Recevoir Long Terme</v>
      </c>
      <c r="W122" s="156" t="str">
        <f>+VLOOKUP($L122,Data_Validation!$A:$E,5,0)</f>
        <v>$</v>
      </c>
      <c r="X122" s="156">
        <f>+VLOOKUP($L122,Data_Validation!$A:$F,6,0)</f>
        <v>0</v>
      </c>
    </row>
    <row r="123" spans="1:24" ht="15.75" hidden="1" customHeight="1">
      <c r="A123" s="1013" t="s">
        <v>2752</v>
      </c>
      <c r="B123" s="1013" t="s">
        <v>2753</v>
      </c>
      <c r="C123" s="1015">
        <v>9738.31</v>
      </c>
      <c r="D123" s="1015">
        <v>5266.88</v>
      </c>
      <c r="E123" s="1015">
        <v>15005.19</v>
      </c>
      <c r="F123" s="1013" t="s">
        <v>293</v>
      </c>
      <c r="G123" s="1013" t="s">
        <v>2623</v>
      </c>
      <c r="H123" s="1014"/>
      <c r="I123" s="1014"/>
      <c r="J123" s="1014"/>
      <c r="K123" s="1014"/>
      <c r="L123" s="153" t="str">
        <f t="shared" si="5"/>
        <v>1806</v>
      </c>
      <c r="M123" s="154" t="str">
        <f t="shared" si="6"/>
        <v>FINANCEMENT RECEVABLE</v>
      </c>
      <c r="N123" s="155">
        <f>+IF(OR($Q123=Parametres!$G$2,$Q123=Parametres!$G$3),I123,C123)</f>
        <v>9738.31</v>
      </c>
      <c r="O123" s="155">
        <f>+IF(OR($Q123=Parametres!$G$2,$Q123=Parametres!$G$3),J123,D123)</f>
        <v>5266.88</v>
      </c>
      <c r="P123" s="155">
        <f>+IF(OR($Q123=Parametres!$G$2,$Q123=Parametres!$G$3),K123,E123)</f>
        <v>15005.19</v>
      </c>
      <c r="Q123" s="154" t="str">
        <f t="shared" si="7"/>
        <v>2-Actifs</v>
      </c>
      <c r="R123" s="153" t="str">
        <f t="shared" si="8"/>
        <v>1382</v>
      </c>
      <c r="S123" s="154">
        <f t="shared" si="9"/>
        <v>0</v>
      </c>
      <c r="T123" s="156" t="str">
        <f>+VLOOKUP($L123,Data_Validation!$A:$D,1,0)</f>
        <v>1806</v>
      </c>
      <c r="U123" s="156" t="str">
        <f>+VLOOKUP($L123,Data_Validation!$A:$D,3,0)</f>
        <v>Bilan</v>
      </c>
      <c r="V123" s="156" t="str">
        <f>+VLOOKUP($L123,Data_Validation!$A:$D,4,0)</f>
        <v>Recevables Autres</v>
      </c>
      <c r="W123" s="156" t="str">
        <f>+VLOOKUP($L123,Data_Validation!$A:$E,5,0)</f>
        <v>$</v>
      </c>
      <c r="X123" s="156">
        <f>+VLOOKUP($L123,Data_Validation!$A:$F,6,0)</f>
        <v>0</v>
      </c>
    </row>
    <row r="124" spans="1:24" ht="15" hidden="1" customHeight="1">
      <c r="A124" s="1013" t="s">
        <v>2846</v>
      </c>
      <c r="B124" s="1013" t="s">
        <v>2847</v>
      </c>
      <c r="C124" s="1015">
        <v>-7392168.4000000004</v>
      </c>
      <c r="D124" s="1015">
        <v>355624.87</v>
      </c>
      <c r="E124" s="1015">
        <v>-7036543.5300000003</v>
      </c>
      <c r="F124" s="1013" t="s">
        <v>282</v>
      </c>
      <c r="G124" s="1013" t="s">
        <v>2847</v>
      </c>
      <c r="H124" s="1014"/>
      <c r="I124" s="1014"/>
      <c r="J124" s="1014"/>
      <c r="K124" s="1014"/>
      <c r="L124" s="153" t="str">
        <f t="shared" si="5"/>
        <v>2101</v>
      </c>
      <c r="M124" s="154" t="str">
        <f t="shared" si="6"/>
        <v>NOTE A PAYER VEH. NEUFS VOLKS</v>
      </c>
      <c r="N124" s="155">
        <f>+IF(OR($Q124=Parametres!$G$2,$Q124=Parametres!$G$3),I124,C124)</f>
        <v>-7392168.4000000004</v>
      </c>
      <c r="O124" s="155">
        <f>+IF(OR($Q124=Parametres!$G$2,$Q124=Parametres!$G$3),J124,D124)</f>
        <v>355624.87</v>
      </c>
      <c r="P124" s="155">
        <f>+IF(OR($Q124=Parametres!$G$2,$Q124=Parametres!$G$3),K124,E124)</f>
        <v>-7036543.5300000003</v>
      </c>
      <c r="Q124" s="154" t="str">
        <f t="shared" si="7"/>
        <v>3-Passifs</v>
      </c>
      <c r="R124" s="153" t="str">
        <f t="shared" si="8"/>
        <v>2101</v>
      </c>
      <c r="S124" s="154">
        <f t="shared" si="9"/>
        <v>0</v>
      </c>
      <c r="T124" s="156" t="str">
        <f>+VLOOKUP($L124,Data_Validation!$A:$D,1,0)</f>
        <v>2101</v>
      </c>
      <c r="U124" s="156" t="str">
        <f>+VLOOKUP($L124,Data_Validation!$A:$D,3,0)</f>
        <v>Bilan</v>
      </c>
      <c r="V124" s="156" t="str">
        <f>+VLOOKUP($L124,Data_Validation!$A:$D,4,0)</f>
        <v>Effet à Payer Véhicules Neufs</v>
      </c>
      <c r="W124" s="156" t="str">
        <f>+VLOOKUP($L124,Data_Validation!$A:$E,5,0)</f>
        <v>$</v>
      </c>
      <c r="X124" s="156">
        <f>+VLOOKUP($L124,Data_Validation!$A:$F,6,0)</f>
        <v>0</v>
      </c>
    </row>
    <row r="125" spans="1:24" ht="15" hidden="1" customHeight="1">
      <c r="A125" s="1013" t="s">
        <v>2036</v>
      </c>
      <c r="B125" s="1013" t="s">
        <v>2037</v>
      </c>
      <c r="C125" s="1015">
        <v>-449932.75</v>
      </c>
      <c r="D125" s="1015">
        <v>163415.67000000001</v>
      </c>
      <c r="E125" s="1015">
        <v>-286517.08</v>
      </c>
      <c r="F125" s="1013" t="s">
        <v>282</v>
      </c>
      <c r="G125" s="1013" t="s">
        <v>2037</v>
      </c>
      <c r="H125" s="1014"/>
      <c r="I125" s="1014"/>
      <c r="J125" s="1014"/>
      <c r="K125" s="1014"/>
      <c r="L125" s="153" t="str">
        <f t="shared" si="5"/>
        <v>2103</v>
      </c>
      <c r="M125" s="154" t="str">
        <f t="shared" si="6"/>
        <v>NOTE PAYABLE-FIN. VEH. USAG.</v>
      </c>
      <c r="N125" s="155">
        <f>+IF(OR($Q125=Parametres!$G$2,$Q125=Parametres!$G$3),I125,C125)</f>
        <v>-449932.75</v>
      </c>
      <c r="O125" s="575">
        <f>+IF(OR($Q125=Parametres!$G$2,$Q125=Parametres!$G$3),J125,D125)</f>
        <v>163415.67000000001</v>
      </c>
      <c r="P125" s="155">
        <f>+IF(OR($Q125=Parametres!$G$2,$Q125=Parametres!$G$3),K125,E125)</f>
        <v>-286517.08</v>
      </c>
      <c r="Q125" s="154" t="str">
        <f t="shared" si="7"/>
        <v>3-Passifs</v>
      </c>
      <c r="R125" s="153" t="str">
        <f t="shared" si="8"/>
        <v>2103</v>
      </c>
      <c r="S125" s="154">
        <f t="shared" si="9"/>
        <v>0</v>
      </c>
      <c r="T125" s="156" t="str">
        <f>+VLOOKUP($L125,Data_Validation!$A:$D,1,0)</f>
        <v>2103</v>
      </c>
      <c r="U125" s="156" t="str">
        <f>+VLOOKUP($L125,Data_Validation!$A:$D,3,0)</f>
        <v>Bilan</v>
      </c>
      <c r="V125" s="156" t="str">
        <f>+VLOOKUP($L125,Data_Validation!$A:$D,4,0)</f>
        <v>Effet à Payer Véhicules Usagés</v>
      </c>
      <c r="W125" s="156" t="str">
        <f>+VLOOKUP($L125,Data_Validation!$A:$E,5,0)</f>
        <v>$</v>
      </c>
      <c r="X125" s="156">
        <f>+VLOOKUP($L125,Data_Validation!$A:$F,6,0)</f>
        <v>0</v>
      </c>
    </row>
    <row r="126" spans="1:24" ht="15" hidden="1" customHeight="1">
      <c r="A126" s="1013" t="s">
        <v>2417</v>
      </c>
      <c r="B126" s="1013" t="s">
        <v>2418</v>
      </c>
      <c r="C126" s="1015">
        <v>-15810</v>
      </c>
      <c r="D126" s="1015">
        <v>0</v>
      </c>
      <c r="E126" s="1015">
        <v>-15810</v>
      </c>
      <c r="F126" s="1013" t="s">
        <v>282</v>
      </c>
      <c r="G126" s="1013" t="s">
        <v>2418</v>
      </c>
      <c r="H126" s="1014"/>
      <c r="I126" s="1014"/>
      <c r="J126" s="1014"/>
      <c r="K126" s="1014"/>
      <c r="L126" s="153" t="str">
        <f t="shared" si="5"/>
        <v>2131</v>
      </c>
      <c r="M126" s="154" t="str">
        <f t="shared" si="6"/>
        <v>PORTION COURANTE PRET</v>
      </c>
      <c r="N126" s="155">
        <f>+IF(OR($Q126=Parametres!$G$2,$Q126=Parametres!$G$3),I126,C126)</f>
        <v>-15810</v>
      </c>
      <c r="O126" s="155">
        <f>+IF(OR($Q126=Parametres!$G$2,$Q126=Parametres!$G$3),J126,D126)</f>
        <v>0</v>
      </c>
      <c r="P126" s="155">
        <f>+IF(OR($Q126=Parametres!$G$2,$Q126=Parametres!$G$3),K126,E126)</f>
        <v>-15810</v>
      </c>
      <c r="Q126" s="154" t="str">
        <f t="shared" si="7"/>
        <v>3-Passifs</v>
      </c>
      <c r="R126" s="153" t="str">
        <f t="shared" si="8"/>
        <v>2131</v>
      </c>
      <c r="S126" s="154">
        <f t="shared" si="9"/>
        <v>0</v>
      </c>
      <c r="T126" s="156" t="str">
        <f>+VLOOKUP($L126,Data_Validation!$A:$D,1,0)</f>
        <v>2131</v>
      </c>
      <c r="U126" s="156" t="str">
        <f>+VLOOKUP($L126,Data_Validation!$A:$D,3,0)</f>
        <v>Bilan</v>
      </c>
      <c r="V126" s="156" t="str">
        <f>+VLOOKUP($L126,Data_Validation!$A:$D,4,0)</f>
        <v>Portion Court Terme de la Dette Long Terme</v>
      </c>
      <c r="W126" s="156" t="str">
        <f>+VLOOKUP($L126,Data_Validation!$A:$E,5,0)</f>
        <v>$</v>
      </c>
      <c r="X126" s="156">
        <f>+VLOOKUP($L126,Data_Validation!$A:$F,6,0)</f>
        <v>0</v>
      </c>
    </row>
    <row r="127" spans="1:24" ht="15" hidden="1" customHeight="1">
      <c r="A127" s="1013" t="s">
        <v>2203</v>
      </c>
      <c r="B127" s="1013" t="s">
        <v>2204</v>
      </c>
      <c r="C127" s="1015">
        <v>-143.61000000000001</v>
      </c>
      <c r="D127" s="1015">
        <v>-500.61</v>
      </c>
      <c r="E127" s="1015">
        <v>-644.22</v>
      </c>
      <c r="F127" s="1013" t="s">
        <v>282</v>
      </c>
      <c r="G127" s="1013" t="s">
        <v>2204</v>
      </c>
      <c r="H127" s="1014"/>
      <c r="I127" s="1014"/>
      <c r="J127" s="1014"/>
      <c r="K127" s="1014"/>
      <c r="L127" s="153" t="str">
        <f t="shared" si="5"/>
        <v>2220</v>
      </c>
      <c r="M127" s="579" t="str">
        <f t="shared" si="6"/>
        <v>TPA A PAYER</v>
      </c>
      <c r="N127" s="155">
        <f>+IF(OR($Q127=Parametres!$G$2,$Q127=Parametres!$G$3),I127,C127)</f>
        <v>-143.61000000000001</v>
      </c>
      <c r="O127" s="580">
        <f>+IF(OR($Q127=Parametres!$G$2,$Q127=Parametres!$G$3),J127,D127)</f>
        <v>-500.61</v>
      </c>
      <c r="P127" s="581">
        <f>+IF(OR($Q127=Parametres!$G$2,$Q127=Parametres!$G$3),K127,E127)</f>
        <v>-644.22</v>
      </c>
      <c r="Q127" s="154" t="str">
        <f t="shared" si="7"/>
        <v>3-Passifs</v>
      </c>
      <c r="R127" s="153" t="str">
        <f t="shared" si="8"/>
        <v>2220</v>
      </c>
      <c r="S127" s="154">
        <f t="shared" si="9"/>
        <v>0</v>
      </c>
      <c r="T127" s="156" t="str">
        <f>+VLOOKUP($L127,Data_Validation!$A:$D,1,0)</f>
        <v>2220</v>
      </c>
      <c r="U127" s="156" t="str">
        <f>+VLOOKUP($L127,Data_Validation!$A:$D,3,0)</f>
        <v>Bilan</v>
      </c>
      <c r="V127" s="156" t="str">
        <f>+VLOOKUP($L127,Data_Validation!$A:$D,4,0)</f>
        <v>Taxes de Vente à Payer</v>
      </c>
      <c r="W127" s="156" t="str">
        <f>+VLOOKUP($L127,Data_Validation!$A:$E,5,0)</f>
        <v>$</v>
      </c>
      <c r="X127" s="156">
        <f>+VLOOKUP($L127,Data_Validation!$A:$F,6,0)</f>
        <v>0</v>
      </c>
    </row>
    <row r="128" spans="1:24" ht="15" hidden="1" customHeight="1">
      <c r="A128" s="1013" t="s">
        <v>2056</v>
      </c>
      <c r="B128" s="1013" t="s">
        <v>2057</v>
      </c>
      <c r="C128" s="1015">
        <v>-50535.81</v>
      </c>
      <c r="D128" s="1015">
        <v>-32108.03</v>
      </c>
      <c r="E128" s="1015">
        <v>-82643.839999999997</v>
      </c>
      <c r="F128" s="1013" t="s">
        <v>282</v>
      </c>
      <c r="G128" s="1013" t="s">
        <v>2057</v>
      </c>
      <c r="H128" s="1014"/>
      <c r="I128" s="1014"/>
      <c r="J128" s="1014"/>
      <c r="K128" s="1014"/>
      <c r="L128" s="153" t="str">
        <f t="shared" si="5"/>
        <v>2221</v>
      </c>
      <c r="M128" s="154" t="str">
        <f t="shared" si="6"/>
        <v>TVQ A PAYER</v>
      </c>
      <c r="N128" s="155">
        <f>+IF(OR($Q128=Parametres!$G$2,$Q128=Parametres!$G$3),I128,C128)</f>
        <v>-50535.81</v>
      </c>
      <c r="O128" s="155">
        <f>+IF(OR($Q128=Parametres!$G$2,$Q128=Parametres!$G$3),J128,D128)</f>
        <v>-32108.03</v>
      </c>
      <c r="P128" s="155">
        <f>+IF(OR($Q128=Parametres!$G$2,$Q128=Parametres!$G$3),K128,E128)</f>
        <v>-82643.839999999997</v>
      </c>
      <c r="Q128" s="154" t="str">
        <f t="shared" si="7"/>
        <v>3-Passifs</v>
      </c>
      <c r="R128" s="153" t="str">
        <f t="shared" si="8"/>
        <v>2221</v>
      </c>
      <c r="S128" s="154">
        <f t="shared" si="9"/>
        <v>0</v>
      </c>
      <c r="T128" s="156" t="str">
        <f>+VLOOKUP($L128,Data_Validation!$A:$D,1,0)</f>
        <v>2221</v>
      </c>
      <c r="U128" s="156" t="str">
        <f>+VLOOKUP($L128,Data_Validation!$A:$D,3,0)</f>
        <v>Bilan</v>
      </c>
      <c r="V128" s="156" t="str">
        <f>+VLOOKUP($L128,Data_Validation!$A:$D,4,0)</f>
        <v>Taxes de Vente à Payer</v>
      </c>
      <c r="W128" s="156" t="str">
        <f>+VLOOKUP($L128,Data_Validation!$A:$E,5,0)</f>
        <v>$</v>
      </c>
      <c r="X128" s="156">
        <f>+VLOOKUP($L128,Data_Validation!$A:$F,6,0)</f>
        <v>0</v>
      </c>
    </row>
    <row r="129" spans="1:24" ht="15" hidden="1" customHeight="1">
      <c r="A129" s="1013" t="s">
        <v>2796</v>
      </c>
      <c r="B129" s="1013" t="s">
        <v>2797</v>
      </c>
      <c r="C129" s="1015">
        <v>31539.4</v>
      </c>
      <c r="D129" s="1015">
        <v>15676.73</v>
      </c>
      <c r="E129" s="1015">
        <v>47216.13</v>
      </c>
      <c r="F129" s="1013" t="s">
        <v>282</v>
      </c>
      <c r="G129" s="1013" t="s">
        <v>2057</v>
      </c>
      <c r="H129" s="1014"/>
      <c r="I129" s="1014"/>
      <c r="J129" s="1014"/>
      <c r="K129" s="1014"/>
      <c r="L129" s="153" t="str">
        <f t="shared" si="5"/>
        <v>2222</v>
      </c>
      <c r="M129" s="154" t="str">
        <f t="shared" si="6"/>
        <v>TVQ A RECEVOIR</v>
      </c>
      <c r="N129" s="155">
        <f>+IF(OR($Q129=Parametres!$G$2,$Q129=Parametres!$G$3),I129,C129)</f>
        <v>31539.4</v>
      </c>
      <c r="O129" s="155">
        <f>+IF(OR($Q129=Parametres!$G$2,$Q129=Parametres!$G$3),J129,D129)</f>
        <v>15676.73</v>
      </c>
      <c r="P129" s="155">
        <f>+IF(OR($Q129=Parametres!$G$2,$Q129=Parametres!$G$3),K129,E129)</f>
        <v>47216.13</v>
      </c>
      <c r="Q129" s="154" t="str">
        <f t="shared" si="7"/>
        <v>3-Passifs</v>
      </c>
      <c r="R129" s="153" t="str">
        <f t="shared" si="8"/>
        <v>2221</v>
      </c>
      <c r="S129" s="154">
        <f t="shared" si="9"/>
        <v>0</v>
      </c>
      <c r="T129" s="156" t="str">
        <f>+VLOOKUP($L129,Data_Validation!$A:$D,1,0)</f>
        <v>2222</v>
      </c>
      <c r="U129" s="156" t="str">
        <f>+VLOOKUP($L129,Data_Validation!$A:$D,3,0)</f>
        <v>Bilan</v>
      </c>
      <c r="V129" s="156" t="str">
        <f>+VLOOKUP($L129,Data_Validation!$A:$D,4,0)</f>
        <v>Taxes de Vente à Payer</v>
      </c>
      <c r="W129" s="156" t="str">
        <f>+VLOOKUP($L129,Data_Validation!$A:$E,5,0)</f>
        <v>$</v>
      </c>
      <c r="X129" s="156">
        <f>+VLOOKUP($L129,Data_Validation!$A:$F,6,0)</f>
        <v>0</v>
      </c>
    </row>
    <row r="130" spans="1:24" ht="15" hidden="1" customHeight="1">
      <c r="A130" s="1013" t="s">
        <v>2813</v>
      </c>
      <c r="B130" s="1013" t="s">
        <v>2066</v>
      </c>
      <c r="C130" s="1015">
        <v>-176734.33</v>
      </c>
      <c r="D130" s="1015">
        <v>-142757.97</v>
      </c>
      <c r="E130" s="1015">
        <v>-319492.3</v>
      </c>
      <c r="F130" s="1013" t="s">
        <v>282</v>
      </c>
      <c r="G130" s="1013" t="s">
        <v>2066</v>
      </c>
      <c r="H130" s="1014"/>
      <c r="I130" s="1014"/>
      <c r="J130" s="1014"/>
      <c r="K130" s="1014"/>
      <c r="L130" s="153" t="str">
        <f t="shared" ref="L130:L162" si="10">+B130</f>
        <v>2223</v>
      </c>
      <c r="M130" s="154" t="str">
        <f t="shared" ref="M130:M162" si="11">+A130</f>
        <v>TPS A PAYER</v>
      </c>
      <c r="N130" s="155">
        <f>+IF(OR($Q130=Parametres!$G$2,$Q130=Parametres!$G$3),I130,C130)</f>
        <v>-176734.33</v>
      </c>
      <c r="O130" s="155">
        <f>+IF(OR($Q130=Parametres!$G$2,$Q130=Parametres!$G$3),J130,D130)</f>
        <v>-142757.97</v>
      </c>
      <c r="P130" s="155">
        <f>+IF(OR($Q130=Parametres!$G$2,$Q130=Parametres!$G$3),K130,E130)</f>
        <v>-319492.3</v>
      </c>
      <c r="Q130" s="154" t="str">
        <f t="shared" ref="Q130:Q162" si="12">+F130</f>
        <v>3-Passifs</v>
      </c>
      <c r="R130" s="153" t="str">
        <f t="shared" ref="R130:R162" si="13">+G130</f>
        <v>2223</v>
      </c>
      <c r="S130" s="154">
        <f t="shared" ref="S130:S162" si="14">+H130</f>
        <v>0</v>
      </c>
      <c r="T130" s="156" t="str">
        <f>+VLOOKUP($L130,Data_Validation!$A:$D,1,0)</f>
        <v>2223</v>
      </c>
      <c r="U130" s="156" t="str">
        <f>+VLOOKUP($L130,Data_Validation!$A:$D,3,0)</f>
        <v>Bilan</v>
      </c>
      <c r="V130" s="156" t="str">
        <f>+VLOOKUP($L130,Data_Validation!$A:$D,4,0)</f>
        <v>Taxes de Vente à Payer</v>
      </c>
      <c r="W130" s="156" t="str">
        <f>+VLOOKUP($L130,Data_Validation!$A:$E,5,0)</f>
        <v>$</v>
      </c>
      <c r="X130" s="156">
        <f>+VLOOKUP($L130,Data_Validation!$A:$F,6,0)</f>
        <v>0</v>
      </c>
    </row>
    <row r="131" spans="1:24" ht="15.75" hidden="1" customHeight="1">
      <c r="A131" s="1013" t="s">
        <v>2064</v>
      </c>
      <c r="B131" s="1013" t="s">
        <v>2065</v>
      </c>
      <c r="C131" s="1015">
        <v>254732.44</v>
      </c>
      <c r="D131" s="1015">
        <v>24828.81</v>
      </c>
      <c r="E131" s="1015">
        <v>279561.25</v>
      </c>
      <c r="F131" s="1013" t="s">
        <v>282</v>
      </c>
      <c r="G131" s="1013" t="s">
        <v>2066</v>
      </c>
      <c r="H131" s="1014"/>
      <c r="I131" s="1014"/>
      <c r="J131" s="1014"/>
      <c r="K131" s="1014"/>
      <c r="L131" s="153" t="str">
        <f t="shared" si="10"/>
        <v>2224</v>
      </c>
      <c r="M131" s="154" t="str">
        <f t="shared" si="11"/>
        <v>TPS A RECEVOIR</v>
      </c>
      <c r="N131" s="155">
        <f>+IF(OR($Q131=Parametres!$G$2,$Q131=Parametres!$G$3),I131,C131)</f>
        <v>254732.44</v>
      </c>
      <c r="O131" s="155">
        <f>+IF(OR($Q131=Parametres!$G$2,$Q131=Parametres!$G$3),J131,D131)</f>
        <v>24828.81</v>
      </c>
      <c r="P131" s="155">
        <f>+IF(OR($Q131=Parametres!$G$2,$Q131=Parametres!$G$3),K131,E131)</f>
        <v>279561.25</v>
      </c>
      <c r="Q131" s="154" t="str">
        <f t="shared" si="12"/>
        <v>3-Passifs</v>
      </c>
      <c r="R131" s="153" t="str">
        <f t="shared" si="13"/>
        <v>2223</v>
      </c>
      <c r="S131" s="154">
        <f t="shared" si="14"/>
        <v>0</v>
      </c>
      <c r="T131" s="156" t="str">
        <f>+VLOOKUP($L131,Data_Validation!$A:$D,1,0)</f>
        <v>2224</v>
      </c>
      <c r="U131" s="156" t="str">
        <f>+VLOOKUP($L131,Data_Validation!$A:$D,3,0)</f>
        <v>Bilan</v>
      </c>
      <c r="V131" s="156" t="str">
        <f>+VLOOKUP($L131,Data_Validation!$A:$D,4,0)</f>
        <v>Taxes de Vente à Payer</v>
      </c>
      <c r="W131" s="156" t="str">
        <f>+VLOOKUP($L131,Data_Validation!$A:$E,5,0)</f>
        <v>$</v>
      </c>
      <c r="X131" s="156">
        <f>+VLOOKUP($L131,Data_Validation!$A:$F,6,0)</f>
        <v>0</v>
      </c>
    </row>
    <row r="132" spans="1:24" ht="15" hidden="1" customHeight="1">
      <c r="A132" s="1013" t="s">
        <v>2616</v>
      </c>
      <c r="B132" s="1013" t="s">
        <v>2617</v>
      </c>
      <c r="C132" s="1015">
        <v>-1170</v>
      </c>
      <c r="D132" s="1015">
        <v>-489</v>
      </c>
      <c r="E132" s="1015">
        <v>-1659</v>
      </c>
      <c r="F132" s="1013" t="s">
        <v>282</v>
      </c>
      <c r="G132" s="1013" t="s">
        <v>2057</v>
      </c>
      <c r="H132" s="1014"/>
      <c r="I132" s="1014"/>
      <c r="J132" s="1014"/>
      <c r="K132" s="1014"/>
      <c r="L132" s="153" t="str">
        <f t="shared" si="10"/>
        <v>2225</v>
      </c>
      <c r="M132" s="154" t="str">
        <f t="shared" si="11"/>
        <v>DROIT SUR PNEUS</v>
      </c>
      <c r="N132" s="155">
        <f>+IF(OR($Q132=Parametres!$G$2,$Q132=Parametres!$G$3),I132,C132)</f>
        <v>-1170</v>
      </c>
      <c r="O132" s="155">
        <f>+IF(OR($Q132=Parametres!$G$2,$Q132=Parametres!$G$3),J132,D132)</f>
        <v>-489</v>
      </c>
      <c r="P132" s="155">
        <f>+IF(OR($Q132=Parametres!$G$2,$Q132=Parametres!$G$3),K132,E132)</f>
        <v>-1659</v>
      </c>
      <c r="Q132" s="154" t="str">
        <f t="shared" si="12"/>
        <v>3-Passifs</v>
      </c>
      <c r="R132" s="153" t="str">
        <f t="shared" si="13"/>
        <v>2221</v>
      </c>
      <c r="S132" s="154">
        <f t="shared" si="14"/>
        <v>0</v>
      </c>
      <c r="T132" s="156" t="str">
        <f>+VLOOKUP($L132,Data_Validation!$A:$D,1,0)</f>
        <v>2225</v>
      </c>
      <c r="U132" s="156" t="str">
        <f>+VLOOKUP($L132,Data_Validation!$A:$D,3,0)</f>
        <v>Bilan</v>
      </c>
      <c r="V132" s="156" t="str">
        <f>+VLOOKUP($L132,Data_Validation!$A:$D,4,0)</f>
        <v>Taxes de Vente à Payer</v>
      </c>
      <c r="W132" s="156" t="str">
        <f>+VLOOKUP($L132,Data_Validation!$A:$E,5,0)</f>
        <v>$</v>
      </c>
      <c r="X132" s="156">
        <f>+VLOOKUP($L132,Data_Validation!$A:$F,6,0)</f>
        <v>0</v>
      </c>
    </row>
    <row r="133" spans="1:24" ht="15" hidden="1" customHeight="1">
      <c r="A133" s="1013" t="s">
        <v>2818</v>
      </c>
      <c r="B133" s="1013" t="s">
        <v>2819</v>
      </c>
      <c r="C133" s="1015">
        <v>-276030.46999999997</v>
      </c>
      <c r="D133" s="1015">
        <v>-202845.72</v>
      </c>
      <c r="E133" s="1015">
        <v>-478876.19</v>
      </c>
      <c r="F133" s="1013" t="s">
        <v>282</v>
      </c>
      <c r="G133" s="1013" t="s">
        <v>2134</v>
      </c>
      <c r="H133" s="1014"/>
      <c r="I133" s="1014"/>
      <c r="J133" s="1014"/>
      <c r="K133" s="1014"/>
      <c r="L133" s="153" t="str">
        <f t="shared" si="10"/>
        <v>2281</v>
      </c>
      <c r="M133" s="154" t="str">
        <f t="shared" si="11"/>
        <v>LIEN A PAYER</v>
      </c>
      <c r="N133" s="155">
        <f>+IF(OR($Q133=Parametres!$G$2,$Q133=Parametres!$G$3),I133,C133)</f>
        <v>-276030.46999999997</v>
      </c>
      <c r="O133" s="155">
        <f>+IF(OR($Q133=Parametres!$G$2,$Q133=Parametres!$G$3),J133,D133)</f>
        <v>-202845.72</v>
      </c>
      <c r="P133" s="155">
        <f>+IF(OR($Q133=Parametres!$G$2,$Q133=Parametres!$G$3),K133,E133)</f>
        <v>-478876.19</v>
      </c>
      <c r="Q133" s="154" t="str">
        <f t="shared" si="12"/>
        <v>3-Passifs</v>
      </c>
      <c r="R133" s="153" t="str">
        <f t="shared" si="13"/>
        <v>2283</v>
      </c>
      <c r="S133" s="154">
        <f t="shared" si="14"/>
        <v>0</v>
      </c>
      <c r="T133" s="156" t="str">
        <f>+VLOOKUP($L133,Data_Validation!$A:$D,1,0)</f>
        <v>2281</v>
      </c>
      <c r="U133" s="156" t="str">
        <f>+VLOOKUP($L133,Data_Validation!$A:$D,3,0)</f>
        <v>Bilan</v>
      </c>
      <c r="V133" s="156" t="str">
        <f>+VLOOKUP($L133,Data_Validation!$A:$D,4,0)</f>
        <v>Autres Comptes à Payer</v>
      </c>
      <c r="W133" s="156" t="str">
        <f>+VLOOKUP($L133,Data_Validation!$A:$E,5,0)</f>
        <v>$</v>
      </c>
      <c r="X133" s="156">
        <f>+VLOOKUP($L133,Data_Validation!$A:$F,6,0)</f>
        <v>0</v>
      </c>
    </row>
    <row r="134" spans="1:24" ht="15" hidden="1" customHeight="1">
      <c r="A134" s="1013" t="s">
        <v>2173</v>
      </c>
      <c r="B134" s="1013" t="s">
        <v>2134</v>
      </c>
      <c r="C134" s="1015">
        <v>-920</v>
      </c>
      <c r="D134" s="1015">
        <v>77.5</v>
      </c>
      <c r="E134" s="1015">
        <v>-842.5</v>
      </c>
      <c r="F134" s="1013" t="s">
        <v>282</v>
      </c>
      <c r="G134" s="1013" t="s">
        <v>2134</v>
      </c>
      <c r="H134" s="1014"/>
      <c r="I134" s="1014"/>
      <c r="J134" s="1014"/>
      <c r="K134" s="1014"/>
      <c r="L134" s="153" t="str">
        <f t="shared" si="10"/>
        <v>2283</v>
      </c>
      <c r="M134" s="154" t="str">
        <f t="shared" si="11"/>
        <v>PLAQUE A PAYER</v>
      </c>
      <c r="N134" s="155">
        <f>+IF(OR($Q134=Parametres!$G$2,$Q134=Parametres!$G$3),I134,C134)</f>
        <v>-920</v>
      </c>
      <c r="O134" s="155">
        <f>+IF(OR($Q134=Parametres!$G$2,$Q134=Parametres!$G$3),J134,D134)</f>
        <v>77.5</v>
      </c>
      <c r="P134" s="155">
        <f>+IF(OR($Q134=Parametres!$G$2,$Q134=Parametres!$G$3),K134,E134)</f>
        <v>-842.5</v>
      </c>
      <c r="Q134" s="154" t="str">
        <f t="shared" si="12"/>
        <v>3-Passifs</v>
      </c>
      <c r="R134" s="153" t="str">
        <f t="shared" si="13"/>
        <v>2283</v>
      </c>
      <c r="S134" s="154">
        <f t="shared" si="14"/>
        <v>0</v>
      </c>
      <c r="T134" s="156" t="str">
        <f>+VLOOKUP($L134,Data_Validation!$A:$D,1,0)</f>
        <v>2283</v>
      </c>
      <c r="U134" s="156" t="str">
        <f>+VLOOKUP($L134,Data_Validation!$A:$D,3,0)</f>
        <v>Bilan</v>
      </c>
      <c r="V134" s="156" t="str">
        <f>+VLOOKUP($L134,Data_Validation!$A:$D,4,0)</f>
        <v>Autres Comptes à Payer</v>
      </c>
      <c r="W134" s="156" t="str">
        <f>+VLOOKUP($L134,Data_Validation!$A:$E,5,0)</f>
        <v>$</v>
      </c>
      <c r="X134" s="156">
        <f>+VLOOKUP($L134,Data_Validation!$A:$F,6,0)</f>
        <v>0</v>
      </c>
    </row>
    <row r="135" spans="1:24" ht="15.75" hidden="1" customHeight="1">
      <c r="A135" s="1013" t="s">
        <v>2772</v>
      </c>
      <c r="B135" s="1013" t="s">
        <v>2773</v>
      </c>
      <c r="C135" s="1035">
        <v>-67556.929999999993</v>
      </c>
      <c r="D135" s="1035">
        <v>-13986.15</v>
      </c>
      <c r="E135" s="1035">
        <v>-81543.08</v>
      </c>
      <c r="F135" s="1013" t="s">
        <v>282</v>
      </c>
      <c r="G135" s="1013" t="s">
        <v>2134</v>
      </c>
      <c r="H135" s="1014"/>
      <c r="I135" s="1015"/>
      <c r="J135" s="1015"/>
      <c r="K135" s="1015"/>
      <c r="L135" s="153" t="str">
        <f t="shared" si="10"/>
        <v>2285</v>
      </c>
      <c r="M135" s="154" t="str">
        <f t="shared" si="11"/>
        <v>PROTECTIONS A PAYER</v>
      </c>
      <c r="N135" s="155">
        <f>+IF(OR($Q135=Parametres!$G$2,$Q135=Parametres!$G$3),I135,C135)</f>
        <v>-67556.929999999993</v>
      </c>
      <c r="O135" s="155">
        <f>+IF(OR($Q135=Parametres!$G$2,$Q135=Parametres!$G$3),J135,D135)</f>
        <v>-13986.15</v>
      </c>
      <c r="P135" s="155">
        <f>+IF(OR($Q135=Parametres!$G$2,$Q135=Parametres!$G$3),K135,E135)</f>
        <v>-81543.08</v>
      </c>
      <c r="Q135" s="154" t="str">
        <f t="shared" si="12"/>
        <v>3-Passifs</v>
      </c>
      <c r="R135" s="153" t="str">
        <f t="shared" si="13"/>
        <v>2283</v>
      </c>
      <c r="S135" s="154">
        <f t="shared" si="14"/>
        <v>0</v>
      </c>
      <c r="T135" s="156" t="str">
        <f>+VLOOKUP($L135,Data_Validation!$A:$D,1,0)</f>
        <v>2285</v>
      </c>
      <c r="U135" s="156" t="str">
        <f>+VLOOKUP($L135,Data_Validation!$A:$D,3,0)</f>
        <v>Bilan</v>
      </c>
      <c r="V135" s="156" t="str">
        <f>+VLOOKUP($L135,Data_Validation!$A:$D,4,0)</f>
        <v>Autres Comptes à Payer</v>
      </c>
      <c r="W135" s="156" t="str">
        <f>+VLOOKUP($L135,Data_Validation!$A:$E,5,0)</f>
        <v>$</v>
      </c>
      <c r="X135" s="156">
        <f>+VLOOKUP($L135,Data_Validation!$A:$F,6,0)</f>
        <v>0</v>
      </c>
    </row>
    <row r="136" spans="1:24" ht="15" hidden="1" customHeight="1">
      <c r="A136" s="1013" t="s">
        <v>2746</v>
      </c>
      <c r="B136" s="1013" t="s">
        <v>2747</v>
      </c>
      <c r="C136" s="1015">
        <v>-7944.87</v>
      </c>
      <c r="D136" s="1015">
        <v>-10489.23</v>
      </c>
      <c r="E136" s="1015">
        <v>-18434.099999999999</v>
      </c>
      <c r="F136" s="1013" t="s">
        <v>282</v>
      </c>
      <c r="G136" s="1013" t="s">
        <v>2134</v>
      </c>
      <c r="H136" s="1014"/>
      <c r="I136" s="1014"/>
      <c r="J136" s="1014"/>
      <c r="K136" s="1014"/>
      <c r="L136" s="153" t="str">
        <f t="shared" si="10"/>
        <v>2287</v>
      </c>
      <c r="M136" s="154" t="str">
        <f t="shared" si="11"/>
        <v>A PAYER INVAPLAN</v>
      </c>
      <c r="N136" s="155">
        <f>+IF(OR($Q136=Parametres!$G$2,$Q136=Parametres!$G$3),I136,C136)</f>
        <v>-7944.87</v>
      </c>
      <c r="O136" s="155">
        <f>+IF(OR($Q136=Parametres!$G$2,$Q136=Parametres!$G$3),J136,D136)</f>
        <v>-10489.23</v>
      </c>
      <c r="P136" s="155">
        <f>+IF(OR($Q136=Parametres!$G$2,$Q136=Parametres!$G$3),K136,E136)</f>
        <v>-18434.099999999999</v>
      </c>
      <c r="Q136" s="154" t="str">
        <f t="shared" si="12"/>
        <v>3-Passifs</v>
      </c>
      <c r="R136" s="153" t="str">
        <f t="shared" si="13"/>
        <v>2283</v>
      </c>
      <c r="S136" s="154">
        <f t="shared" si="14"/>
        <v>0</v>
      </c>
      <c r="T136" s="156" t="str">
        <f>+VLOOKUP($L136,Data_Validation!$A:$D,1,0)</f>
        <v>2287</v>
      </c>
      <c r="U136" s="156" t="str">
        <f>+VLOOKUP($L136,Data_Validation!$A:$D,3,0)</f>
        <v>Bilan</v>
      </c>
      <c r="V136" s="156" t="str">
        <f>+VLOOKUP($L136,Data_Validation!$A:$D,4,0)</f>
        <v>Autres Comptes à Payer</v>
      </c>
      <c r="W136" s="156" t="str">
        <f>+VLOOKUP($L136,Data_Validation!$A:$E,5,0)</f>
        <v>$</v>
      </c>
      <c r="X136" s="156">
        <f>+VLOOKUP($L136,Data_Validation!$A:$F,6,0)</f>
        <v>0</v>
      </c>
    </row>
    <row r="137" spans="1:24" ht="15" hidden="1" customHeight="1">
      <c r="A137" s="1013" t="s">
        <v>2009</v>
      </c>
      <c r="B137" s="1013" t="s">
        <v>2010</v>
      </c>
      <c r="C137" s="1035">
        <v>-183582.68</v>
      </c>
      <c r="D137" s="1035">
        <v>97313.29</v>
      </c>
      <c r="E137" s="1035">
        <v>-86269.39</v>
      </c>
      <c r="F137" s="1013" t="s">
        <v>282</v>
      </c>
      <c r="G137" s="1013" t="s">
        <v>2010</v>
      </c>
      <c r="H137" s="1014"/>
      <c r="I137" s="1015"/>
      <c r="J137" s="1015"/>
      <c r="K137" s="1015"/>
      <c r="L137" s="153" t="str">
        <f t="shared" si="10"/>
        <v>2291</v>
      </c>
      <c r="M137" s="154" t="str">
        <f t="shared" si="11"/>
        <v>COMPTES FOURNISSEURS</v>
      </c>
      <c r="N137" s="155">
        <f>+IF(OR($Q137=Parametres!$G$2,$Q137=Parametres!$G$3),I137,C137)</f>
        <v>-183582.68</v>
      </c>
      <c r="O137" s="155">
        <f>+IF(OR($Q137=Parametres!$G$2,$Q137=Parametres!$G$3),J137,D137)</f>
        <v>97313.29</v>
      </c>
      <c r="P137" s="155">
        <f>+IF(OR($Q137=Parametres!$G$2,$Q137=Parametres!$G$3),K137,E137)</f>
        <v>-86269.39</v>
      </c>
      <c r="Q137" s="154" t="str">
        <f t="shared" si="12"/>
        <v>3-Passifs</v>
      </c>
      <c r="R137" s="153" t="str">
        <f t="shared" si="13"/>
        <v>2291</v>
      </c>
      <c r="S137" s="154">
        <f t="shared" si="14"/>
        <v>0</v>
      </c>
      <c r="T137" s="156" t="str">
        <f>+VLOOKUP($L137,Data_Validation!$A:$D,1,0)</f>
        <v>2291</v>
      </c>
      <c r="U137" s="156" t="str">
        <f>+VLOOKUP($L137,Data_Validation!$A:$D,3,0)</f>
        <v>Bilan</v>
      </c>
      <c r="V137" s="156" t="str">
        <f>+VLOOKUP($L137,Data_Validation!$A:$D,4,0)</f>
        <v>Comptes à Payer Fournisseurs</v>
      </c>
      <c r="W137" s="156" t="str">
        <f>+VLOOKUP($L137,Data_Validation!$A:$E,5,0)</f>
        <v>$</v>
      </c>
      <c r="X137" s="156">
        <f>+VLOOKUP($L137,Data_Validation!$A:$F,6,0)</f>
        <v>0</v>
      </c>
    </row>
    <row r="138" spans="1:24" ht="15" hidden="1" customHeight="1">
      <c r="A138" s="1013" t="s">
        <v>2049</v>
      </c>
      <c r="B138" s="1013" t="s">
        <v>2050</v>
      </c>
      <c r="C138" s="1015">
        <v>-19000</v>
      </c>
      <c r="D138" s="1015">
        <v>-160903.70000000001</v>
      </c>
      <c r="E138" s="1015">
        <v>-179903.7</v>
      </c>
      <c r="F138" s="1013" t="s">
        <v>282</v>
      </c>
      <c r="G138" s="1013" t="s">
        <v>2010</v>
      </c>
      <c r="H138" s="1014"/>
      <c r="I138" s="1014"/>
      <c r="J138" s="1014"/>
      <c r="K138" s="1014"/>
      <c r="L138" s="153" t="str">
        <f t="shared" si="10"/>
        <v>2292</v>
      </c>
      <c r="M138" s="154" t="str">
        <f t="shared" si="11"/>
        <v>ECHANGE ENTRE CONCESSIONNAIRES</v>
      </c>
      <c r="N138" s="155">
        <f>+IF(OR($Q138=Parametres!$G$2,$Q138=Parametres!$G$3),I138,C138)</f>
        <v>-19000</v>
      </c>
      <c r="O138" s="155">
        <f>+IF(OR($Q138=Parametres!$G$2,$Q138=Parametres!$G$3),J138,D138)</f>
        <v>-160903.70000000001</v>
      </c>
      <c r="P138" s="155">
        <f>+IF(OR($Q138=Parametres!$G$2,$Q138=Parametres!$G$3),K138,E138)</f>
        <v>-179903.7</v>
      </c>
      <c r="Q138" s="154" t="str">
        <f t="shared" si="12"/>
        <v>3-Passifs</v>
      </c>
      <c r="R138" s="153" t="str">
        <f t="shared" si="13"/>
        <v>2291</v>
      </c>
      <c r="S138" s="154">
        <f t="shared" si="14"/>
        <v>0</v>
      </c>
      <c r="T138" s="156" t="str">
        <f>+VLOOKUP($L138,Data_Validation!$A:$D,1,0)</f>
        <v>2292</v>
      </c>
      <c r="U138" s="156" t="str">
        <f>+VLOOKUP($L138,Data_Validation!$A:$D,3,0)</f>
        <v>Bilan</v>
      </c>
      <c r="V138" s="156" t="str">
        <f>+VLOOKUP($L138,Data_Validation!$A:$D,4,0)</f>
        <v>Autres Comptes à Payer</v>
      </c>
      <c r="W138" s="156" t="str">
        <f>+VLOOKUP($L138,Data_Validation!$A:$E,5,0)</f>
        <v>$</v>
      </c>
      <c r="X138" s="156">
        <f>+VLOOKUP($L138,Data_Validation!$A:$F,6,0)</f>
        <v>0</v>
      </c>
    </row>
    <row r="139" spans="1:24" ht="15.75" hidden="1" customHeight="1">
      <c r="A139" s="1013" t="s">
        <v>2132</v>
      </c>
      <c r="B139" s="1013" t="s">
        <v>2133</v>
      </c>
      <c r="C139" s="1035">
        <v>-6578.9</v>
      </c>
      <c r="D139" s="1035">
        <v>136.94</v>
      </c>
      <c r="E139" s="1035">
        <v>-6441.96</v>
      </c>
      <c r="F139" s="1013" t="s">
        <v>282</v>
      </c>
      <c r="G139" s="1013" t="s">
        <v>2134</v>
      </c>
      <c r="H139" s="1014"/>
      <c r="I139" s="1015"/>
      <c r="J139" s="1015"/>
      <c r="K139" s="1015"/>
      <c r="L139" s="153" t="str">
        <f t="shared" si="10"/>
        <v>2293</v>
      </c>
      <c r="M139" s="154" t="str">
        <f t="shared" si="11"/>
        <v>PROVISIONS GARANTIES USAGEES</v>
      </c>
      <c r="N139" s="155">
        <f>+IF(OR($Q139=Parametres!$G$2,$Q139=Parametres!$G$3),I139,C139)</f>
        <v>-6578.9</v>
      </c>
      <c r="O139" s="155">
        <f>+IF(OR($Q139=Parametres!$G$2,$Q139=Parametres!$G$3),J139,D139)</f>
        <v>136.94</v>
      </c>
      <c r="P139" s="155">
        <f>+IF(OR($Q139=Parametres!$G$2,$Q139=Parametres!$G$3),K139,E139)</f>
        <v>-6441.96</v>
      </c>
      <c r="Q139" s="154" t="str">
        <f t="shared" si="12"/>
        <v>3-Passifs</v>
      </c>
      <c r="R139" s="153" t="str">
        <f t="shared" si="13"/>
        <v>2283</v>
      </c>
      <c r="S139" s="154">
        <f t="shared" si="14"/>
        <v>0</v>
      </c>
      <c r="T139" s="156" t="str">
        <f>+VLOOKUP($L139,Data_Validation!$A:$D,1,0)</f>
        <v>2293</v>
      </c>
      <c r="U139" s="156" t="str">
        <f>+VLOOKUP($L139,Data_Validation!$A:$D,3,0)</f>
        <v>Bilan</v>
      </c>
      <c r="V139" s="156" t="str">
        <f>+VLOOKUP($L139,Data_Validation!$A:$D,4,0)</f>
        <v>Autres Courus</v>
      </c>
      <c r="W139" s="156" t="str">
        <f>+VLOOKUP($L139,Data_Validation!$A:$E,5,0)</f>
        <v>$</v>
      </c>
      <c r="X139" s="156">
        <f>+VLOOKUP($L139,Data_Validation!$A:$F,6,0)</f>
        <v>0</v>
      </c>
    </row>
    <row r="140" spans="1:24" ht="15" hidden="1" customHeight="1">
      <c r="A140" s="1013" t="s">
        <v>2419</v>
      </c>
      <c r="B140" s="1013" t="s">
        <v>2420</v>
      </c>
      <c r="C140" s="1015">
        <v>-70.34</v>
      </c>
      <c r="D140" s="1015">
        <v>0</v>
      </c>
      <c r="E140" s="1015">
        <v>-70.34</v>
      </c>
      <c r="F140" s="1013" t="s">
        <v>282</v>
      </c>
      <c r="G140" s="1013" t="s">
        <v>2133</v>
      </c>
      <c r="H140" s="1014"/>
      <c r="I140" s="1014"/>
      <c r="J140" s="1014"/>
      <c r="K140" s="1014"/>
      <c r="L140" s="153" t="str">
        <f t="shared" si="10"/>
        <v>2295</v>
      </c>
      <c r="M140" s="154" t="str">
        <f t="shared" si="11"/>
        <v>RESERVE ESSENCE</v>
      </c>
      <c r="N140" s="155">
        <f>+IF(OR($Q140=Parametres!$G$2,$Q140=Parametres!$G$3),I140,C140)</f>
        <v>-70.34</v>
      </c>
      <c r="O140" s="155">
        <f>+IF(OR($Q140=Parametres!$G$2,$Q140=Parametres!$G$3),J140,D140)</f>
        <v>0</v>
      </c>
      <c r="P140" s="155">
        <f>+IF(OR($Q140=Parametres!$G$2,$Q140=Parametres!$G$3),K140,E140)</f>
        <v>-70.34</v>
      </c>
      <c r="Q140" s="154" t="str">
        <f t="shared" si="12"/>
        <v>3-Passifs</v>
      </c>
      <c r="R140" s="153" t="str">
        <f t="shared" si="13"/>
        <v>2293</v>
      </c>
      <c r="S140" s="154">
        <f t="shared" si="14"/>
        <v>0</v>
      </c>
      <c r="T140" s="156" t="str">
        <f>+VLOOKUP($L140,Data_Validation!$A:$D,1,0)</f>
        <v>2295</v>
      </c>
      <c r="U140" s="156" t="str">
        <f>+VLOOKUP($L140,Data_Validation!$A:$D,3,0)</f>
        <v>Bilan</v>
      </c>
      <c r="V140" s="156" t="str">
        <f>+VLOOKUP($L140,Data_Validation!$A:$D,4,0)</f>
        <v>Autres Courus</v>
      </c>
      <c r="W140" s="156" t="str">
        <f>+VLOOKUP($L140,Data_Validation!$A:$E,5,0)</f>
        <v>$</v>
      </c>
      <c r="X140" s="156">
        <f>+VLOOKUP($L140,Data_Validation!$A:$F,6,0)</f>
        <v>0</v>
      </c>
    </row>
    <row r="141" spans="1:24" ht="15" hidden="1" customHeight="1">
      <c r="A141" s="1013" t="s">
        <v>2146</v>
      </c>
      <c r="B141" s="1013" t="s">
        <v>2147</v>
      </c>
      <c r="C141" s="1035">
        <v>-6300</v>
      </c>
      <c r="D141" s="1035">
        <v>-4100</v>
      </c>
      <c r="E141" s="1035">
        <v>-10400</v>
      </c>
      <c r="F141" s="1013" t="s">
        <v>282</v>
      </c>
      <c r="G141" s="1013" t="s">
        <v>2134</v>
      </c>
      <c r="H141" s="1014"/>
      <c r="I141" s="1015"/>
      <c r="J141" s="1015"/>
      <c r="K141" s="1015"/>
      <c r="L141" s="153" t="str">
        <f t="shared" si="10"/>
        <v>2297</v>
      </c>
      <c r="M141" s="154" t="str">
        <f t="shared" si="11"/>
        <v>RESERVE RENOUVELLEMENT</v>
      </c>
      <c r="N141" s="155">
        <f>+IF(OR($Q141=Parametres!$G$2,$Q141=Parametres!$G$3),I141,C141)</f>
        <v>-6300</v>
      </c>
      <c r="O141" s="155">
        <f>+IF(OR($Q141=Parametres!$G$2,$Q141=Parametres!$G$3),J141,D141)</f>
        <v>-4100</v>
      </c>
      <c r="P141" s="155">
        <f>+IF(OR($Q141=Parametres!$G$2,$Q141=Parametres!$G$3),K141,E141)</f>
        <v>-10400</v>
      </c>
      <c r="Q141" s="154" t="str">
        <f t="shared" si="12"/>
        <v>3-Passifs</v>
      </c>
      <c r="R141" s="153" t="str">
        <f t="shared" si="13"/>
        <v>2283</v>
      </c>
      <c r="S141" s="154">
        <f t="shared" si="14"/>
        <v>0</v>
      </c>
      <c r="T141" s="156" t="str">
        <f>+VLOOKUP($L141,Data_Validation!$A:$D,1,0)</f>
        <v>2297</v>
      </c>
      <c r="U141" s="156" t="str">
        <f>+VLOOKUP($L141,Data_Validation!$A:$D,3,0)</f>
        <v>Bilan</v>
      </c>
      <c r="V141" s="156" t="str">
        <f>+VLOOKUP($L141,Data_Validation!$A:$D,4,0)</f>
        <v>Autres Courus</v>
      </c>
      <c r="W141" s="156" t="str">
        <f>+VLOOKUP($L141,Data_Validation!$A:$E,5,0)</f>
        <v>$</v>
      </c>
      <c r="X141" s="156">
        <f>+VLOOKUP($L141,Data_Validation!$A:$F,6,0)</f>
        <v>0</v>
      </c>
    </row>
    <row r="142" spans="1:24" ht="15" hidden="1" customHeight="1">
      <c r="A142" s="1013" t="s">
        <v>2710</v>
      </c>
      <c r="B142" s="1013" t="s">
        <v>2162</v>
      </c>
      <c r="C142" s="1015">
        <v>5905.47</v>
      </c>
      <c r="D142" s="1015">
        <v>46.18</v>
      </c>
      <c r="E142" s="1015">
        <v>5951.65</v>
      </c>
      <c r="F142" s="1013" t="s">
        <v>282</v>
      </c>
      <c r="G142" s="1013" t="s">
        <v>2162</v>
      </c>
      <c r="H142" s="1014"/>
      <c r="I142" s="1014"/>
      <c r="J142" s="1014"/>
      <c r="K142" s="1014"/>
      <c r="L142" s="153" t="str">
        <f t="shared" si="10"/>
        <v>2315</v>
      </c>
      <c r="M142" s="154" t="str">
        <f t="shared" si="11"/>
        <v>PRIME ASSURANCE GROUPE</v>
      </c>
      <c r="N142" s="155">
        <f>+IF(OR($Q142=Parametres!$G$2,$Q142=Parametres!$G$3),I142,C142)</f>
        <v>5905.47</v>
      </c>
      <c r="O142" s="155">
        <f>+IF(OR($Q142=Parametres!$G$2,$Q142=Parametres!$G$3),J142,D142)</f>
        <v>46.18</v>
      </c>
      <c r="P142" s="155">
        <f>+IF(OR($Q142=Parametres!$G$2,$Q142=Parametres!$G$3),K142,E142)</f>
        <v>5951.65</v>
      </c>
      <c r="Q142" s="154" t="str">
        <f t="shared" si="12"/>
        <v>3-Passifs</v>
      </c>
      <c r="R142" s="153" t="str">
        <f t="shared" si="13"/>
        <v>2315</v>
      </c>
      <c r="S142" s="154">
        <f t="shared" si="14"/>
        <v>0</v>
      </c>
      <c r="T142" s="156" t="str">
        <f>+VLOOKUP($L142,Data_Validation!$A:$D,1,0)</f>
        <v>2315</v>
      </c>
      <c r="U142" s="156" t="str">
        <f>+VLOOKUP($L142,Data_Validation!$A:$D,3,0)</f>
        <v>Bilan</v>
      </c>
      <c r="V142" s="156" t="str">
        <f>+VLOOKUP($L142,Data_Validation!$A:$D,4,0)</f>
        <v>DAS à Payer</v>
      </c>
      <c r="W142" s="156" t="str">
        <f>+VLOOKUP($L142,Data_Validation!$A:$E,5,0)</f>
        <v>$</v>
      </c>
      <c r="X142" s="156">
        <f>+VLOOKUP($L142,Data_Validation!$A:$F,6,0)</f>
        <v>0</v>
      </c>
    </row>
    <row r="143" spans="1:24" ht="15.75" hidden="1" customHeight="1">
      <c r="A143" s="1013" t="s">
        <v>2160</v>
      </c>
      <c r="B143" s="1013" t="s">
        <v>2161</v>
      </c>
      <c r="C143" s="1035">
        <v>13.41</v>
      </c>
      <c r="D143" s="1035">
        <v>24.69</v>
      </c>
      <c r="E143" s="1035">
        <v>38.1</v>
      </c>
      <c r="F143" s="1013" t="s">
        <v>282</v>
      </c>
      <c r="G143" s="1013" t="s">
        <v>2162</v>
      </c>
      <c r="H143" s="1014"/>
      <c r="I143" s="1015"/>
      <c r="J143" s="1015"/>
      <c r="K143" s="1015"/>
      <c r="L143" s="153" t="str">
        <f t="shared" si="10"/>
        <v>2335</v>
      </c>
      <c r="M143" s="154" t="str">
        <f t="shared" si="11"/>
        <v>COMITE SOCIAL</v>
      </c>
      <c r="N143" s="155">
        <f>+IF(OR($Q143=Parametres!$G$2,$Q143=Parametres!$G$3),I143,C143)</f>
        <v>13.41</v>
      </c>
      <c r="O143" s="155">
        <f>+IF(OR($Q143=Parametres!$G$2,$Q143=Parametres!$G$3),J143,D143)</f>
        <v>24.69</v>
      </c>
      <c r="P143" s="155">
        <f>+IF(OR($Q143=Parametres!$G$2,$Q143=Parametres!$G$3),K143,E143)</f>
        <v>38.1</v>
      </c>
      <c r="Q143" s="154" t="str">
        <f t="shared" si="12"/>
        <v>3-Passifs</v>
      </c>
      <c r="R143" s="153" t="str">
        <f t="shared" si="13"/>
        <v>2315</v>
      </c>
      <c r="S143" s="154">
        <f t="shared" si="14"/>
        <v>0</v>
      </c>
      <c r="T143" s="156" t="str">
        <f>+VLOOKUP($L143,Data_Validation!$A:$D,1,0)</f>
        <v>2335</v>
      </c>
      <c r="U143" s="156" t="str">
        <f>+VLOOKUP($L143,Data_Validation!$A:$D,3,0)</f>
        <v>Bilan</v>
      </c>
      <c r="V143" s="156" t="str">
        <f>+VLOOKUP($L143,Data_Validation!$A:$D,4,0)</f>
        <v>DAS à Payer</v>
      </c>
      <c r="W143" s="156" t="str">
        <f>+VLOOKUP($L143,Data_Validation!$A:$E,5,0)</f>
        <v>$</v>
      </c>
      <c r="X143" s="156">
        <f>+VLOOKUP($L143,Data_Validation!$A:$F,6,0)</f>
        <v>0</v>
      </c>
    </row>
    <row r="144" spans="1:24" ht="15" hidden="1" customHeight="1">
      <c r="A144" s="1013" t="s">
        <v>2749</v>
      </c>
      <c r="B144" s="1013" t="s">
        <v>2750</v>
      </c>
      <c r="C144" s="1015">
        <v>-20636.41</v>
      </c>
      <c r="D144" s="1015">
        <v>-7834.19</v>
      </c>
      <c r="E144" s="1015">
        <v>-28470.6</v>
      </c>
      <c r="F144" s="1013" t="s">
        <v>282</v>
      </c>
      <c r="G144" s="1013" t="s">
        <v>2162</v>
      </c>
      <c r="H144" s="1014"/>
      <c r="I144" s="1014"/>
      <c r="J144" s="1014"/>
      <c r="K144" s="1014"/>
      <c r="L144" s="153" t="str">
        <f t="shared" si="10"/>
        <v>2342</v>
      </c>
      <c r="M144" s="154" t="str">
        <f t="shared" si="11"/>
        <v>REER STANDARD LIFE</v>
      </c>
      <c r="N144" s="155">
        <f>+IF(OR($Q144=Parametres!$G$2,$Q144=Parametres!$G$3),I144,C144)</f>
        <v>-20636.41</v>
      </c>
      <c r="O144" s="155">
        <f>+IF(OR($Q144=Parametres!$G$2,$Q144=Parametres!$G$3),J144,D144)</f>
        <v>-7834.19</v>
      </c>
      <c r="P144" s="155">
        <f>+IF(OR($Q144=Parametres!$G$2,$Q144=Parametres!$G$3),K144,E144)</f>
        <v>-28470.6</v>
      </c>
      <c r="Q144" s="154" t="str">
        <f t="shared" si="12"/>
        <v>3-Passifs</v>
      </c>
      <c r="R144" s="153" t="str">
        <f t="shared" si="13"/>
        <v>2315</v>
      </c>
      <c r="S144" s="154">
        <f t="shared" si="14"/>
        <v>0</v>
      </c>
      <c r="T144" s="156" t="str">
        <f>+VLOOKUP($L144,Data_Validation!$A:$D,1,0)</f>
        <v>2342</v>
      </c>
      <c r="U144" s="156" t="str">
        <f>+VLOOKUP($L144,Data_Validation!$A:$D,3,0)</f>
        <v>Bilan</v>
      </c>
      <c r="V144" s="156" t="str">
        <f>+VLOOKUP($L144,Data_Validation!$A:$D,4,0)</f>
        <v>DAS à Payer</v>
      </c>
      <c r="W144" s="156" t="str">
        <f>+VLOOKUP($L144,Data_Validation!$A:$E,5,0)</f>
        <v>$</v>
      </c>
      <c r="X144" s="156">
        <f>+VLOOKUP($L144,Data_Validation!$A:$F,6,0)</f>
        <v>0</v>
      </c>
    </row>
    <row r="145" spans="1:24" ht="15" hidden="1" customHeight="1">
      <c r="A145" s="1013" t="s">
        <v>2582</v>
      </c>
      <c r="B145" s="1013" t="s">
        <v>2583</v>
      </c>
      <c r="C145" s="1035">
        <v>-343.06</v>
      </c>
      <c r="D145" s="1035">
        <v>-180.54</v>
      </c>
      <c r="E145" s="1035">
        <v>-523.6</v>
      </c>
      <c r="F145" s="1013" t="s">
        <v>282</v>
      </c>
      <c r="G145" s="1013" t="s">
        <v>2162</v>
      </c>
      <c r="H145" s="1014"/>
      <c r="I145" s="1015"/>
      <c r="J145" s="1015"/>
      <c r="K145" s="1015"/>
      <c r="L145" s="153" t="str">
        <f t="shared" si="10"/>
        <v>2343</v>
      </c>
      <c r="M145" s="154" t="str">
        <f t="shared" si="11"/>
        <v>COMITE PARITAIRE</v>
      </c>
      <c r="N145" s="155">
        <f>+IF(OR($Q145=Parametres!$G$2,$Q145=Parametres!$G$3),I145,C145)</f>
        <v>-343.06</v>
      </c>
      <c r="O145" s="155">
        <f>+IF(OR($Q145=Parametres!$G$2,$Q145=Parametres!$G$3),J145,D145)</f>
        <v>-180.54</v>
      </c>
      <c r="P145" s="155">
        <f>+IF(OR($Q145=Parametres!$G$2,$Q145=Parametres!$G$3),K145,E145)</f>
        <v>-523.6</v>
      </c>
      <c r="Q145" s="154" t="str">
        <f t="shared" si="12"/>
        <v>3-Passifs</v>
      </c>
      <c r="R145" s="153" t="str">
        <f t="shared" si="13"/>
        <v>2315</v>
      </c>
      <c r="S145" s="154">
        <f t="shared" si="14"/>
        <v>0</v>
      </c>
      <c r="T145" s="156" t="str">
        <f>+VLOOKUP($L145,Data_Validation!$A:$D,1,0)</f>
        <v>2343</v>
      </c>
      <c r="U145" s="156" t="str">
        <f>+VLOOKUP($L145,Data_Validation!$A:$D,3,0)</f>
        <v>Bilan</v>
      </c>
      <c r="V145" s="156" t="str">
        <f>+VLOOKUP($L145,Data_Validation!$A:$D,4,0)</f>
        <v>DAS à Payer</v>
      </c>
      <c r="W145" s="156" t="str">
        <f>+VLOOKUP($L145,Data_Validation!$A:$E,5,0)</f>
        <v>$</v>
      </c>
      <c r="X145" s="156">
        <f>+VLOOKUP($L145,Data_Validation!$A:$F,6,0)</f>
        <v>0</v>
      </c>
    </row>
    <row r="146" spans="1:24" ht="15" hidden="1" customHeight="1">
      <c r="A146" s="1013" t="s">
        <v>536</v>
      </c>
      <c r="B146" s="1013" t="s">
        <v>2185</v>
      </c>
      <c r="C146" s="1015">
        <v>-547</v>
      </c>
      <c r="D146" s="1015">
        <v>-304.5</v>
      </c>
      <c r="E146" s="1015">
        <v>-851.5</v>
      </c>
      <c r="F146" s="1013" t="s">
        <v>282</v>
      </c>
      <c r="G146" s="1013" t="s">
        <v>2162</v>
      </c>
      <c r="H146" s="1014"/>
      <c r="I146" s="1014"/>
      <c r="J146" s="1014"/>
      <c r="K146" s="1014"/>
      <c r="L146" s="153" t="str">
        <f t="shared" si="10"/>
        <v>2344</v>
      </c>
      <c r="M146" s="154" t="str">
        <f t="shared" si="11"/>
        <v>CENTRAIDE</v>
      </c>
      <c r="N146" s="155">
        <f>+IF(OR($Q146=Parametres!$G$2,$Q146=Parametres!$G$3),I146,C146)</f>
        <v>-547</v>
      </c>
      <c r="O146" s="155">
        <f>+IF(OR($Q146=Parametres!$G$2,$Q146=Parametres!$G$3),J146,D146)</f>
        <v>-304.5</v>
      </c>
      <c r="P146" s="155">
        <f>+IF(OR($Q146=Parametres!$G$2,$Q146=Parametres!$G$3),K146,E146)</f>
        <v>-851.5</v>
      </c>
      <c r="Q146" s="154" t="str">
        <f t="shared" si="12"/>
        <v>3-Passifs</v>
      </c>
      <c r="R146" s="153" t="str">
        <f t="shared" si="13"/>
        <v>2315</v>
      </c>
      <c r="S146" s="154">
        <f t="shared" si="14"/>
        <v>0</v>
      </c>
      <c r="T146" s="156" t="str">
        <f>+VLOOKUP($L146,Data_Validation!$A:$D,1,0)</f>
        <v>2344</v>
      </c>
      <c r="U146" s="156" t="str">
        <f>+VLOOKUP($L146,Data_Validation!$A:$D,3,0)</f>
        <v>Bilan</v>
      </c>
      <c r="V146" s="156" t="str">
        <f>+VLOOKUP($L146,Data_Validation!$A:$D,4,0)</f>
        <v>DAS à Payer</v>
      </c>
      <c r="W146" s="156" t="str">
        <f>+VLOOKUP($L146,Data_Validation!$A:$E,5,0)</f>
        <v>$</v>
      </c>
      <c r="X146" s="156">
        <f>+VLOOKUP($L146,Data_Validation!$A:$F,6,0)</f>
        <v>0</v>
      </c>
    </row>
    <row r="147" spans="1:24" ht="15" hidden="1" customHeight="1">
      <c r="A147" s="1013" t="s">
        <v>2193</v>
      </c>
      <c r="B147" s="1013" t="s">
        <v>2194</v>
      </c>
      <c r="C147" s="1035">
        <v>-5900</v>
      </c>
      <c r="D147" s="1035">
        <v>450</v>
      </c>
      <c r="E147" s="1035">
        <v>-5450</v>
      </c>
      <c r="F147" s="1013" t="s">
        <v>282</v>
      </c>
      <c r="G147" s="1013" t="s">
        <v>2194</v>
      </c>
      <c r="H147" s="1014"/>
      <c r="I147" s="1015"/>
      <c r="J147" s="1015"/>
      <c r="K147" s="1015"/>
      <c r="L147" s="153" t="str">
        <f t="shared" si="10"/>
        <v>2401</v>
      </c>
      <c r="M147" s="154" t="str">
        <f t="shared" si="11"/>
        <v>DEPOTS FIDUCIE-VENTE CLIENTS</v>
      </c>
      <c r="N147" s="155">
        <f>+IF(OR($Q147=Parametres!$G$2,$Q147=Parametres!$G$3),I147,C147)</f>
        <v>-5900</v>
      </c>
      <c r="O147" s="155">
        <f>+IF(OR($Q147=Parametres!$G$2,$Q147=Parametres!$G$3),J147,D147)</f>
        <v>450</v>
      </c>
      <c r="P147" s="155">
        <f>+IF(OR($Q147=Parametres!$G$2,$Q147=Parametres!$G$3),K147,E147)</f>
        <v>-5450</v>
      </c>
      <c r="Q147" s="154" t="str">
        <f t="shared" si="12"/>
        <v>3-Passifs</v>
      </c>
      <c r="R147" s="153" t="str">
        <f t="shared" si="13"/>
        <v>2401</v>
      </c>
      <c r="S147" s="154">
        <f t="shared" si="14"/>
        <v>0</v>
      </c>
      <c r="T147" s="156" t="str">
        <f>+VLOOKUP($L147,Data_Validation!$A:$D,1,0)</f>
        <v>2401</v>
      </c>
      <c r="U147" s="156" t="str">
        <f>+VLOOKUP($L147,Data_Validation!$A:$D,3,0)</f>
        <v>Bilan</v>
      </c>
      <c r="V147" s="156" t="str">
        <f>+VLOOKUP($L147,Data_Validation!$A:$D,4,0)</f>
        <v>Dépôts de Client</v>
      </c>
      <c r="W147" s="156" t="str">
        <f>+VLOOKUP($L147,Data_Validation!$A:$E,5,0)</f>
        <v>$</v>
      </c>
      <c r="X147" s="156">
        <f>+VLOOKUP($L147,Data_Validation!$A:$F,6,0)</f>
        <v>0</v>
      </c>
    </row>
    <row r="148" spans="1:24" ht="15" hidden="1" customHeight="1">
      <c r="A148" s="1013" t="s">
        <v>2600</v>
      </c>
      <c r="B148" s="1013" t="s">
        <v>2601</v>
      </c>
      <c r="C148" s="1015">
        <v>-23995.63</v>
      </c>
      <c r="D148" s="1015">
        <v>-2505.15</v>
      </c>
      <c r="E148" s="1015">
        <v>-26500.78</v>
      </c>
      <c r="F148" s="1013" t="s">
        <v>282</v>
      </c>
      <c r="G148" s="1013" t="s">
        <v>2601</v>
      </c>
      <c r="H148" s="1014"/>
      <c r="I148" s="1014"/>
      <c r="J148" s="1014"/>
      <c r="K148" s="1014"/>
      <c r="L148" s="153" t="str">
        <f t="shared" si="10"/>
        <v>2501</v>
      </c>
      <c r="M148" s="154" t="str">
        <f t="shared" si="11"/>
        <v>COMMISSION A PAYER</v>
      </c>
      <c r="N148" s="155">
        <f>+IF(OR($Q148=Parametres!$G$2,$Q148=Parametres!$G$3),I148,C148)</f>
        <v>-23995.63</v>
      </c>
      <c r="O148" s="575">
        <f>+IF(OR($Q148=Parametres!$G$2,$Q148=Parametres!$G$3),J148,D148)</f>
        <v>-2505.15</v>
      </c>
      <c r="P148" s="155">
        <f>+IF(OR($Q148=Parametres!$G$2,$Q148=Parametres!$G$3),K148,E148)</f>
        <v>-26500.78</v>
      </c>
      <c r="Q148" s="154" t="str">
        <f t="shared" si="12"/>
        <v>3-Passifs</v>
      </c>
      <c r="R148" s="153" t="str">
        <f t="shared" si="13"/>
        <v>2501</v>
      </c>
      <c r="S148" s="154">
        <f t="shared" si="14"/>
        <v>0</v>
      </c>
      <c r="T148" s="156" t="str">
        <f>+VLOOKUP($L148,Data_Validation!$A:$D,1,0)</f>
        <v>2501</v>
      </c>
      <c r="U148" s="156" t="str">
        <f>+VLOOKUP($L148,Data_Validation!$A:$D,3,0)</f>
        <v>Bilan</v>
      </c>
      <c r="V148" s="156" t="str">
        <f>+VLOOKUP($L148,Data_Validation!$A:$D,4,0)</f>
        <v>Salaires à Payer</v>
      </c>
      <c r="W148" s="156" t="str">
        <f>+VLOOKUP($L148,Data_Validation!$A:$E,5,0)</f>
        <v>$</v>
      </c>
      <c r="X148" s="156">
        <f>+VLOOKUP($L148,Data_Validation!$A:$F,6,0)</f>
        <v>0</v>
      </c>
    </row>
    <row r="149" spans="1:24" ht="15" hidden="1" customHeight="1">
      <c r="A149" s="1013" t="s">
        <v>2058</v>
      </c>
      <c r="B149" s="1013" t="s">
        <v>2059</v>
      </c>
      <c r="C149" s="1035">
        <v>-140353.01</v>
      </c>
      <c r="D149" s="1035">
        <v>-30650.720000000001</v>
      </c>
      <c r="E149" s="1035">
        <v>-171003.73</v>
      </c>
      <c r="F149" s="1013" t="s">
        <v>282</v>
      </c>
      <c r="G149" s="1013" t="s">
        <v>2059</v>
      </c>
      <c r="H149" s="1014"/>
      <c r="I149" s="1015"/>
      <c r="J149" s="1015"/>
      <c r="K149" s="1015"/>
      <c r="L149" s="153" t="str">
        <f t="shared" si="10"/>
        <v>2503</v>
      </c>
      <c r="M149" s="154" t="str">
        <f t="shared" si="11"/>
        <v>SALAIRES DES EMPLOYES</v>
      </c>
      <c r="N149" s="155">
        <f>+IF(OR($Q149=Parametres!$G$2,$Q149=Parametres!$G$3),I149,C149)</f>
        <v>-140353.01</v>
      </c>
      <c r="O149" s="155">
        <f>+IF(OR($Q149=Parametres!$G$2,$Q149=Parametres!$G$3),J149,D149)</f>
        <v>-30650.720000000001</v>
      </c>
      <c r="P149" s="155">
        <f>+IF(OR($Q149=Parametres!$G$2,$Q149=Parametres!$G$3),K149,E149)</f>
        <v>-171003.73</v>
      </c>
      <c r="Q149" s="154" t="str">
        <f t="shared" si="12"/>
        <v>3-Passifs</v>
      </c>
      <c r="R149" s="153" t="str">
        <f t="shared" si="13"/>
        <v>2503</v>
      </c>
      <c r="S149" s="154">
        <f t="shared" si="14"/>
        <v>0</v>
      </c>
      <c r="T149" s="156" t="str">
        <f>+VLOOKUP($L149,Data_Validation!$A:$D,1,0)</f>
        <v>2503</v>
      </c>
      <c r="U149" s="156" t="str">
        <f>+VLOOKUP($L149,Data_Validation!$A:$D,3,0)</f>
        <v>Bilan</v>
      </c>
      <c r="V149" s="156" t="str">
        <f>+VLOOKUP($L149,Data_Validation!$A:$D,4,0)</f>
        <v>Salaires à Payer</v>
      </c>
      <c r="W149" s="156" t="str">
        <f>+VLOOKUP($L149,Data_Validation!$A:$E,5,0)</f>
        <v>$</v>
      </c>
      <c r="X149" s="156">
        <f>+VLOOKUP($L149,Data_Validation!$A:$F,6,0)</f>
        <v>0</v>
      </c>
    </row>
    <row r="150" spans="1:24" ht="15" hidden="1" customHeight="1">
      <c r="A150" s="1013" t="s">
        <v>2098</v>
      </c>
      <c r="B150" s="1013" t="s">
        <v>2099</v>
      </c>
      <c r="C150" s="1015">
        <v>-23806.9</v>
      </c>
      <c r="D150" s="1015">
        <v>6249.44</v>
      </c>
      <c r="E150" s="1015">
        <v>-17557.46</v>
      </c>
      <c r="F150" s="1013" t="s">
        <v>282</v>
      </c>
      <c r="G150" s="1013" t="s">
        <v>2059</v>
      </c>
      <c r="H150" s="1014"/>
      <c r="I150" s="1014"/>
      <c r="J150" s="1014"/>
      <c r="K150" s="1014"/>
      <c r="L150" s="153" t="str">
        <f t="shared" si="10"/>
        <v>2505</v>
      </c>
      <c r="M150" s="154" t="str">
        <f t="shared" si="11"/>
        <v>JOURS FERIES</v>
      </c>
      <c r="N150" s="155">
        <f>+IF(OR($Q150=Parametres!$G$2,$Q150=Parametres!$G$3),I150,C150)</f>
        <v>-23806.9</v>
      </c>
      <c r="O150" s="155">
        <f>+IF(OR($Q150=Parametres!$G$2,$Q150=Parametres!$G$3),J150,D150)</f>
        <v>6249.44</v>
      </c>
      <c r="P150" s="155">
        <f>+IF(OR($Q150=Parametres!$G$2,$Q150=Parametres!$G$3),K150,E150)</f>
        <v>-17557.46</v>
      </c>
      <c r="Q150" s="154" t="str">
        <f t="shared" si="12"/>
        <v>3-Passifs</v>
      </c>
      <c r="R150" s="153" t="str">
        <f t="shared" si="13"/>
        <v>2503</v>
      </c>
      <c r="S150" s="154">
        <f t="shared" si="14"/>
        <v>0</v>
      </c>
      <c r="T150" s="156" t="str">
        <f>+VLOOKUP($L150,Data_Validation!$A:$D,1,0)</f>
        <v>2505</v>
      </c>
      <c r="U150" s="156" t="str">
        <f>+VLOOKUP($L150,Data_Validation!$A:$D,3,0)</f>
        <v>Bilan</v>
      </c>
      <c r="V150" s="156" t="str">
        <f>+VLOOKUP($L150,Data_Validation!$A:$D,4,0)</f>
        <v>Salaires à Payer</v>
      </c>
      <c r="W150" s="156" t="str">
        <f>+VLOOKUP($L150,Data_Validation!$A:$E,5,0)</f>
        <v>$</v>
      </c>
      <c r="X150" s="156">
        <f>+VLOOKUP($L150,Data_Validation!$A:$F,6,0)</f>
        <v>0</v>
      </c>
    </row>
    <row r="151" spans="1:24" ht="15.75" hidden="1" customHeight="1">
      <c r="A151" s="1013" t="s">
        <v>2421</v>
      </c>
      <c r="B151" s="1013" t="s">
        <v>2422</v>
      </c>
      <c r="C151" s="1035">
        <v>9866.67</v>
      </c>
      <c r="D151" s="1035">
        <v>-9866.67</v>
      </c>
      <c r="E151" s="1035">
        <v>0</v>
      </c>
      <c r="F151" s="1013" t="s">
        <v>282</v>
      </c>
      <c r="G151" s="1013" t="s">
        <v>2422</v>
      </c>
      <c r="H151" s="1014"/>
      <c r="I151" s="1015"/>
      <c r="J151" s="1015"/>
      <c r="K151" s="1015"/>
      <c r="L151" s="153" t="str">
        <f t="shared" si="10"/>
        <v>2507</v>
      </c>
      <c r="M151" s="154" t="str">
        <f t="shared" si="11"/>
        <v>BONIS - EMPLOYES</v>
      </c>
      <c r="N151" s="155">
        <f>+IF(OR($Q151=Parametres!$G$2,$Q151=Parametres!$G$3),I151,C151)</f>
        <v>9866.67</v>
      </c>
      <c r="O151" s="155">
        <f>+IF(OR($Q151=Parametres!$G$2,$Q151=Parametres!$G$3),J151,D151)</f>
        <v>-9866.67</v>
      </c>
      <c r="P151" s="155">
        <f>+IF(OR($Q151=Parametres!$G$2,$Q151=Parametres!$G$3),K151,E151)</f>
        <v>0</v>
      </c>
      <c r="Q151" s="154" t="str">
        <f t="shared" si="12"/>
        <v>3-Passifs</v>
      </c>
      <c r="R151" s="153" t="str">
        <f t="shared" si="13"/>
        <v>2507</v>
      </c>
      <c r="S151" s="154">
        <f t="shared" si="14"/>
        <v>0</v>
      </c>
      <c r="T151" s="156" t="str">
        <f>+VLOOKUP($L151,Data_Validation!$A:$D,1,0)</f>
        <v>2507</v>
      </c>
      <c r="U151" s="156" t="str">
        <f>+VLOOKUP($L151,Data_Validation!$A:$D,3,0)</f>
        <v>Bilan</v>
      </c>
      <c r="V151" s="156" t="str">
        <f>+VLOOKUP($L151,Data_Validation!$A:$D,4,0)</f>
        <v>Salaires à Payer</v>
      </c>
      <c r="W151" s="156" t="str">
        <f>+VLOOKUP($L151,Data_Validation!$A:$E,5,0)</f>
        <v>$</v>
      </c>
      <c r="X151" s="156">
        <f>+VLOOKUP($L151,Data_Validation!$A:$F,6,0)</f>
        <v>0</v>
      </c>
    </row>
    <row r="152" spans="1:24" ht="15" hidden="1" customHeight="1">
      <c r="A152" s="1013" t="s">
        <v>2094</v>
      </c>
      <c r="B152" s="1013" t="s">
        <v>2095</v>
      </c>
      <c r="C152" s="1015">
        <v>-190347.94</v>
      </c>
      <c r="D152" s="1015">
        <v>-5975.16</v>
      </c>
      <c r="E152" s="1015">
        <v>-196323.1</v>
      </c>
      <c r="F152" s="1013" t="s">
        <v>282</v>
      </c>
      <c r="G152" s="1013" t="s">
        <v>2059</v>
      </c>
      <c r="H152" s="1014"/>
      <c r="I152" s="1014"/>
      <c r="J152" s="1014"/>
      <c r="K152" s="1014"/>
      <c r="L152" s="153" t="str">
        <f t="shared" si="10"/>
        <v>2509</v>
      </c>
      <c r="M152" s="154" t="str">
        <f t="shared" si="11"/>
        <v>SALAIRES DE VACANCES</v>
      </c>
      <c r="N152" s="155">
        <f>+IF(OR($Q152=Parametres!$G$2,$Q152=Parametres!$G$3),I152,C152)</f>
        <v>-190347.94</v>
      </c>
      <c r="O152" s="155">
        <f>+IF(OR($Q152=Parametres!$G$2,$Q152=Parametres!$G$3),J152,D152)</f>
        <v>-5975.16</v>
      </c>
      <c r="P152" s="155">
        <f>+IF(OR($Q152=Parametres!$G$2,$Q152=Parametres!$G$3),K152,E152)</f>
        <v>-196323.1</v>
      </c>
      <c r="Q152" s="154" t="str">
        <f t="shared" si="12"/>
        <v>3-Passifs</v>
      </c>
      <c r="R152" s="153" t="str">
        <f t="shared" si="13"/>
        <v>2503</v>
      </c>
      <c r="S152" s="154">
        <f t="shared" si="14"/>
        <v>0</v>
      </c>
      <c r="T152" s="156" t="str">
        <f>+VLOOKUP($L152,Data_Validation!$A:$D,1,0)</f>
        <v>2509</v>
      </c>
      <c r="U152" s="156" t="str">
        <f>+VLOOKUP($L152,Data_Validation!$A:$D,3,0)</f>
        <v>Bilan</v>
      </c>
      <c r="V152" s="156" t="str">
        <f>+VLOOKUP($L152,Data_Validation!$A:$D,4,0)</f>
        <v>Salaires à Payer</v>
      </c>
      <c r="W152" s="156" t="str">
        <f>+VLOOKUP($L152,Data_Validation!$A:$E,5,0)</f>
        <v>$</v>
      </c>
      <c r="X152" s="156">
        <f>+VLOOKUP($L152,Data_Validation!$A:$F,6,0)</f>
        <v>0</v>
      </c>
    </row>
    <row r="153" spans="1:24" ht="15" hidden="1" customHeight="1">
      <c r="A153" s="1013" t="s">
        <v>2188</v>
      </c>
      <c r="B153" s="1013" t="s">
        <v>2189</v>
      </c>
      <c r="C153" s="1035">
        <v>-5203.54</v>
      </c>
      <c r="D153" s="1035">
        <v>-4666.38</v>
      </c>
      <c r="E153" s="1035">
        <v>-9869.92</v>
      </c>
      <c r="F153" s="1013" t="s">
        <v>282</v>
      </c>
      <c r="G153" s="1013" t="s">
        <v>2059</v>
      </c>
      <c r="H153" s="1014"/>
      <c r="I153" s="1015"/>
      <c r="J153" s="1015"/>
      <c r="K153" s="1015"/>
      <c r="L153" s="153" t="str">
        <f t="shared" si="10"/>
        <v>2511</v>
      </c>
      <c r="M153" s="154" t="str">
        <f t="shared" si="11"/>
        <v>JOURNEE MALADIE</v>
      </c>
      <c r="N153" s="155">
        <f>+IF(OR($Q153=Parametres!$G$2,$Q153=Parametres!$G$3),I153,C153)</f>
        <v>-5203.54</v>
      </c>
      <c r="O153" s="155">
        <f>+IF(OR($Q153=Parametres!$G$2,$Q153=Parametres!$G$3),J153,D153)</f>
        <v>-4666.38</v>
      </c>
      <c r="P153" s="155">
        <f>+IF(OR($Q153=Parametres!$G$2,$Q153=Parametres!$G$3),K153,E153)</f>
        <v>-9869.92</v>
      </c>
      <c r="Q153" s="154" t="str">
        <f t="shared" si="12"/>
        <v>3-Passifs</v>
      </c>
      <c r="R153" s="153" t="str">
        <f t="shared" si="13"/>
        <v>2503</v>
      </c>
      <c r="S153" s="154">
        <f t="shared" si="14"/>
        <v>0</v>
      </c>
      <c r="T153" s="156" t="str">
        <f>+VLOOKUP($L153,Data_Validation!$A:$D,1,0)</f>
        <v>2511</v>
      </c>
      <c r="U153" s="156" t="str">
        <f>+VLOOKUP($L153,Data_Validation!$A:$D,3,0)</f>
        <v>Bilan</v>
      </c>
      <c r="V153" s="156" t="str">
        <f>+VLOOKUP($L153,Data_Validation!$A:$D,4,0)</f>
        <v>Salaires à Payer</v>
      </c>
      <c r="W153" s="156" t="str">
        <f>+VLOOKUP($L153,Data_Validation!$A:$E,5,0)</f>
        <v>$</v>
      </c>
      <c r="X153" s="156">
        <f>+VLOOKUP($L153,Data_Validation!$A:$F,6,0)</f>
        <v>0</v>
      </c>
    </row>
    <row r="154" spans="1:24" ht="15" hidden="1" customHeight="1">
      <c r="A154" s="1013" t="s">
        <v>2689</v>
      </c>
      <c r="B154" s="1013" t="s">
        <v>2690</v>
      </c>
      <c r="C154" s="1015">
        <v>-25523.75</v>
      </c>
      <c r="D154" s="1015">
        <v>1317.5</v>
      </c>
      <c r="E154" s="1015">
        <v>-24206.25</v>
      </c>
      <c r="F154" s="1013" t="s">
        <v>282</v>
      </c>
      <c r="G154" s="1013" t="s">
        <v>2690</v>
      </c>
      <c r="H154" s="1014"/>
      <c r="I154" s="1014"/>
      <c r="J154" s="1014"/>
      <c r="K154" s="1014"/>
      <c r="L154" s="153" t="str">
        <f t="shared" si="10"/>
        <v>2801</v>
      </c>
      <c r="M154" s="154" t="str">
        <f t="shared" si="11"/>
        <v>PRET CIBC</v>
      </c>
      <c r="N154" s="155">
        <f>+IF(OR($Q154=Parametres!$G$2,$Q154=Parametres!$G$3),I154,C154)</f>
        <v>-25523.75</v>
      </c>
      <c r="O154" s="155">
        <f>+IF(OR($Q154=Parametres!$G$2,$Q154=Parametres!$G$3),J154,D154)</f>
        <v>1317.5</v>
      </c>
      <c r="P154" s="155">
        <f>+IF(OR($Q154=Parametres!$G$2,$Q154=Parametres!$G$3),K154,E154)</f>
        <v>-24206.25</v>
      </c>
      <c r="Q154" s="154" t="str">
        <f t="shared" si="12"/>
        <v>3-Passifs</v>
      </c>
      <c r="R154" s="153" t="str">
        <f t="shared" si="13"/>
        <v>2801</v>
      </c>
      <c r="S154" s="154">
        <f t="shared" si="14"/>
        <v>0</v>
      </c>
      <c r="T154" s="156" t="str">
        <f>+VLOOKUP($L154,Data_Validation!$A:$D,1,0)</f>
        <v>2801</v>
      </c>
      <c r="U154" s="156" t="str">
        <f>+VLOOKUP($L154,Data_Validation!$A:$D,3,0)</f>
        <v>Bilan</v>
      </c>
      <c r="V154" s="156" t="str">
        <f>+VLOOKUP($L154,Data_Validation!$A:$D,4,0)</f>
        <v>Dette à Long Terme</v>
      </c>
      <c r="W154" s="156" t="str">
        <f>+VLOOKUP($L154,Data_Validation!$A:$E,5,0)</f>
        <v>$</v>
      </c>
      <c r="X154" s="156">
        <f>+VLOOKUP($L154,Data_Validation!$A:$F,6,0)</f>
        <v>0</v>
      </c>
    </row>
    <row r="155" spans="1:24" ht="15.75" hidden="1" customHeight="1">
      <c r="A155" s="1013" t="s">
        <v>827</v>
      </c>
      <c r="B155" s="1013" t="s">
        <v>2190</v>
      </c>
      <c r="C155" s="1035">
        <v>-23392.41</v>
      </c>
      <c r="D155" s="1035">
        <v>3789.02</v>
      </c>
      <c r="E155" s="1035">
        <v>-19603.39</v>
      </c>
      <c r="F155" s="1013" t="s">
        <v>282</v>
      </c>
      <c r="G155" s="1013" t="s">
        <v>2190</v>
      </c>
      <c r="H155" s="1014"/>
      <c r="I155" s="1015"/>
      <c r="J155" s="1015"/>
      <c r="K155" s="1015"/>
      <c r="L155" s="153" t="str">
        <f t="shared" si="10"/>
        <v>2901</v>
      </c>
      <c r="M155" s="154" t="str">
        <f t="shared" si="11"/>
        <v>RESERVE CARTES PRIVILEGE</v>
      </c>
      <c r="N155" s="155">
        <f>+IF(OR($Q155=Parametres!$G$2,$Q155=Parametres!$G$3),I155,C155)</f>
        <v>-23392.41</v>
      </c>
      <c r="O155" s="155">
        <f>+IF(OR($Q155=Parametres!$G$2,$Q155=Parametres!$G$3),J155,D155)</f>
        <v>3789.02</v>
      </c>
      <c r="P155" s="155">
        <f>+IF(OR($Q155=Parametres!$G$2,$Q155=Parametres!$G$3),K155,E155)</f>
        <v>-19603.39</v>
      </c>
      <c r="Q155" s="154" t="str">
        <f t="shared" si="12"/>
        <v>3-Passifs</v>
      </c>
      <c r="R155" s="153" t="str">
        <f t="shared" si="13"/>
        <v>2901</v>
      </c>
      <c r="S155" s="154">
        <f t="shared" si="14"/>
        <v>0</v>
      </c>
      <c r="T155" s="156" t="str">
        <f>+VLOOKUP($L155,Data_Validation!$A:$D,1,0)</f>
        <v>2901</v>
      </c>
      <c r="U155" s="156" t="str">
        <f>+VLOOKUP($L155,Data_Validation!$A:$D,3,0)</f>
        <v>Bilan</v>
      </c>
      <c r="V155" s="156" t="str">
        <f>+VLOOKUP($L155,Data_Validation!$A:$D,4,0)</f>
        <v>Autres Courus</v>
      </c>
      <c r="W155" s="156" t="str">
        <f>+VLOOKUP($L155,Data_Validation!$A:$E,5,0)</f>
        <v>$</v>
      </c>
      <c r="X155" s="156">
        <f>+VLOOKUP($L155,Data_Validation!$A:$F,6,0)</f>
        <v>0</v>
      </c>
    </row>
    <row r="156" spans="1:24" ht="15" hidden="1" customHeight="1">
      <c r="A156" s="1013" t="s">
        <v>2423</v>
      </c>
      <c r="B156" s="1013" t="s">
        <v>2424</v>
      </c>
      <c r="C156" s="1015">
        <v>-2350000</v>
      </c>
      <c r="D156" s="1015">
        <v>0</v>
      </c>
      <c r="E156" s="1015">
        <v>-2350000</v>
      </c>
      <c r="F156" s="1013" t="s">
        <v>831</v>
      </c>
      <c r="G156" s="1013" t="s">
        <v>2424</v>
      </c>
      <c r="H156" s="1014"/>
      <c r="I156" s="1014"/>
      <c r="J156" s="1014"/>
      <c r="K156" s="1014"/>
      <c r="L156" s="153" t="str">
        <f t="shared" si="10"/>
        <v>3001</v>
      </c>
      <c r="M156" s="154" t="str">
        <f t="shared" si="11"/>
        <v>ACTIONS CATEGORIE 1</v>
      </c>
      <c r="N156" s="155">
        <f>+IF(OR($Q156=Parametres!$G$2,$Q156=Parametres!$G$3),I156,C156)</f>
        <v>-2350000</v>
      </c>
      <c r="O156" s="155">
        <f>+IF(OR($Q156=Parametres!$G$2,$Q156=Parametres!$G$3),J156,D156)</f>
        <v>0</v>
      </c>
      <c r="P156" s="155">
        <f>+IF(OR($Q156=Parametres!$G$2,$Q156=Parametres!$G$3),K156,E156)</f>
        <v>-2350000</v>
      </c>
      <c r="Q156" s="154" t="str">
        <f t="shared" si="12"/>
        <v>4-Valeur nette</v>
      </c>
      <c r="R156" s="153" t="str">
        <f t="shared" si="13"/>
        <v>3001</v>
      </c>
      <c r="S156" s="154">
        <f t="shared" si="14"/>
        <v>0</v>
      </c>
      <c r="T156" s="156" t="str">
        <f>+VLOOKUP($L156,Data_Validation!$A:$D,1,0)</f>
        <v>3001</v>
      </c>
      <c r="U156" s="156" t="str">
        <f>+VLOOKUP($L156,Data_Validation!$A:$D,3,0)</f>
        <v>Bilan</v>
      </c>
      <c r="V156" s="156" t="str">
        <f>+VLOOKUP($L156,Data_Validation!$A:$D,4,0)</f>
        <v>Capital Actions</v>
      </c>
      <c r="W156" s="156" t="str">
        <f>+VLOOKUP($L156,Data_Validation!$A:$E,5,0)</f>
        <v>$</v>
      </c>
      <c r="X156" s="156">
        <f>+VLOOKUP($L156,Data_Validation!$A:$F,6,0)</f>
        <v>0</v>
      </c>
    </row>
    <row r="157" spans="1:24" ht="15" hidden="1" customHeight="1">
      <c r="A157" s="1013" t="s">
        <v>2425</v>
      </c>
      <c r="B157" s="1013" t="s">
        <v>2426</v>
      </c>
      <c r="C157" s="1035">
        <v>-1723617</v>
      </c>
      <c r="D157" s="1035">
        <v>0</v>
      </c>
      <c r="E157" s="1035">
        <v>-1723617</v>
      </c>
      <c r="F157" s="1013" t="s">
        <v>831</v>
      </c>
      <c r="G157" s="1013" t="s">
        <v>2424</v>
      </c>
      <c r="H157" s="1014"/>
      <c r="I157" s="1015"/>
      <c r="J157" s="1015"/>
      <c r="K157" s="1015"/>
      <c r="L157" s="153" t="str">
        <f t="shared" si="10"/>
        <v>3003</v>
      </c>
      <c r="M157" s="154" t="str">
        <f t="shared" si="11"/>
        <v>APPORT / RETRAIT</v>
      </c>
      <c r="N157" s="155">
        <f>+IF(OR($Q157=Parametres!$G$2,$Q157=Parametres!$G$3),I157,C157)</f>
        <v>-1723617</v>
      </c>
      <c r="O157" s="155">
        <f>+IF(OR($Q157=Parametres!$G$2,$Q157=Parametres!$G$3),J157,D157)</f>
        <v>0</v>
      </c>
      <c r="P157" s="155">
        <f>+IF(OR($Q157=Parametres!$G$2,$Q157=Parametres!$G$3),K157,E157)</f>
        <v>-1723617</v>
      </c>
      <c r="Q157" s="154" t="str">
        <f t="shared" si="12"/>
        <v>4-Valeur nette</v>
      </c>
      <c r="R157" s="153" t="str">
        <f t="shared" si="13"/>
        <v>3001</v>
      </c>
      <c r="S157" s="154">
        <f t="shared" si="14"/>
        <v>0</v>
      </c>
      <c r="T157" s="156" t="str">
        <f>+VLOOKUP($L157,Data_Validation!$A:$D,1,0)</f>
        <v>3003</v>
      </c>
      <c r="U157" s="156" t="str">
        <f>+VLOOKUP($L157,Data_Validation!$A:$D,3,0)</f>
        <v>Bilan</v>
      </c>
      <c r="V157" s="156" t="str">
        <f>+VLOOKUP($L157,Data_Validation!$A:$D,4,0)</f>
        <v>Apport</v>
      </c>
      <c r="W157" s="156" t="str">
        <f>+VLOOKUP($L157,Data_Validation!$A:$E,5,0)</f>
        <v>$</v>
      </c>
      <c r="X157" s="156">
        <f>+VLOOKUP($L157,Data_Validation!$A:$F,6,0)</f>
        <v>0</v>
      </c>
    </row>
    <row r="158" spans="1:24" ht="15" hidden="1" customHeight="1">
      <c r="A158" s="1013" t="s">
        <v>2427</v>
      </c>
      <c r="B158" s="1013" t="s">
        <v>2428</v>
      </c>
      <c r="C158" s="1015">
        <v>-347547.5</v>
      </c>
      <c r="D158" s="1015">
        <v>0</v>
      </c>
      <c r="E158" s="1015">
        <v>-347547.5</v>
      </c>
      <c r="F158" s="1013" t="s">
        <v>831</v>
      </c>
      <c r="G158" s="1013" t="s">
        <v>2424</v>
      </c>
      <c r="H158" s="1014"/>
      <c r="I158" s="1014"/>
      <c r="J158" s="1014"/>
      <c r="K158" s="1014"/>
      <c r="L158" s="153" t="str">
        <f t="shared" si="10"/>
        <v>3007</v>
      </c>
      <c r="M158" s="154" t="str">
        <f t="shared" si="11"/>
        <v>ACTIONS PARTICIPANTES</v>
      </c>
      <c r="N158" s="155">
        <f>+IF(OR($Q158=Parametres!$G$2,$Q158=Parametres!$G$3),I158,C158)</f>
        <v>-347547.5</v>
      </c>
      <c r="O158" s="155">
        <f>+IF(OR($Q158=Parametres!$G$2,$Q158=Parametres!$G$3),J158,D158)</f>
        <v>0</v>
      </c>
      <c r="P158" s="155">
        <f>+IF(OR($Q158=Parametres!$G$2,$Q158=Parametres!$G$3),K158,E158)</f>
        <v>-347547.5</v>
      </c>
      <c r="Q158" s="154" t="str">
        <f t="shared" si="12"/>
        <v>4-Valeur nette</v>
      </c>
      <c r="R158" s="153" t="str">
        <f t="shared" si="13"/>
        <v>3001</v>
      </c>
      <c r="S158" s="154">
        <f t="shared" si="14"/>
        <v>0</v>
      </c>
      <c r="T158" s="156" t="str">
        <f>+VLOOKUP($L158,Data_Validation!$A:$D,1,0)</f>
        <v>3007</v>
      </c>
      <c r="U158" s="156" t="str">
        <f>+VLOOKUP($L158,Data_Validation!$A:$D,3,0)</f>
        <v>Bilan</v>
      </c>
      <c r="V158" s="156" t="str">
        <f>+VLOOKUP($L158,Data_Validation!$A:$D,4,0)</f>
        <v>Capital Actions</v>
      </c>
      <c r="W158" s="156">
        <f>+VLOOKUP($L158,Data_Validation!$A:$E,5,0)</f>
        <v>0</v>
      </c>
      <c r="X158" s="156">
        <f>+VLOOKUP($L158,Data_Validation!$A:$F,6,0)</f>
        <v>0</v>
      </c>
    </row>
    <row r="159" spans="1:24" ht="15.75" hidden="1" customHeight="1">
      <c r="A159" s="1013" t="s">
        <v>2429</v>
      </c>
      <c r="B159" s="1013" t="s">
        <v>2430</v>
      </c>
      <c r="C159" s="1035">
        <v>-973229.33</v>
      </c>
      <c r="D159" s="1035">
        <v>0</v>
      </c>
      <c r="E159" s="1035">
        <v>-973229.33</v>
      </c>
      <c r="F159" s="1013" t="s">
        <v>831</v>
      </c>
      <c r="G159" s="1013" t="s">
        <v>2424</v>
      </c>
      <c r="H159" s="1014"/>
      <c r="I159" s="1015"/>
      <c r="J159" s="1015"/>
      <c r="K159" s="1015"/>
      <c r="L159" s="153" t="str">
        <f t="shared" si="10"/>
        <v>3201</v>
      </c>
      <c r="M159" s="154" t="str">
        <f t="shared" si="11"/>
        <v>BENEFICES NON-REPARTIS</v>
      </c>
      <c r="N159" s="155">
        <f>+IF(OR($Q159=Parametres!$G$2,$Q159=Parametres!$G$3),I159,C159)</f>
        <v>-973229.33</v>
      </c>
      <c r="O159" s="575">
        <f>+IF(OR($Q159=Parametres!$G$2,$Q159=Parametres!$G$3),J159,D159)</f>
        <v>0</v>
      </c>
      <c r="P159" s="155">
        <f>+IF(OR($Q159=Parametres!$G$2,$Q159=Parametres!$G$3),K159,E159)</f>
        <v>-973229.33</v>
      </c>
      <c r="Q159" s="154" t="str">
        <f t="shared" si="12"/>
        <v>4-Valeur nette</v>
      </c>
      <c r="R159" s="153" t="str">
        <f t="shared" si="13"/>
        <v>3001</v>
      </c>
      <c r="S159" s="154">
        <f t="shared" si="14"/>
        <v>0</v>
      </c>
      <c r="T159" s="156" t="str">
        <f>+VLOOKUP($L159,Data_Validation!$A:$D,1,0)</f>
        <v>3201</v>
      </c>
      <c r="U159" s="156" t="str">
        <f>+VLOOKUP($L159,Data_Validation!$A:$D,3,0)</f>
        <v>Bilan</v>
      </c>
      <c r="V159" s="156" t="str">
        <f>+VLOOKUP($L159,Data_Validation!$A:$D,4,0)</f>
        <v>Bénéfices non répartis</v>
      </c>
      <c r="W159" s="156" t="str">
        <f>+VLOOKUP($L159,Data_Validation!$A:$E,5,0)</f>
        <v>$</v>
      </c>
      <c r="X159" s="156">
        <f>+VLOOKUP($L159,Data_Validation!$A:$F,6,0)</f>
        <v>0</v>
      </c>
    </row>
    <row r="160" spans="1:24" ht="15" hidden="1" customHeight="1">
      <c r="A160" s="1013" t="s">
        <v>2025</v>
      </c>
      <c r="B160" s="1013" t="s">
        <v>2026</v>
      </c>
      <c r="C160" s="1015">
        <v>-188655.05</v>
      </c>
      <c r="D160" s="1015">
        <v>-215674.94</v>
      </c>
      <c r="E160" s="1015">
        <v>-404329.99</v>
      </c>
      <c r="F160" s="1013" t="s">
        <v>285</v>
      </c>
      <c r="G160" s="1013" t="s">
        <v>2026</v>
      </c>
      <c r="H160" s="1014"/>
      <c r="I160" s="1014"/>
      <c r="J160" s="1014"/>
      <c r="K160" s="1014"/>
      <c r="L160" s="153" t="str">
        <f t="shared" si="10"/>
        <v>4100</v>
      </c>
      <c r="M160" s="154" t="str">
        <f t="shared" si="11"/>
        <v>VTE - RACHAT BAIL VW</v>
      </c>
      <c r="N160" s="155">
        <f>+IF(OR($Q160=Parametres!$G$2,$Q160=Parametres!$G$3),I160,C160)</f>
        <v>-188655.05</v>
      </c>
      <c r="O160" s="155">
        <f>+IF(OR($Q160=Parametres!$G$2,$Q160=Parametres!$G$3),J160,D160)</f>
        <v>-215674.94</v>
      </c>
      <c r="P160" s="155">
        <f>+IF(OR($Q160=Parametres!$G$2,$Q160=Parametres!$G$3),K160,E160)</f>
        <v>-404329.99</v>
      </c>
      <c r="Q160" s="154" t="str">
        <f t="shared" si="12"/>
        <v>5-Ventes</v>
      </c>
      <c r="R160" s="153" t="str">
        <f t="shared" si="13"/>
        <v>4100</v>
      </c>
      <c r="S160" s="154">
        <f t="shared" si="14"/>
        <v>0</v>
      </c>
      <c r="T160" s="156" t="str">
        <f>+VLOOKUP($L160,Data_Validation!$A:$D,1,0)</f>
        <v>4100</v>
      </c>
      <c r="U160" s="156" t="str">
        <f>+VLOOKUP($L160,Data_Validation!$A:$D,3,0)</f>
        <v>Véhicules neufs</v>
      </c>
      <c r="V160" s="156" t="str">
        <f>+VLOOKUP($L160,Data_Validation!$A:$D,4,0)</f>
        <v>Rachat bail</v>
      </c>
      <c r="W160" s="156" t="str">
        <f>+VLOOKUP($L160,Data_Validation!$A:$E,5,0)</f>
        <v>$</v>
      </c>
      <c r="X160" s="156" t="str">
        <f>+VLOOKUP($L160,Data_Validation!$A:$F,6,0)</f>
        <v>Oui</v>
      </c>
    </row>
    <row r="161" spans="1:24" ht="15" hidden="1" customHeight="1">
      <c r="A161" s="1013" t="s">
        <v>2482</v>
      </c>
      <c r="B161" s="1013" t="s">
        <v>2483</v>
      </c>
      <c r="C161" s="1035"/>
      <c r="D161" s="1035"/>
      <c r="E161" s="1035"/>
      <c r="F161" s="1013" t="s">
        <v>4</v>
      </c>
      <c r="G161" s="1013" t="s">
        <v>2026</v>
      </c>
      <c r="H161" s="1014"/>
      <c r="I161" s="1015">
        <v>-12</v>
      </c>
      <c r="J161" s="1015">
        <v>-13</v>
      </c>
      <c r="K161" s="1015">
        <v>-25</v>
      </c>
      <c r="L161" s="153" t="str">
        <f t="shared" si="10"/>
        <v>4100@</v>
      </c>
      <c r="M161" s="154" t="str">
        <f t="shared" si="11"/>
        <v>RESERVE</v>
      </c>
      <c r="N161" s="155">
        <f>+IF(OR($Q161=Parametres!$G$2,$Q161=Parametres!$G$3),I161,C161)</f>
        <v>-12</v>
      </c>
      <c r="O161" s="155">
        <f>+IF(OR($Q161=Parametres!$G$2,$Q161=Parametres!$G$3),J161,D161)</f>
        <v>-13</v>
      </c>
      <c r="P161" s="155">
        <f>+IF(OR($Q161=Parametres!$G$2,$Q161=Parametres!$G$3),K161,E161)</f>
        <v>-25</v>
      </c>
      <c r="Q161" s="154" t="str">
        <f t="shared" si="12"/>
        <v>10-Compte compteur</v>
      </c>
      <c r="R161" s="153" t="str">
        <f t="shared" si="13"/>
        <v>4100</v>
      </c>
      <c r="S161" s="154">
        <f t="shared" si="14"/>
        <v>0</v>
      </c>
      <c r="T161" s="156" t="str">
        <f>+VLOOKUP($L161,Data_Validation!$A:$D,1,0)</f>
        <v>4100@</v>
      </c>
      <c r="U161" s="156" t="str">
        <f>+VLOOKUP($L161,Data_Validation!$A:$D,3,0)</f>
        <v>Véhicules neufs</v>
      </c>
      <c r="V161" s="156" t="str">
        <f>+VLOOKUP($L161,Data_Validation!$A:$D,4,0)</f>
        <v>Rachat bail</v>
      </c>
      <c r="W161" s="156" t="str">
        <f>+VLOOKUP($L161,Data_Validation!$A:$E,5,0)</f>
        <v>NB</v>
      </c>
      <c r="X161" s="156">
        <f>+VLOOKUP($L161,Data_Validation!$A:$F,6,0)</f>
        <v>0</v>
      </c>
    </row>
    <row r="162" spans="1:24" ht="15" hidden="1" customHeight="1">
      <c r="A162" s="1013" t="s">
        <v>2018</v>
      </c>
      <c r="B162" s="1013" t="s">
        <v>2019</v>
      </c>
      <c r="C162" s="1015">
        <v>-214427.93</v>
      </c>
      <c r="D162" s="1015">
        <v>-282967</v>
      </c>
      <c r="E162" s="1015">
        <v>-497394.93</v>
      </c>
      <c r="F162" s="1013" t="s">
        <v>285</v>
      </c>
      <c r="G162" s="1013" t="s">
        <v>2019</v>
      </c>
      <c r="H162" s="1014"/>
      <c r="I162" s="1014"/>
      <c r="J162" s="1014"/>
      <c r="K162" s="1014"/>
      <c r="L162" s="153" t="str">
        <f t="shared" si="10"/>
        <v>4107</v>
      </c>
      <c r="M162" s="154" t="str">
        <f t="shared" si="11"/>
        <v>VTE - GOLF A6</v>
      </c>
      <c r="N162" s="155">
        <f>+IF(OR($Q162=Parametres!$G$2,$Q162=Parametres!$G$3),I162,C162)</f>
        <v>-214427.93</v>
      </c>
      <c r="O162" s="155">
        <f>+IF(OR($Q162=Parametres!$G$2,$Q162=Parametres!$G$3),J162,D162)</f>
        <v>-282967</v>
      </c>
      <c r="P162" s="155">
        <f>+IF(OR($Q162=Parametres!$G$2,$Q162=Parametres!$G$3),K162,E162)</f>
        <v>-497394.93</v>
      </c>
      <c r="Q162" s="154" t="str">
        <f t="shared" si="12"/>
        <v>5-Ventes</v>
      </c>
      <c r="R162" s="153" t="str">
        <f t="shared" si="13"/>
        <v>4107</v>
      </c>
      <c r="S162" s="154">
        <f t="shared" si="14"/>
        <v>0</v>
      </c>
      <c r="T162" s="156" t="str">
        <f>+VLOOKUP($L162,Data_Validation!$A:$D,1,0)</f>
        <v>4107</v>
      </c>
      <c r="U162" s="156" t="str">
        <f>+VLOOKUP($L162,Data_Validation!$A:$D,3,0)</f>
        <v>Véhicules neufs</v>
      </c>
      <c r="V162" s="156" t="str">
        <f>+VLOOKUP($L162,Data_Validation!$A:$D,4,0)</f>
        <v>Autos détail</v>
      </c>
      <c r="W162" s="156" t="str">
        <f>+VLOOKUP($L162,Data_Validation!$A:$E,5,0)</f>
        <v>$</v>
      </c>
      <c r="X162" s="156" t="str">
        <f>+VLOOKUP($L162,Data_Validation!$A:$F,6,0)</f>
        <v>Oui</v>
      </c>
    </row>
    <row r="163" spans="1:24" ht="15.75" hidden="1" customHeight="1">
      <c r="A163" s="1013" t="s">
        <v>2488</v>
      </c>
      <c r="B163" s="1013" t="s">
        <v>2489</v>
      </c>
      <c r="C163" s="1015"/>
      <c r="D163" s="1015"/>
      <c r="E163" s="1015"/>
      <c r="F163" s="1013" t="s">
        <v>4</v>
      </c>
      <c r="G163" s="1013" t="s">
        <v>2019</v>
      </c>
      <c r="H163" s="1014"/>
      <c r="I163" s="1014">
        <v>-8</v>
      </c>
      <c r="J163" s="1014">
        <v>-10</v>
      </c>
      <c r="K163" s="1014">
        <v>-18</v>
      </c>
      <c r="L163" s="153" t="str">
        <f t="shared" ref="L163:L194" si="15">+B163</f>
        <v>4107@</v>
      </c>
      <c r="M163" s="154" t="str">
        <f t="shared" ref="M163:M194" si="16">+A163</f>
        <v>UNITES VENDUES GOLF</v>
      </c>
      <c r="N163" s="155">
        <f>+IF(OR($Q163=Parametres!$G$2,$Q163=Parametres!$G$3),I163,C163)</f>
        <v>-8</v>
      </c>
      <c r="O163" s="155">
        <f>+IF(OR($Q163=Parametres!$G$2,$Q163=Parametres!$G$3),J163,D163)</f>
        <v>-10</v>
      </c>
      <c r="P163" s="155">
        <f>+IF(OR($Q163=Parametres!$G$2,$Q163=Parametres!$G$3),K163,E163)</f>
        <v>-18</v>
      </c>
      <c r="Q163" s="154" t="str">
        <f t="shared" ref="Q163:Q194" si="17">+F163</f>
        <v>10-Compte compteur</v>
      </c>
      <c r="R163" s="153" t="str">
        <f t="shared" ref="R163:R194" si="18">+G163</f>
        <v>4107</v>
      </c>
      <c r="S163" s="154">
        <f t="shared" ref="S163:S194" si="19">+H163</f>
        <v>0</v>
      </c>
      <c r="T163" s="156" t="str">
        <f>+VLOOKUP($L163,Data_Validation!$A:$D,1,0)</f>
        <v>4107@</v>
      </c>
      <c r="U163" s="156" t="str">
        <f>+VLOOKUP($L163,Data_Validation!$A:$D,3,0)</f>
        <v>Véhicules neufs</v>
      </c>
      <c r="V163" s="156" t="str">
        <f>+VLOOKUP($L163,Data_Validation!$A:$D,4,0)</f>
        <v>Autos détail</v>
      </c>
      <c r="W163" s="156" t="str">
        <f>+VLOOKUP($L163,Data_Validation!$A:$E,5,0)</f>
        <v>NB</v>
      </c>
      <c r="X163" s="156">
        <f>+VLOOKUP($L163,Data_Validation!$A:$F,6,0)</f>
        <v>0</v>
      </c>
    </row>
    <row r="164" spans="1:24" ht="15" hidden="1" customHeight="1">
      <c r="A164" s="1013" t="s">
        <v>2013</v>
      </c>
      <c r="B164" s="1013" t="s">
        <v>2014</v>
      </c>
      <c r="C164" s="1035">
        <v>-260591.56</v>
      </c>
      <c r="D164" s="1035">
        <v>-244402.74</v>
      </c>
      <c r="E164" s="1035">
        <v>-504994.3</v>
      </c>
      <c r="F164" s="1013" t="s">
        <v>285</v>
      </c>
      <c r="G164" s="1013" t="s">
        <v>2014</v>
      </c>
      <c r="H164" s="1014"/>
      <c r="I164" s="1015"/>
      <c r="J164" s="1015"/>
      <c r="K164" s="1015"/>
      <c r="L164" s="153" t="str">
        <f t="shared" si="15"/>
        <v>4111</v>
      </c>
      <c r="M164" s="154" t="str">
        <f t="shared" si="16"/>
        <v>VTE - JETTA</v>
      </c>
      <c r="N164" s="155">
        <f>+IF(OR($Q164=Parametres!$G$2,$Q164=Parametres!$G$3),I164,C164)</f>
        <v>-260591.56</v>
      </c>
      <c r="O164" s="155">
        <f>+IF(OR($Q164=Parametres!$G$2,$Q164=Parametres!$G$3),J164,D164)</f>
        <v>-244402.74</v>
      </c>
      <c r="P164" s="155">
        <f>+IF(OR($Q164=Parametres!$G$2,$Q164=Parametres!$G$3),K164,E164)</f>
        <v>-504994.3</v>
      </c>
      <c r="Q164" s="154" t="str">
        <f t="shared" si="17"/>
        <v>5-Ventes</v>
      </c>
      <c r="R164" s="153" t="str">
        <f t="shared" si="18"/>
        <v>4111</v>
      </c>
      <c r="S164" s="154">
        <f t="shared" si="19"/>
        <v>0</v>
      </c>
      <c r="T164" s="156" t="str">
        <f>+VLOOKUP($L164,Data_Validation!$A:$D,1,0)</f>
        <v>4111</v>
      </c>
      <c r="U164" s="156" t="str">
        <f>+VLOOKUP($L164,Data_Validation!$A:$D,3,0)</f>
        <v>Véhicules neufs</v>
      </c>
      <c r="V164" s="156" t="str">
        <f>+VLOOKUP($L164,Data_Validation!$A:$D,4,0)</f>
        <v>Autos détail</v>
      </c>
      <c r="W164" s="156" t="str">
        <f>+VLOOKUP($L164,Data_Validation!$A:$E,5,0)</f>
        <v>$</v>
      </c>
      <c r="X164" s="156" t="str">
        <f>+VLOOKUP($L164,Data_Validation!$A:$F,6,0)</f>
        <v>Oui</v>
      </c>
    </row>
    <row r="165" spans="1:24" ht="15" hidden="1" customHeight="1">
      <c r="A165" s="1013" t="s">
        <v>2492</v>
      </c>
      <c r="B165" s="1013" t="s">
        <v>2493</v>
      </c>
      <c r="C165" s="1015"/>
      <c r="D165" s="1015"/>
      <c r="E165" s="1015"/>
      <c r="F165" s="1013" t="s">
        <v>4</v>
      </c>
      <c r="G165" s="1013" t="s">
        <v>2014</v>
      </c>
      <c r="H165" s="1014"/>
      <c r="I165" s="1014">
        <v>-9</v>
      </c>
      <c r="J165" s="1014">
        <v>-9</v>
      </c>
      <c r="K165" s="1014">
        <v>-18</v>
      </c>
      <c r="L165" s="153" t="str">
        <f t="shared" si="15"/>
        <v>4111@</v>
      </c>
      <c r="M165" s="154" t="str">
        <f t="shared" si="16"/>
        <v>UNITES VENDUES - JETTA</v>
      </c>
      <c r="N165" s="155">
        <f>+IF(OR($Q165=Parametres!$G$2,$Q165=Parametres!$G$3),I165,C165)</f>
        <v>-9</v>
      </c>
      <c r="O165" s="575">
        <f>+IF(OR($Q165=Parametres!$G$2,$Q165=Parametres!$G$3),J165,D165)</f>
        <v>-9</v>
      </c>
      <c r="P165" s="155">
        <f>+IF(OR($Q165=Parametres!$G$2,$Q165=Parametres!$G$3),K165,E165)</f>
        <v>-18</v>
      </c>
      <c r="Q165" s="154" t="str">
        <f t="shared" si="17"/>
        <v>10-Compte compteur</v>
      </c>
      <c r="R165" s="153" t="str">
        <f t="shared" si="18"/>
        <v>4111</v>
      </c>
      <c r="S165" s="154">
        <f t="shared" si="19"/>
        <v>0</v>
      </c>
      <c r="T165" s="156" t="str">
        <f>+VLOOKUP($L165,Data_Validation!$A:$D,1,0)</f>
        <v>4111@</v>
      </c>
      <c r="U165" s="156" t="str">
        <f>+VLOOKUP($L165,Data_Validation!$A:$D,3,0)</f>
        <v>Véhicules neufs</v>
      </c>
      <c r="V165" s="156" t="str">
        <f>+VLOOKUP($L165,Data_Validation!$A:$D,4,0)</f>
        <v>Autos détail</v>
      </c>
      <c r="W165" s="156" t="str">
        <f>+VLOOKUP($L165,Data_Validation!$A:$E,5,0)</f>
        <v>NB</v>
      </c>
      <c r="X165" s="156">
        <f>+VLOOKUP($L165,Data_Validation!$A:$F,6,0)</f>
        <v>0</v>
      </c>
    </row>
    <row r="166" spans="1:24" ht="15" hidden="1" customHeight="1">
      <c r="A166" s="1013" t="s">
        <v>2002</v>
      </c>
      <c r="B166" s="1013" t="s">
        <v>2003</v>
      </c>
      <c r="C166" s="1035">
        <v>-385566.01</v>
      </c>
      <c r="D166" s="1035">
        <v>-620801.87</v>
      </c>
      <c r="E166" s="1035">
        <v>-1006367.88</v>
      </c>
      <c r="F166" s="1013" t="s">
        <v>285</v>
      </c>
      <c r="G166" s="1013" t="s">
        <v>2003</v>
      </c>
      <c r="H166" s="1014"/>
      <c r="I166" s="1015"/>
      <c r="J166" s="1015"/>
      <c r="K166" s="1015"/>
      <c r="L166" s="153" t="str">
        <f t="shared" si="15"/>
        <v>4119</v>
      </c>
      <c r="M166" s="154" t="str">
        <f t="shared" si="16"/>
        <v>VTE - ATLAS</v>
      </c>
      <c r="N166" s="155">
        <f>+IF(OR($Q166=Parametres!$G$2,$Q166=Parametres!$G$3),I166,C166)</f>
        <v>-385566.01</v>
      </c>
      <c r="O166" s="155">
        <f>+IF(OR($Q166=Parametres!$G$2,$Q166=Parametres!$G$3),J166,D166)</f>
        <v>-620801.87</v>
      </c>
      <c r="P166" s="155">
        <f>+IF(OR($Q166=Parametres!$G$2,$Q166=Parametres!$G$3),K166,E166)</f>
        <v>-1006367.88</v>
      </c>
      <c r="Q166" s="154" t="str">
        <f t="shared" si="17"/>
        <v>5-Ventes</v>
      </c>
      <c r="R166" s="153" t="str">
        <f t="shared" si="18"/>
        <v>4119</v>
      </c>
      <c r="S166" s="154">
        <f t="shared" si="19"/>
        <v>0</v>
      </c>
      <c r="T166" s="156" t="str">
        <f>+VLOOKUP($L166,Data_Validation!$A:$D,1,0)</f>
        <v>4119</v>
      </c>
      <c r="U166" s="156" t="str">
        <f>+VLOOKUP($L166,Data_Validation!$A:$D,3,0)</f>
        <v>Véhicules neufs</v>
      </c>
      <c r="V166" s="156" t="str">
        <f>+VLOOKUP($L166,Data_Validation!$A:$D,4,0)</f>
        <v>Camions détail</v>
      </c>
      <c r="W166" s="156" t="str">
        <f>+VLOOKUP($L166,Data_Validation!$A:$E,5,0)</f>
        <v>$</v>
      </c>
      <c r="X166" s="156" t="str">
        <f>+VLOOKUP($L166,Data_Validation!$A:$F,6,0)</f>
        <v>Oui</v>
      </c>
    </row>
    <row r="167" spans="1:24" ht="15" hidden="1" customHeight="1">
      <c r="A167" s="1013" t="s">
        <v>2498</v>
      </c>
      <c r="B167" s="1013" t="s">
        <v>2499</v>
      </c>
      <c r="C167" s="1015"/>
      <c r="D167" s="1015"/>
      <c r="E167" s="1015"/>
      <c r="F167" s="1013" t="s">
        <v>4</v>
      </c>
      <c r="G167" s="1013" t="s">
        <v>2003</v>
      </c>
      <c r="H167" s="1014"/>
      <c r="I167" s="1014">
        <v>-7</v>
      </c>
      <c r="J167" s="1014">
        <v>-12</v>
      </c>
      <c r="K167" s="1014">
        <v>-19</v>
      </c>
      <c r="L167" s="153" t="str">
        <f t="shared" si="15"/>
        <v>4119@</v>
      </c>
      <c r="M167" s="154" t="str">
        <f t="shared" si="16"/>
        <v># DE VTE - ATLAS</v>
      </c>
      <c r="N167" s="155">
        <f>+IF(OR($Q167=Parametres!$G$2,$Q167=Parametres!$G$3),I167,C167)</f>
        <v>-7</v>
      </c>
      <c r="O167" s="575">
        <f>+IF(OR($Q167=Parametres!$G$2,$Q167=Parametres!$G$3),J167,D167)</f>
        <v>-12</v>
      </c>
      <c r="P167" s="155">
        <f>+IF(OR($Q167=Parametres!$G$2,$Q167=Parametres!$G$3),K167,E167)</f>
        <v>-19</v>
      </c>
      <c r="Q167" s="154" t="str">
        <f t="shared" si="17"/>
        <v>10-Compte compteur</v>
      </c>
      <c r="R167" s="153" t="str">
        <f t="shared" si="18"/>
        <v>4119</v>
      </c>
      <c r="S167" s="154">
        <f t="shared" si="19"/>
        <v>0</v>
      </c>
      <c r="T167" s="156" t="str">
        <f>+VLOOKUP($L167,Data_Validation!$A:$D,1,0)</f>
        <v>4119@</v>
      </c>
      <c r="U167" s="156" t="str">
        <f>+VLOOKUP($L167,Data_Validation!$A:$D,3,0)</f>
        <v>Véhicules neufs</v>
      </c>
      <c r="V167" s="156" t="str">
        <f>+VLOOKUP($L167,Data_Validation!$A:$D,4,0)</f>
        <v>Camions détail</v>
      </c>
      <c r="W167" s="156" t="str">
        <f>+VLOOKUP($L167,Data_Validation!$A:$E,5,0)</f>
        <v>NB</v>
      </c>
      <c r="X167" s="156">
        <f>+VLOOKUP($L167,Data_Validation!$A:$F,6,0)</f>
        <v>0</v>
      </c>
    </row>
    <row r="168" spans="1:24" ht="15.75" hidden="1" customHeight="1">
      <c r="A168" s="1013" t="s">
        <v>2907</v>
      </c>
      <c r="B168" s="1013" t="s">
        <v>2908</v>
      </c>
      <c r="C168" s="1035">
        <v>-42307</v>
      </c>
      <c r="D168" s="1035">
        <v>-46878.12</v>
      </c>
      <c r="E168" s="1035">
        <v>-89185.12</v>
      </c>
      <c r="F168" s="1013" t="s">
        <v>285</v>
      </c>
      <c r="G168" s="1013" t="s">
        <v>2908</v>
      </c>
      <c r="H168" s="1014"/>
      <c r="I168" s="1015"/>
      <c r="J168" s="1015"/>
      <c r="K168" s="1015"/>
      <c r="L168" s="153" t="str">
        <f t="shared" si="15"/>
        <v>4121</v>
      </c>
      <c r="M168" s="154" t="str">
        <f t="shared" si="16"/>
        <v>VTES -VTE - ATLAS CROSS SPORT</v>
      </c>
      <c r="N168" s="155">
        <f>+IF(OR($Q168=Parametres!$G$2,$Q168=Parametres!$G$3),I168,C168)</f>
        <v>-42307</v>
      </c>
      <c r="O168" s="155">
        <f>+IF(OR($Q168=Parametres!$G$2,$Q168=Parametres!$G$3),J168,D168)</f>
        <v>-46878.12</v>
      </c>
      <c r="P168" s="155">
        <f>+IF(OR($Q168=Parametres!$G$2,$Q168=Parametres!$G$3),K168,E168)</f>
        <v>-89185.12</v>
      </c>
      <c r="Q168" s="154" t="str">
        <f t="shared" si="17"/>
        <v>5-Ventes</v>
      </c>
      <c r="R168" s="153" t="str">
        <f t="shared" si="18"/>
        <v>4121</v>
      </c>
      <c r="S168" s="154">
        <f t="shared" si="19"/>
        <v>0</v>
      </c>
      <c r="T168" s="156" t="str">
        <f>+VLOOKUP($L168,Data_Validation!$A:$D,1,0)</f>
        <v>4121</v>
      </c>
      <c r="U168" s="156" t="str">
        <f>+VLOOKUP($L168,Data_Validation!$A:$D,3,0)</f>
        <v>Véhicules neufs</v>
      </c>
      <c r="V168" s="156" t="str">
        <f>+VLOOKUP($L168,Data_Validation!$A:$D,4,0)</f>
        <v>Camions détail</v>
      </c>
      <c r="W168" s="156" t="str">
        <f>+VLOOKUP($L168,Data_Validation!$A:$E,5,0)</f>
        <v>$</v>
      </c>
      <c r="X168" s="156" t="str">
        <f>+VLOOKUP($L168,Data_Validation!$A:$F,6,0)</f>
        <v>oui</v>
      </c>
    </row>
    <row r="169" spans="1:24" ht="15" hidden="1" customHeight="1">
      <c r="A169" s="1013" t="s">
        <v>2909</v>
      </c>
      <c r="B169" s="1013" t="s">
        <v>2910</v>
      </c>
      <c r="C169" s="1015"/>
      <c r="D169" s="1015"/>
      <c r="E169" s="1015"/>
      <c r="F169" s="1013" t="s">
        <v>4</v>
      </c>
      <c r="G169" s="1013" t="s">
        <v>2908</v>
      </c>
      <c r="H169" s="1014"/>
      <c r="I169" s="1014">
        <v>-1</v>
      </c>
      <c r="J169" s="1014">
        <v>-1</v>
      </c>
      <c r="K169" s="1014">
        <v>-2</v>
      </c>
      <c r="L169" s="153" t="str">
        <f t="shared" si="15"/>
        <v>4121@</v>
      </c>
      <c r="M169" s="154" t="str">
        <f t="shared" si="16"/>
        <v># DE VTE - ATLAS CROSS SPORT</v>
      </c>
      <c r="N169" s="155">
        <f>+IF(OR($Q169=Parametres!$G$2,$Q169=Parametres!$G$3),I169,C169)</f>
        <v>-1</v>
      </c>
      <c r="O169" s="155">
        <f>+IF(OR($Q169=Parametres!$G$2,$Q169=Parametres!$G$3),J169,D169)</f>
        <v>-1</v>
      </c>
      <c r="P169" s="155">
        <f>+IF(OR($Q169=Parametres!$G$2,$Q169=Parametres!$G$3),K169,E169)</f>
        <v>-2</v>
      </c>
      <c r="Q169" s="154" t="str">
        <f t="shared" si="17"/>
        <v>10-Compte compteur</v>
      </c>
      <c r="R169" s="153" t="str">
        <f t="shared" si="18"/>
        <v>4121</v>
      </c>
      <c r="S169" s="154">
        <f t="shared" si="19"/>
        <v>0</v>
      </c>
      <c r="T169" s="156" t="str">
        <f>+VLOOKUP($L169,Data_Validation!$A:$D,1,0)</f>
        <v>4121@</v>
      </c>
      <c r="U169" s="156" t="str">
        <f>+VLOOKUP($L169,Data_Validation!$A:$D,3,0)</f>
        <v>Véhicules neufs</v>
      </c>
      <c r="V169" s="156" t="str">
        <f>+VLOOKUP($L169,Data_Validation!$A:$D,4,0)</f>
        <v>Camions détail</v>
      </c>
      <c r="W169" s="156" t="str">
        <f>+VLOOKUP($L169,Data_Validation!$A:$E,5,0)</f>
        <v>NB</v>
      </c>
      <c r="X169" s="156">
        <f>+VLOOKUP($L169,Data_Validation!$A:$F,6,0)</f>
        <v>0</v>
      </c>
    </row>
    <row r="170" spans="1:24" ht="15" hidden="1" customHeight="1">
      <c r="A170" s="1013" t="s">
        <v>2030</v>
      </c>
      <c r="B170" s="1013" t="s">
        <v>2031</v>
      </c>
      <c r="C170" s="1035">
        <v>-150274.9</v>
      </c>
      <c r="D170" s="1035">
        <v>-153663.64000000001</v>
      </c>
      <c r="E170" s="1035">
        <v>-303938.53999999998</v>
      </c>
      <c r="F170" s="1013" t="s">
        <v>285</v>
      </c>
      <c r="G170" s="1013" t="s">
        <v>2031</v>
      </c>
      <c r="H170" s="1014"/>
      <c r="I170" s="1015"/>
      <c r="J170" s="1015"/>
      <c r="K170" s="1015"/>
      <c r="L170" s="153" t="str">
        <f t="shared" si="15"/>
        <v>4127</v>
      </c>
      <c r="M170" s="154" t="str">
        <f t="shared" si="16"/>
        <v>VTE - GOLF GTI</v>
      </c>
      <c r="N170" s="155">
        <f>+IF(OR($Q170=Parametres!$G$2,$Q170=Parametres!$G$3),I170,C170)</f>
        <v>-150274.9</v>
      </c>
      <c r="O170" s="155">
        <f>+IF(OR($Q170=Parametres!$G$2,$Q170=Parametres!$G$3),J170,D170)</f>
        <v>-153663.64000000001</v>
      </c>
      <c r="P170" s="155">
        <f>+IF(OR($Q170=Parametres!$G$2,$Q170=Parametres!$G$3),K170,E170)</f>
        <v>-303938.53999999998</v>
      </c>
      <c r="Q170" s="154" t="str">
        <f t="shared" si="17"/>
        <v>5-Ventes</v>
      </c>
      <c r="R170" s="153" t="str">
        <f t="shared" si="18"/>
        <v>4127</v>
      </c>
      <c r="S170" s="154">
        <f t="shared" si="19"/>
        <v>0</v>
      </c>
      <c r="T170" s="156" t="str">
        <f>+VLOOKUP($L170,Data_Validation!$A:$D,1,0)</f>
        <v>4127</v>
      </c>
      <c r="U170" s="156" t="str">
        <f>+VLOOKUP($L170,Data_Validation!$A:$D,3,0)</f>
        <v>Véhicules neufs</v>
      </c>
      <c r="V170" s="156" t="str">
        <f>+VLOOKUP($L170,Data_Validation!$A:$D,4,0)</f>
        <v>Autos détail</v>
      </c>
      <c r="W170" s="156" t="str">
        <f>+VLOOKUP($L170,Data_Validation!$A:$E,5,0)</f>
        <v>$</v>
      </c>
      <c r="X170" s="156" t="str">
        <f>+VLOOKUP($L170,Data_Validation!$A:$F,6,0)</f>
        <v>Oui</v>
      </c>
    </row>
    <row r="171" spans="1:24" ht="15" hidden="1" customHeight="1">
      <c r="A171" s="1013" t="s">
        <v>2500</v>
      </c>
      <c r="B171" s="1013" t="s">
        <v>2501</v>
      </c>
      <c r="C171" s="1015"/>
      <c r="D171" s="1015"/>
      <c r="E171" s="1015"/>
      <c r="F171" s="1013" t="s">
        <v>4</v>
      </c>
      <c r="G171" s="1013" t="s">
        <v>2031</v>
      </c>
      <c r="H171" s="1014"/>
      <c r="I171" s="1014">
        <v>-4</v>
      </c>
      <c r="J171" s="1014">
        <v>-4</v>
      </c>
      <c r="K171" s="1014">
        <v>-8</v>
      </c>
      <c r="L171" s="153" t="str">
        <f t="shared" si="15"/>
        <v>4127@</v>
      </c>
      <c r="M171" s="154" t="str">
        <f t="shared" si="16"/>
        <v># DE VENTE - GOLF GTI</v>
      </c>
      <c r="N171" s="155">
        <f>+IF(OR($Q171=Parametres!$G$2,$Q171=Parametres!$G$3),I171,C171)</f>
        <v>-4</v>
      </c>
      <c r="O171" s="575">
        <f>+IF(OR($Q171=Parametres!$G$2,$Q171=Parametres!$G$3),J171,D171)</f>
        <v>-4</v>
      </c>
      <c r="P171" s="155">
        <f>+IF(OR($Q171=Parametres!$G$2,$Q171=Parametres!$G$3),K171,E171)</f>
        <v>-8</v>
      </c>
      <c r="Q171" s="154" t="str">
        <f t="shared" si="17"/>
        <v>10-Compte compteur</v>
      </c>
      <c r="R171" s="153" t="str">
        <f t="shared" si="18"/>
        <v>4127</v>
      </c>
      <c r="S171" s="154">
        <f t="shared" si="19"/>
        <v>0</v>
      </c>
      <c r="T171" s="156" t="str">
        <f>+VLOOKUP($L171,Data_Validation!$A:$D,1,0)</f>
        <v>4127@</v>
      </c>
      <c r="U171" s="156" t="str">
        <f>+VLOOKUP($L171,Data_Validation!$A:$D,3,0)</f>
        <v>Véhicules neufs</v>
      </c>
      <c r="V171" s="156" t="str">
        <f>+VLOOKUP($L171,Data_Validation!$A:$D,4,0)</f>
        <v>Autos détail</v>
      </c>
      <c r="W171" s="156" t="str">
        <f>+VLOOKUP($L171,Data_Validation!$A:$E,5,0)</f>
        <v>NB</v>
      </c>
      <c r="X171" s="156">
        <f>+VLOOKUP($L171,Data_Validation!$A:$F,6,0)</f>
        <v>0</v>
      </c>
    </row>
    <row r="172" spans="1:24" ht="15.75" hidden="1" customHeight="1">
      <c r="A172" s="1013" t="s">
        <v>1998</v>
      </c>
      <c r="B172" s="1013" t="s">
        <v>1999</v>
      </c>
      <c r="C172" s="1035">
        <v>-1026818.75</v>
      </c>
      <c r="D172" s="1035">
        <v>-934780.79</v>
      </c>
      <c r="E172" s="1035">
        <v>-1961599.54</v>
      </c>
      <c r="F172" s="1013" t="s">
        <v>285</v>
      </c>
      <c r="G172" s="1013" t="s">
        <v>1999</v>
      </c>
      <c r="H172" s="1014"/>
      <c r="I172" s="1015"/>
      <c r="J172" s="1015"/>
      <c r="K172" s="1015"/>
      <c r="L172" s="153" t="str">
        <f t="shared" si="15"/>
        <v>4131</v>
      </c>
      <c r="M172" s="154" t="str">
        <f t="shared" si="16"/>
        <v>VTE - TIGUAN LWB</v>
      </c>
      <c r="N172" s="155">
        <f>+IF(OR($Q172=Parametres!$G$2,$Q172=Parametres!$G$3),I172,C172)</f>
        <v>-1026818.75</v>
      </c>
      <c r="O172" s="155">
        <f>+IF(OR($Q172=Parametres!$G$2,$Q172=Parametres!$G$3),J172,D172)</f>
        <v>-934780.79</v>
      </c>
      <c r="P172" s="155">
        <f>+IF(OR($Q172=Parametres!$G$2,$Q172=Parametres!$G$3),K172,E172)</f>
        <v>-1961599.54</v>
      </c>
      <c r="Q172" s="154" t="str">
        <f t="shared" si="17"/>
        <v>5-Ventes</v>
      </c>
      <c r="R172" s="153" t="str">
        <f t="shared" si="18"/>
        <v>4131</v>
      </c>
      <c r="S172" s="154">
        <f t="shared" si="19"/>
        <v>0</v>
      </c>
      <c r="T172" s="156" t="str">
        <f>+VLOOKUP($L172,Data_Validation!$A:$D,1,0)</f>
        <v>4131</v>
      </c>
      <c r="U172" s="156" t="str">
        <f>+VLOOKUP($L172,Data_Validation!$A:$D,3,0)</f>
        <v>Véhicules neufs</v>
      </c>
      <c r="V172" s="156" t="str">
        <f>+VLOOKUP($L172,Data_Validation!$A:$D,4,0)</f>
        <v>Camions détail</v>
      </c>
      <c r="W172" s="156" t="str">
        <f>+VLOOKUP($L172,Data_Validation!$A:$E,5,0)</f>
        <v>$</v>
      </c>
      <c r="X172" s="156" t="str">
        <f>+VLOOKUP($L172,Data_Validation!$A:$F,6,0)</f>
        <v>Oui</v>
      </c>
    </row>
    <row r="173" spans="1:24" ht="15" hidden="1" customHeight="1">
      <c r="A173" s="1013" t="s">
        <v>2502</v>
      </c>
      <c r="B173" s="1013" t="s">
        <v>2503</v>
      </c>
      <c r="C173" s="1015"/>
      <c r="D173" s="1015"/>
      <c r="E173" s="1015"/>
      <c r="F173" s="1013" t="s">
        <v>4</v>
      </c>
      <c r="G173" s="1013" t="s">
        <v>1999</v>
      </c>
      <c r="H173" s="1014"/>
      <c r="I173" s="1014">
        <v>-26</v>
      </c>
      <c r="J173" s="1014">
        <v>-24</v>
      </c>
      <c r="K173" s="1014">
        <v>-50</v>
      </c>
      <c r="L173" s="153" t="str">
        <f t="shared" si="15"/>
        <v>4131@</v>
      </c>
      <c r="M173" s="154" t="str">
        <f t="shared" si="16"/>
        <v># DE VTE - TIGUAN LWB</v>
      </c>
      <c r="N173" s="155">
        <f>+IF(OR($Q173=Parametres!$G$2,$Q173=Parametres!$G$3),I173,C173)</f>
        <v>-26</v>
      </c>
      <c r="O173" s="155">
        <f>+IF(OR($Q173=Parametres!$G$2,$Q173=Parametres!$G$3),J173,D173)</f>
        <v>-24</v>
      </c>
      <c r="P173" s="155">
        <f>+IF(OR($Q173=Parametres!$G$2,$Q173=Parametres!$G$3),K173,E173)</f>
        <v>-50</v>
      </c>
      <c r="Q173" s="154" t="str">
        <f t="shared" si="17"/>
        <v>10-Compte compteur</v>
      </c>
      <c r="R173" s="153" t="str">
        <f t="shared" si="18"/>
        <v>4131</v>
      </c>
      <c r="S173" s="154">
        <f t="shared" si="19"/>
        <v>0</v>
      </c>
      <c r="T173" s="156" t="str">
        <f>+VLOOKUP($L173,Data_Validation!$A:$D,1,0)</f>
        <v>4131@</v>
      </c>
      <c r="U173" s="156" t="str">
        <f>+VLOOKUP($L173,Data_Validation!$A:$D,3,0)</f>
        <v>Véhicules neufs</v>
      </c>
      <c r="V173" s="156" t="str">
        <f>+VLOOKUP($L173,Data_Validation!$A:$D,4,0)</f>
        <v>Camions détail</v>
      </c>
      <c r="W173" s="156" t="str">
        <f>+VLOOKUP($L173,Data_Validation!$A:$E,5,0)</f>
        <v>NB</v>
      </c>
      <c r="X173" s="156">
        <f>+VLOOKUP($L173,Data_Validation!$A:$F,6,0)</f>
        <v>0</v>
      </c>
    </row>
    <row r="174" spans="1:24" ht="15" hidden="1" customHeight="1">
      <c r="A174" s="1013" t="s">
        <v>2028</v>
      </c>
      <c r="B174" s="1013" t="s">
        <v>2029</v>
      </c>
      <c r="C174" s="1035">
        <v>-32615.99</v>
      </c>
      <c r="D174" s="1035">
        <v>-322346.21999999997</v>
      </c>
      <c r="E174" s="1035">
        <v>-354962.21</v>
      </c>
      <c r="F174" s="1013" t="s">
        <v>285</v>
      </c>
      <c r="G174" s="1013" t="s">
        <v>2029</v>
      </c>
      <c r="H174" s="1014"/>
      <c r="I174" s="1015"/>
      <c r="J174" s="1015"/>
      <c r="K174" s="1015"/>
      <c r="L174" s="153" t="str">
        <f t="shared" si="15"/>
        <v>4135</v>
      </c>
      <c r="M174" s="154" t="str">
        <f t="shared" si="16"/>
        <v>VTE - EGOLF</v>
      </c>
      <c r="N174" s="155">
        <f>+IF(OR($Q174=Parametres!$G$2,$Q174=Parametres!$G$3),I174,C174)</f>
        <v>-32615.99</v>
      </c>
      <c r="O174" s="155">
        <f>+IF(OR($Q174=Parametres!$G$2,$Q174=Parametres!$G$3),J174,D174)</f>
        <v>-322346.21999999997</v>
      </c>
      <c r="P174" s="155">
        <f>+IF(OR($Q174=Parametres!$G$2,$Q174=Parametres!$G$3),K174,E174)</f>
        <v>-354962.21</v>
      </c>
      <c r="Q174" s="154" t="str">
        <f t="shared" si="17"/>
        <v>5-Ventes</v>
      </c>
      <c r="R174" s="153" t="str">
        <f t="shared" si="18"/>
        <v>4135</v>
      </c>
      <c r="S174" s="154">
        <f t="shared" si="19"/>
        <v>0</v>
      </c>
      <c r="T174" s="156" t="str">
        <f>+VLOOKUP($L174,Data_Validation!$A:$D,1,0)</f>
        <v>4135</v>
      </c>
      <c r="U174" s="156" t="str">
        <f>+VLOOKUP($L174,Data_Validation!$A:$D,3,0)</f>
        <v>Véhicules neufs</v>
      </c>
      <c r="V174" s="156" t="str">
        <f>+VLOOKUP($L174,Data_Validation!$A:$D,4,0)</f>
        <v>Autos détail</v>
      </c>
      <c r="W174" s="156" t="str">
        <f>+VLOOKUP($L174,Data_Validation!$A:$E,5,0)</f>
        <v>$</v>
      </c>
      <c r="X174" s="156" t="str">
        <f>+VLOOKUP($L174,Data_Validation!$A:$F,6,0)</f>
        <v>Oui</v>
      </c>
    </row>
    <row r="175" spans="1:24" ht="15" hidden="1" customHeight="1">
      <c r="A175" s="1013" t="s">
        <v>2504</v>
      </c>
      <c r="B175" s="1013" t="s">
        <v>2505</v>
      </c>
      <c r="C175" s="1015"/>
      <c r="D175" s="1015"/>
      <c r="E175" s="1015"/>
      <c r="F175" s="1013" t="s">
        <v>4</v>
      </c>
      <c r="G175" s="1013" t="s">
        <v>2506</v>
      </c>
      <c r="H175" s="1014"/>
      <c r="I175" s="1014">
        <v>-1</v>
      </c>
      <c r="J175" s="1014">
        <v>-9</v>
      </c>
      <c r="K175" s="1014">
        <v>-10</v>
      </c>
      <c r="L175" s="153" t="str">
        <f t="shared" si="15"/>
        <v>4135@</v>
      </c>
      <c r="M175" s="154" t="str">
        <f t="shared" si="16"/>
        <v>UNITES VENDUES - EGOLF</v>
      </c>
      <c r="N175" s="155">
        <f>+IF(OR($Q175=Parametres!$G$2,$Q175=Parametres!$G$3),I175,C175)</f>
        <v>-1</v>
      </c>
      <c r="O175" s="575">
        <f>+IF(OR($Q175=Parametres!$G$2,$Q175=Parametres!$G$3),J175,D175)</f>
        <v>-9</v>
      </c>
      <c r="P175" s="155">
        <f>+IF(OR($Q175=Parametres!$G$2,$Q175=Parametres!$G$3),K175,E175)</f>
        <v>-10</v>
      </c>
      <c r="Q175" s="154" t="str">
        <f t="shared" si="17"/>
        <v>10-Compte compteur</v>
      </c>
      <c r="R175" s="153" t="str">
        <f t="shared" si="18"/>
        <v>84135</v>
      </c>
      <c r="S175" s="154">
        <f t="shared" si="19"/>
        <v>0</v>
      </c>
      <c r="T175" s="156" t="str">
        <f>+VLOOKUP($L175,Data_Validation!$A:$D,1,0)</f>
        <v>4135@</v>
      </c>
      <c r="U175" s="156" t="str">
        <f>+VLOOKUP($L175,Data_Validation!$A:$D,3,0)</f>
        <v>Véhicules neufs</v>
      </c>
      <c r="V175" s="156" t="str">
        <f>+VLOOKUP($L175,Data_Validation!$A:$D,4,0)</f>
        <v>Autos détail</v>
      </c>
      <c r="W175" s="156" t="str">
        <f>+VLOOKUP($L175,Data_Validation!$A:$E,5,0)</f>
        <v>NB</v>
      </c>
      <c r="X175" s="156">
        <f>+VLOOKUP($L175,Data_Validation!$A:$F,6,0)</f>
        <v>0</v>
      </c>
    </row>
    <row r="176" spans="1:24" ht="15.75" hidden="1" customHeight="1">
      <c r="A176" s="1013" t="s">
        <v>2441</v>
      </c>
      <c r="B176" s="1013" t="s">
        <v>2442</v>
      </c>
      <c r="C176" s="1035">
        <v>-152905</v>
      </c>
      <c r="D176" s="1035">
        <v>-105910</v>
      </c>
      <c r="E176" s="1035">
        <v>-258815</v>
      </c>
      <c r="F176" s="1013" t="s">
        <v>285</v>
      </c>
      <c r="G176" s="1013" t="s">
        <v>2442</v>
      </c>
      <c r="H176" s="1014"/>
      <c r="I176" s="1015"/>
      <c r="J176" s="1015"/>
      <c r="K176" s="1015"/>
      <c r="L176" s="153" t="str">
        <f t="shared" si="15"/>
        <v>4137</v>
      </c>
      <c r="M176" s="154" t="str">
        <f t="shared" si="16"/>
        <v>VTE - VW-FLOTTE/VENTES ENTR/EMPLOYE/VEH DEMON</v>
      </c>
      <c r="N176" s="155">
        <f>+IF(OR($Q176=Parametres!$G$2,$Q176=Parametres!$G$3),I176,C176)</f>
        <v>-152905</v>
      </c>
      <c r="O176" s="155">
        <f>+IF(OR($Q176=Parametres!$G$2,$Q176=Parametres!$G$3),J176,D176)</f>
        <v>-105910</v>
      </c>
      <c r="P176" s="155">
        <f>+IF(OR($Q176=Parametres!$G$2,$Q176=Parametres!$G$3),K176,E176)</f>
        <v>-258815</v>
      </c>
      <c r="Q176" s="154" t="str">
        <f t="shared" si="17"/>
        <v>5-Ventes</v>
      </c>
      <c r="R176" s="153" t="str">
        <f t="shared" si="18"/>
        <v>4137</v>
      </c>
      <c r="S176" s="154">
        <f t="shared" si="19"/>
        <v>0</v>
      </c>
      <c r="T176" s="156" t="str">
        <f>+VLOOKUP($L176,Data_Validation!$A:$D,1,0)</f>
        <v>4137</v>
      </c>
      <c r="U176" s="156" t="str">
        <f>+VLOOKUP($L176,Data_Validation!$A:$D,3,0)</f>
        <v>Véhicules neufs</v>
      </c>
      <c r="V176" s="156" t="str">
        <f>+VLOOKUP($L176,Data_Validation!$A:$D,4,0)</f>
        <v>Flottes</v>
      </c>
      <c r="W176" s="156" t="str">
        <f>+VLOOKUP($L176,Data_Validation!$A:$E,5,0)</f>
        <v>$</v>
      </c>
      <c r="X176" s="156" t="str">
        <f>+VLOOKUP($L176,Data_Validation!$A:$F,6,0)</f>
        <v>Oui</v>
      </c>
    </row>
    <row r="177" spans="1:24" ht="15" hidden="1" customHeight="1">
      <c r="A177" s="1013" t="s">
        <v>2507</v>
      </c>
      <c r="B177" s="1013" t="s">
        <v>2508</v>
      </c>
      <c r="C177" s="1015"/>
      <c r="D177" s="1015"/>
      <c r="E177" s="1015"/>
      <c r="F177" s="1013" t="s">
        <v>4</v>
      </c>
      <c r="G177" s="1013" t="s">
        <v>2442</v>
      </c>
      <c r="H177" s="1014"/>
      <c r="I177" s="1014">
        <v>-5</v>
      </c>
      <c r="J177" s="1014">
        <v>-3</v>
      </c>
      <c r="K177" s="1014">
        <v>-8</v>
      </c>
      <c r="L177" s="153" t="str">
        <f t="shared" si="15"/>
        <v>4137@</v>
      </c>
      <c r="M177" s="154" t="str">
        <f t="shared" si="16"/>
        <v>VW FLOTTE/VENTE ENTR/EMPLOYE/VEH DEMONST</v>
      </c>
      <c r="N177" s="155">
        <f>+IF(OR($Q177=Parametres!$G$2,$Q177=Parametres!$G$3),I177,C177)</f>
        <v>-5</v>
      </c>
      <c r="O177" s="575">
        <f>+IF(OR($Q177=Parametres!$G$2,$Q177=Parametres!$G$3),J177,D177)</f>
        <v>-3</v>
      </c>
      <c r="P177" s="155">
        <f>+IF(OR($Q177=Parametres!$G$2,$Q177=Parametres!$G$3),K177,E177)</f>
        <v>-8</v>
      </c>
      <c r="Q177" s="154" t="str">
        <f t="shared" si="17"/>
        <v>10-Compte compteur</v>
      </c>
      <c r="R177" s="153" t="str">
        <f t="shared" si="18"/>
        <v>4137</v>
      </c>
      <c r="S177" s="154">
        <f t="shared" si="19"/>
        <v>0</v>
      </c>
      <c r="T177" s="156" t="str">
        <f>+VLOOKUP($L177,Data_Validation!$A:$D,1,0)</f>
        <v>4137@</v>
      </c>
      <c r="U177" s="156" t="str">
        <f>+VLOOKUP($L177,Data_Validation!$A:$D,3,0)</f>
        <v>Véhicules neufs</v>
      </c>
      <c r="V177" s="156" t="str">
        <f>+VLOOKUP($L177,Data_Validation!$A:$D,4,0)</f>
        <v>Flottes</v>
      </c>
      <c r="W177" s="156" t="str">
        <f>+VLOOKUP($L177,Data_Validation!$A:$E,5,0)</f>
        <v>NB</v>
      </c>
      <c r="X177" s="156">
        <f>+VLOOKUP($L177,Data_Validation!$A:$F,6,0)</f>
        <v>0</v>
      </c>
    </row>
    <row r="178" spans="1:24" ht="15" hidden="1" customHeight="1">
      <c r="A178" s="1013" t="s">
        <v>2004</v>
      </c>
      <c r="B178" s="1013" t="s">
        <v>2005</v>
      </c>
      <c r="C178" s="1035">
        <v>-516582.78</v>
      </c>
      <c r="D178" s="1035">
        <v>-259601</v>
      </c>
      <c r="E178" s="1035">
        <v>-776183.78</v>
      </c>
      <c r="F178" s="1013" t="s">
        <v>285</v>
      </c>
      <c r="G178" s="1013" t="s">
        <v>2005</v>
      </c>
      <c r="H178" s="1014"/>
      <c r="I178" s="1015"/>
      <c r="J178" s="1015"/>
      <c r="K178" s="1015"/>
      <c r="L178" s="153" t="str">
        <f t="shared" si="15"/>
        <v>4139</v>
      </c>
      <c r="M178" s="154" t="str">
        <f t="shared" si="16"/>
        <v>VTE - VW FLOTTE/VENTE ENTR/EMPLOYE/VEH DEMONS</v>
      </c>
      <c r="N178" s="155">
        <f>+IF(OR($Q178=Parametres!$G$2,$Q178=Parametres!$G$3),I178,C178)</f>
        <v>-516582.78</v>
      </c>
      <c r="O178" s="155">
        <f>+IF(OR($Q178=Parametres!$G$2,$Q178=Parametres!$G$3),J178,D178)</f>
        <v>-259601</v>
      </c>
      <c r="P178" s="155">
        <f>+IF(OR($Q178=Parametres!$G$2,$Q178=Parametres!$G$3),K178,E178)</f>
        <v>-776183.78</v>
      </c>
      <c r="Q178" s="154" t="str">
        <f t="shared" si="17"/>
        <v>5-Ventes</v>
      </c>
      <c r="R178" s="153" t="str">
        <f t="shared" si="18"/>
        <v>4139</v>
      </c>
      <c r="S178" s="154">
        <f t="shared" si="19"/>
        <v>0</v>
      </c>
      <c r="T178" s="156" t="str">
        <f>+VLOOKUP($L178,Data_Validation!$A:$D,1,0)</f>
        <v>4139</v>
      </c>
      <c r="U178" s="156" t="str">
        <f>+VLOOKUP($L178,Data_Validation!$A:$D,3,0)</f>
        <v>Véhicules neufs</v>
      </c>
      <c r="V178" s="156" t="str">
        <f>+VLOOKUP($L178,Data_Validation!$A:$D,4,0)</f>
        <v>Ex-Démos et courtoisies</v>
      </c>
      <c r="W178" s="156" t="str">
        <f>+VLOOKUP($L178,Data_Validation!$A:$E,5,0)</f>
        <v>$</v>
      </c>
      <c r="X178" s="156" t="str">
        <f>+VLOOKUP($L178,Data_Validation!$A:$F,6,0)</f>
        <v>Oui</v>
      </c>
    </row>
    <row r="179" spans="1:24" ht="15" hidden="1" customHeight="1">
      <c r="A179" s="1013" t="s">
        <v>2509</v>
      </c>
      <c r="B179" s="1013" t="s">
        <v>2510</v>
      </c>
      <c r="C179" s="1015"/>
      <c r="D179" s="1015"/>
      <c r="E179" s="1015"/>
      <c r="F179" s="1013" t="s">
        <v>4</v>
      </c>
      <c r="G179" s="1013" t="s">
        <v>2005</v>
      </c>
      <c r="H179" s="1014"/>
      <c r="I179" s="1014">
        <v>-15</v>
      </c>
      <c r="J179" s="1014">
        <v>-9</v>
      </c>
      <c r="K179" s="1014">
        <v>-24</v>
      </c>
      <c r="L179" s="153" t="str">
        <f t="shared" si="15"/>
        <v>4139@</v>
      </c>
      <c r="M179" s="154" t="str">
        <f t="shared" si="16"/>
        <v>VENTES A PARK AVENUE LOCATION</v>
      </c>
      <c r="N179" s="155">
        <f>+IF(OR($Q179=Parametres!$G$2,$Q179=Parametres!$G$3),I179,C179)</f>
        <v>-15</v>
      </c>
      <c r="O179" s="155">
        <f>+IF(OR($Q179=Parametres!$G$2,$Q179=Parametres!$G$3),J179,D179)</f>
        <v>-9</v>
      </c>
      <c r="P179" s="155">
        <f>+IF(OR($Q179=Parametres!$G$2,$Q179=Parametres!$G$3),K179,E179)</f>
        <v>-24</v>
      </c>
      <c r="Q179" s="154" t="str">
        <f t="shared" si="17"/>
        <v>10-Compte compteur</v>
      </c>
      <c r="R179" s="153" t="str">
        <f t="shared" si="18"/>
        <v>4139</v>
      </c>
      <c r="S179" s="154">
        <f t="shared" si="19"/>
        <v>0</v>
      </c>
      <c r="T179" s="156" t="str">
        <f>+VLOOKUP($L179,Data_Validation!$A:$D,1,0)</f>
        <v>4139@</v>
      </c>
      <c r="U179" s="156" t="str">
        <f>+VLOOKUP($L179,Data_Validation!$A:$D,3,0)</f>
        <v>Véhicules neufs</v>
      </c>
      <c r="V179" s="156" t="str">
        <f>+VLOOKUP($L179,Data_Validation!$A:$D,4,0)</f>
        <v>Ex-Démos et courtoisies</v>
      </c>
      <c r="W179" s="156" t="str">
        <f>+VLOOKUP($L179,Data_Validation!$A:$E,5,0)</f>
        <v>NB</v>
      </c>
      <c r="X179" s="156">
        <f>+VLOOKUP($L179,Data_Validation!$A:$F,6,0)</f>
        <v>0</v>
      </c>
    </row>
    <row r="180" spans="1:24" ht="15" hidden="1" customHeight="1">
      <c r="A180" s="1013" t="s">
        <v>2000</v>
      </c>
      <c r="B180" s="1013" t="s">
        <v>2001</v>
      </c>
      <c r="C180" s="1035">
        <v>-948620.6</v>
      </c>
      <c r="D180" s="1035">
        <v>-862714.93</v>
      </c>
      <c r="E180" s="1035">
        <v>-1811335.53</v>
      </c>
      <c r="F180" s="1013" t="s">
        <v>285</v>
      </c>
      <c r="G180" s="1013" t="s">
        <v>2001</v>
      </c>
      <c r="H180" s="1014"/>
      <c r="I180" s="1015"/>
      <c r="J180" s="1015"/>
      <c r="K180" s="1015"/>
      <c r="L180" s="153" t="str">
        <f t="shared" si="15"/>
        <v>4201</v>
      </c>
      <c r="M180" s="154" t="str">
        <f t="shared" si="16"/>
        <v>VTE - VEH.USAGE VW DETAIL CERTIFIE</v>
      </c>
      <c r="N180" s="155">
        <f>+IF(OR($Q180=Parametres!$G$2,$Q180=Parametres!$G$3),I180,C180)</f>
        <v>-948620.6</v>
      </c>
      <c r="O180" s="155">
        <f>+IF(OR($Q180=Parametres!$G$2,$Q180=Parametres!$G$3),J180,D180)</f>
        <v>-862714.93</v>
      </c>
      <c r="P180" s="155">
        <f>+IF(OR($Q180=Parametres!$G$2,$Q180=Parametres!$G$3),K180,E180)</f>
        <v>-1811335.53</v>
      </c>
      <c r="Q180" s="154" t="str">
        <f t="shared" si="17"/>
        <v>5-Ventes</v>
      </c>
      <c r="R180" s="153" t="str">
        <f t="shared" si="18"/>
        <v>4201</v>
      </c>
      <c r="S180" s="154">
        <f t="shared" si="19"/>
        <v>0</v>
      </c>
      <c r="T180" s="156" t="str">
        <f>+VLOOKUP($L180,Data_Validation!$A:$D,1,0)</f>
        <v>4201</v>
      </c>
      <c r="U180" s="156" t="str">
        <f>+VLOOKUP($L180,Data_Validation!$A:$D,3,0)</f>
        <v>Véhicules usagés</v>
      </c>
      <c r="V180" s="156" t="str">
        <f>+VLOOKUP($L180,Data_Validation!$A:$D,4,0)</f>
        <v>Certifié</v>
      </c>
      <c r="W180" s="156" t="str">
        <f>+VLOOKUP($L180,Data_Validation!$A:$E,5,0)</f>
        <v>$</v>
      </c>
      <c r="X180" s="156" t="str">
        <f>+VLOOKUP($L180,Data_Validation!$A:$F,6,0)</f>
        <v>Oui</v>
      </c>
    </row>
    <row r="181" spans="1:24" ht="15.75" hidden="1" customHeight="1">
      <c r="A181" s="1013" t="s">
        <v>2511</v>
      </c>
      <c r="B181" s="1013" t="s">
        <v>2512</v>
      </c>
      <c r="C181" s="1015"/>
      <c r="D181" s="1015"/>
      <c r="E181" s="1015"/>
      <c r="F181" s="1013" t="s">
        <v>4</v>
      </c>
      <c r="G181" s="1013" t="s">
        <v>2001</v>
      </c>
      <c r="H181" s="1014"/>
      <c r="I181" s="1014">
        <v>-44</v>
      </c>
      <c r="J181" s="1014">
        <v>-42</v>
      </c>
      <c r="K181" s="1014">
        <v>-86</v>
      </c>
      <c r="L181" s="153" t="str">
        <f t="shared" si="15"/>
        <v>4201@</v>
      </c>
      <c r="M181" s="154" t="str">
        <f t="shared" si="16"/>
        <v># DE VTE - VEH.USAGE VW DET.CERT.</v>
      </c>
      <c r="N181" s="155">
        <f>+IF(OR($Q181=Parametres!$G$2,$Q181=Parametres!$G$3),I181,C181)</f>
        <v>-44</v>
      </c>
      <c r="O181" s="155">
        <f>+IF(OR($Q181=Parametres!$G$2,$Q181=Parametres!$G$3),J181,D181)</f>
        <v>-42</v>
      </c>
      <c r="P181" s="155">
        <f>+IF(OR($Q181=Parametres!$G$2,$Q181=Parametres!$G$3),K181,E181)</f>
        <v>-86</v>
      </c>
      <c r="Q181" s="154" t="str">
        <f t="shared" si="17"/>
        <v>10-Compte compteur</v>
      </c>
      <c r="R181" s="153" t="str">
        <f t="shared" si="18"/>
        <v>4201</v>
      </c>
      <c r="S181" s="154">
        <f t="shared" si="19"/>
        <v>0</v>
      </c>
      <c r="T181" s="156" t="str">
        <f>+VLOOKUP($L181,Data_Validation!$A:$D,1,0)</f>
        <v>4201@</v>
      </c>
      <c r="U181" s="156" t="str">
        <f>+VLOOKUP($L181,Data_Validation!$A:$D,3,0)</f>
        <v>Véhicules usagés</v>
      </c>
      <c r="V181" s="156" t="str">
        <f>+VLOOKUP($L181,Data_Validation!$A:$D,4,0)</f>
        <v>Certifié</v>
      </c>
      <c r="W181" s="156" t="str">
        <f>+VLOOKUP($L181,Data_Validation!$A:$E,5,0)</f>
        <v>NB</v>
      </c>
      <c r="X181" s="156">
        <f>+VLOOKUP($L181,Data_Validation!$A:$F,6,0)</f>
        <v>0</v>
      </c>
    </row>
    <row r="182" spans="1:24" ht="15.75" hidden="1" customHeight="1">
      <c r="A182" s="1013" t="s">
        <v>2038</v>
      </c>
      <c r="B182" s="1013" t="s">
        <v>2039</v>
      </c>
      <c r="C182" s="1035">
        <v>-28930</v>
      </c>
      <c r="D182" s="1014">
        <v>0</v>
      </c>
      <c r="E182" s="1035">
        <v>-28930</v>
      </c>
      <c r="F182" s="1013" t="s">
        <v>285</v>
      </c>
      <c r="G182" s="1013" t="s">
        <v>2040</v>
      </c>
      <c r="H182" s="1014"/>
      <c r="I182" s="1015"/>
      <c r="J182" s="1015"/>
      <c r="K182" s="1015"/>
      <c r="L182" s="153" t="str">
        <f t="shared" si="15"/>
        <v>4285</v>
      </c>
      <c r="M182" s="154" t="str">
        <f t="shared" si="16"/>
        <v>VEH. D'OCC. AUTRE DETAIL</v>
      </c>
      <c r="N182" s="155">
        <f>+IF(OR($Q182=Parametres!$G$2,$Q182=Parametres!$G$3),I182,C182)</f>
        <v>-28930</v>
      </c>
      <c r="O182" s="155">
        <f>+IF(OR($Q182=Parametres!$G$2,$Q182=Parametres!$G$3),J182,D182)</f>
        <v>0</v>
      </c>
      <c r="P182" s="155">
        <f>+IF(OR($Q182=Parametres!$G$2,$Q182=Parametres!$G$3),K182,E182)</f>
        <v>-28930</v>
      </c>
      <c r="Q182" s="154" t="str">
        <f t="shared" si="17"/>
        <v>5-Ventes</v>
      </c>
      <c r="R182" s="153" t="str">
        <f t="shared" si="18"/>
        <v>4261</v>
      </c>
      <c r="S182" s="154">
        <f t="shared" si="19"/>
        <v>0</v>
      </c>
      <c r="T182" s="156" t="str">
        <f>+VLOOKUP($L182,Data_Validation!$A:$D,1,0)</f>
        <v>4285</v>
      </c>
      <c r="U182" s="156" t="str">
        <f>+VLOOKUP($L182,Data_Validation!$A:$D,3,0)</f>
        <v>Véhicules usagés</v>
      </c>
      <c r="V182" s="156" t="str">
        <f>+VLOOKUP($L182,Data_Validation!$A:$D,4,0)</f>
        <v>Non Certifié</v>
      </c>
      <c r="W182" s="156" t="str">
        <f>+VLOOKUP($L182,Data_Validation!$A:$E,5,0)</f>
        <v>$</v>
      </c>
      <c r="X182" s="156" t="str">
        <f>+VLOOKUP($L182,Data_Validation!$A:$F,6,0)</f>
        <v>Oui</v>
      </c>
    </row>
    <row r="183" spans="1:24" ht="15.75" hidden="1" customHeight="1">
      <c r="A183" s="1013" t="s">
        <v>2515</v>
      </c>
      <c r="B183" s="1013" t="s">
        <v>2516</v>
      </c>
      <c r="C183" s="1015"/>
      <c r="D183" s="1015"/>
      <c r="E183" s="1015"/>
      <c r="F183" s="1013" t="s">
        <v>4</v>
      </c>
      <c r="G183" s="1013" t="s">
        <v>2040</v>
      </c>
      <c r="H183" s="1014"/>
      <c r="I183" s="1014">
        <v>-1</v>
      </c>
      <c r="J183" s="1014">
        <v>0</v>
      </c>
      <c r="K183" s="1014">
        <v>-1</v>
      </c>
      <c r="L183" s="153" t="str">
        <f t="shared" si="15"/>
        <v>4285@</v>
      </c>
      <c r="M183" s="154" t="str">
        <f t="shared" si="16"/>
        <v>AUTRE MARQUES DETAIL - USAGE</v>
      </c>
      <c r="N183" s="155">
        <f>+IF(OR($Q183=Parametres!$G$2,$Q183=Parametres!$G$3),I183,C183)</f>
        <v>-1</v>
      </c>
      <c r="O183" s="155">
        <f>+IF(OR($Q183=Parametres!$G$2,$Q183=Parametres!$G$3),J183,D183)</f>
        <v>0</v>
      </c>
      <c r="P183" s="155">
        <f>+IF(OR($Q183=Parametres!$G$2,$Q183=Parametres!$G$3),K183,E183)</f>
        <v>-1</v>
      </c>
      <c r="Q183" s="154" t="str">
        <f t="shared" si="17"/>
        <v>10-Compte compteur</v>
      </c>
      <c r="R183" s="153" t="str">
        <f t="shared" si="18"/>
        <v>4261</v>
      </c>
      <c r="S183" s="154">
        <f t="shared" si="19"/>
        <v>0</v>
      </c>
      <c r="T183" s="156" t="str">
        <f>+VLOOKUP($L183,Data_Validation!$A:$D,1,0)</f>
        <v>4285@</v>
      </c>
      <c r="U183" s="156" t="str">
        <f>+VLOOKUP($L183,Data_Validation!$A:$D,3,0)</f>
        <v>Véhicules usagés</v>
      </c>
      <c r="V183" s="156" t="str">
        <f>+VLOOKUP($L183,Data_Validation!$A:$D,4,0)</f>
        <v>Non Certifié</v>
      </c>
      <c r="W183" s="156" t="str">
        <f>+VLOOKUP($L183,Data_Validation!$A:$E,5,0)</f>
        <v>NB</v>
      </c>
      <c r="X183" s="156">
        <f>+VLOOKUP($L183,Data_Validation!$A:$F,6,0)</f>
        <v>0</v>
      </c>
    </row>
    <row r="184" spans="1:24" ht="15.75" hidden="1" customHeight="1">
      <c r="A184" s="1013" t="s">
        <v>2006</v>
      </c>
      <c r="B184" s="1013" t="s">
        <v>2007</v>
      </c>
      <c r="C184" s="1015">
        <v>-455401</v>
      </c>
      <c r="D184" s="1015">
        <v>-648800</v>
      </c>
      <c r="E184" s="1015">
        <v>-1104201</v>
      </c>
      <c r="F184" s="1013" t="s">
        <v>285</v>
      </c>
      <c r="G184" s="1013" t="s">
        <v>2008</v>
      </c>
      <c r="H184" s="1014"/>
      <c r="I184" s="1014"/>
      <c r="J184" s="1014"/>
      <c r="K184" s="1014"/>
      <c r="L184" s="153" t="str">
        <f t="shared" si="15"/>
        <v>4291</v>
      </c>
      <c r="M184" s="154" t="str">
        <f t="shared" si="16"/>
        <v>VEH. D'OCC. AU GROS</v>
      </c>
      <c r="N184" s="155">
        <f>+IF(OR($Q184=Parametres!$G$2,$Q184=Parametres!$G$3),I184,C184)</f>
        <v>-455401</v>
      </c>
      <c r="O184" s="155">
        <f>+IF(OR($Q184=Parametres!$G$2,$Q184=Parametres!$G$3),J184,D184)</f>
        <v>-648800</v>
      </c>
      <c r="P184" s="155">
        <f>+IF(OR($Q184=Parametres!$G$2,$Q184=Parametres!$G$3),K184,E184)</f>
        <v>-1104201</v>
      </c>
      <c r="Q184" s="154" t="str">
        <f t="shared" si="17"/>
        <v>5-Ventes</v>
      </c>
      <c r="R184" s="153" t="str">
        <f t="shared" si="18"/>
        <v>4281</v>
      </c>
      <c r="S184" s="154">
        <f t="shared" si="19"/>
        <v>0</v>
      </c>
      <c r="T184" s="156" t="str">
        <f>+VLOOKUP($L184,Data_Validation!$A:$D,1,0)</f>
        <v>4291</v>
      </c>
      <c r="U184" s="156" t="str">
        <f>+VLOOKUP($L184,Data_Validation!$A:$D,3,0)</f>
        <v>Véhicules usagés</v>
      </c>
      <c r="V184" s="156" t="str">
        <f>+VLOOKUP($L184,Data_Validation!$A:$D,4,0)</f>
        <v>Ventes au Gros</v>
      </c>
      <c r="W184" s="156" t="str">
        <f>+VLOOKUP($L184,Data_Validation!$A:$E,5,0)</f>
        <v>$</v>
      </c>
      <c r="X184" s="156" t="str">
        <f>+VLOOKUP($L184,Data_Validation!$A:$F,6,0)</f>
        <v>Oui</v>
      </c>
    </row>
    <row r="185" spans="1:24" ht="15.75" hidden="1" customHeight="1">
      <c r="A185" s="1013" t="s">
        <v>2517</v>
      </c>
      <c r="B185" s="1013" t="s">
        <v>2518</v>
      </c>
      <c r="C185" s="1035"/>
      <c r="D185" s="1035"/>
      <c r="E185" s="1035"/>
      <c r="F185" s="1013" t="s">
        <v>4</v>
      </c>
      <c r="G185" s="1013" t="s">
        <v>2008</v>
      </c>
      <c r="H185" s="1014"/>
      <c r="I185" s="1015">
        <v>-43</v>
      </c>
      <c r="J185" s="1015">
        <v>-49</v>
      </c>
      <c r="K185" s="1015">
        <v>-92</v>
      </c>
      <c r="L185" s="153" t="str">
        <f t="shared" si="15"/>
        <v>4291@</v>
      </c>
      <c r="M185" s="154" t="str">
        <f t="shared" si="16"/>
        <v>VENTE AU GROS - USAGES</v>
      </c>
      <c r="N185" s="155">
        <f>+IF(OR($Q185=Parametres!$G$2,$Q185=Parametres!$G$3),I185,C185)</f>
        <v>-43</v>
      </c>
      <c r="O185" s="155">
        <f>+IF(OR($Q185=Parametres!$G$2,$Q185=Parametres!$G$3),J185,D185)</f>
        <v>-49</v>
      </c>
      <c r="P185" s="155">
        <f>+IF(OR($Q185=Parametres!$G$2,$Q185=Parametres!$G$3),K185,E185)</f>
        <v>-92</v>
      </c>
      <c r="Q185" s="154" t="str">
        <f t="shared" si="17"/>
        <v>10-Compte compteur</v>
      </c>
      <c r="R185" s="153" t="str">
        <f t="shared" si="18"/>
        <v>4281</v>
      </c>
      <c r="S185" s="154">
        <f t="shared" si="19"/>
        <v>0</v>
      </c>
      <c r="T185" s="156" t="str">
        <f>+VLOOKUP($L185,Data_Validation!$A:$D,1,0)</f>
        <v>4291@</v>
      </c>
      <c r="U185" s="156" t="str">
        <f>+VLOOKUP($L185,Data_Validation!$A:$D,3,0)</f>
        <v>Véhicules usagés</v>
      </c>
      <c r="V185" s="156" t="str">
        <f>+VLOOKUP($L185,Data_Validation!$A:$D,4,0)</f>
        <v>Ventes au Gros</v>
      </c>
      <c r="W185" s="156" t="str">
        <f>+VLOOKUP($L185,Data_Validation!$A:$E,5,0)</f>
        <v>NB</v>
      </c>
      <c r="X185" s="156">
        <f>+VLOOKUP($L185,Data_Validation!$A:$F,6,0)</f>
        <v>0</v>
      </c>
    </row>
    <row r="186" spans="1:24" ht="15.75" hidden="1" customHeight="1">
      <c r="A186" s="1013" t="s">
        <v>2011</v>
      </c>
      <c r="B186" s="1013" t="s">
        <v>2012</v>
      </c>
      <c r="C186" s="1015">
        <v>-103734.32</v>
      </c>
      <c r="D186" s="1015">
        <v>-89196.36</v>
      </c>
      <c r="E186" s="1015">
        <v>-192930.68</v>
      </c>
      <c r="F186" s="1013" t="s">
        <v>285</v>
      </c>
      <c r="G186" s="1013" t="s">
        <v>2012</v>
      </c>
      <c r="H186" s="1014"/>
      <c r="I186" s="1014"/>
      <c r="J186" s="1014"/>
      <c r="K186" s="1014"/>
      <c r="L186" s="153" t="str">
        <f t="shared" si="15"/>
        <v>4401</v>
      </c>
      <c r="M186" s="154" t="str">
        <f t="shared" si="16"/>
        <v>M.O. MECANIQUE-VENTE CLIENTS</v>
      </c>
      <c r="N186" s="155">
        <f>+IF(OR($Q186=Parametres!$G$2,$Q186=Parametres!$G$3),I186,C186)</f>
        <v>-103734.32</v>
      </c>
      <c r="O186" s="155">
        <f>+IF(OR($Q186=Parametres!$G$2,$Q186=Parametres!$G$3),J186,D186)</f>
        <v>-89196.36</v>
      </c>
      <c r="P186" s="155">
        <f>+IF(OR($Q186=Parametres!$G$2,$Q186=Parametres!$G$3),K186,E186)</f>
        <v>-192930.68</v>
      </c>
      <c r="Q186" s="154" t="str">
        <f t="shared" si="17"/>
        <v>5-Ventes</v>
      </c>
      <c r="R186" s="153" t="str">
        <f t="shared" si="18"/>
        <v>4401</v>
      </c>
      <c r="S186" s="154">
        <f t="shared" si="19"/>
        <v>0</v>
      </c>
      <c r="T186" s="156" t="str">
        <f>+VLOOKUP($L186,Data_Validation!$A:$D,1,0)</f>
        <v>4401</v>
      </c>
      <c r="U186" s="156" t="str">
        <f>+VLOOKUP($L186,Data_Validation!$A:$D,3,0)</f>
        <v>Service</v>
      </c>
      <c r="V186" s="156" t="str">
        <f>+VLOOKUP($L186,Data_Validation!$A:$D,4,0)</f>
        <v>M/O Client</v>
      </c>
      <c r="W186" s="156" t="str">
        <f>+VLOOKUP($L186,Data_Validation!$A:$E,5,0)</f>
        <v>$</v>
      </c>
      <c r="X186" s="156" t="str">
        <f>+VLOOKUP($L186,Data_Validation!$A:$F,6,0)</f>
        <v>Oui</v>
      </c>
    </row>
    <row r="187" spans="1:24" ht="15" hidden="1" customHeight="1">
      <c r="A187" s="1013" t="s">
        <v>2011</v>
      </c>
      <c r="B187" s="1013" t="s">
        <v>2519</v>
      </c>
      <c r="C187" s="1035"/>
      <c r="D187" s="1035"/>
      <c r="E187" s="1035"/>
      <c r="F187" s="1013" t="s">
        <v>4</v>
      </c>
      <c r="G187" s="1013" t="s">
        <v>2012</v>
      </c>
      <c r="H187" s="1014"/>
      <c r="I187" s="1015">
        <v>-443</v>
      </c>
      <c r="J187" s="1015">
        <v>-399</v>
      </c>
      <c r="K187" s="1015">
        <v>-842</v>
      </c>
      <c r="L187" s="153" t="str">
        <f t="shared" si="15"/>
        <v>4401@</v>
      </c>
      <c r="M187" s="154" t="str">
        <f t="shared" si="16"/>
        <v>M.O. MECANIQUE-VENTE CLIENTS</v>
      </c>
      <c r="N187" s="155">
        <f>+IF(OR($Q187=Parametres!$G$2,$Q187=Parametres!$G$3),I187,C187)</f>
        <v>-443</v>
      </c>
      <c r="O187" s="155">
        <f>+IF(OR($Q187=Parametres!$G$2,$Q187=Parametres!$G$3),J187,D187)</f>
        <v>-399</v>
      </c>
      <c r="P187" s="155">
        <f>+IF(OR($Q187=Parametres!$G$2,$Q187=Parametres!$G$3),K187,E187)</f>
        <v>-842</v>
      </c>
      <c r="Q187" s="154" t="str">
        <f t="shared" si="17"/>
        <v>10-Compte compteur</v>
      </c>
      <c r="R187" s="153" t="str">
        <f t="shared" si="18"/>
        <v>4401</v>
      </c>
      <c r="S187" s="154">
        <f t="shared" si="19"/>
        <v>0</v>
      </c>
      <c r="T187" s="156" t="str">
        <f>+VLOOKUP($L187,Data_Validation!$A:$D,1,0)</f>
        <v>4401@</v>
      </c>
      <c r="U187" s="156" t="str">
        <f>+VLOOKUP($L187,Data_Validation!$A:$D,3,0)</f>
        <v>Service</v>
      </c>
      <c r="V187" s="156" t="str">
        <f>+VLOOKUP($L187,Data_Validation!$A:$D,4,0)</f>
        <v>M/O Client</v>
      </c>
      <c r="W187" s="156" t="str">
        <f>+VLOOKUP($L187,Data_Validation!$A:$E,5,0)</f>
        <v>NB</v>
      </c>
      <c r="X187" s="156">
        <f>+VLOOKUP($L187,Data_Validation!$A:$F,6,0)</f>
        <v>0</v>
      </c>
    </row>
    <row r="188" spans="1:24" ht="15" hidden="1" customHeight="1">
      <c r="A188" s="1013" t="s">
        <v>2191</v>
      </c>
      <c r="B188" s="1013" t="s">
        <v>2192</v>
      </c>
      <c r="C188" s="1015">
        <v>-209.85</v>
      </c>
      <c r="D188" s="1015">
        <v>-572.42999999999995</v>
      </c>
      <c r="E188" s="1015">
        <v>-782.28</v>
      </c>
      <c r="F188" s="1013" t="s">
        <v>285</v>
      </c>
      <c r="G188" s="1013" t="s">
        <v>2192</v>
      </c>
      <c r="H188" s="1014"/>
      <c r="I188" s="1014"/>
      <c r="J188" s="1014"/>
      <c r="K188" s="1014"/>
      <c r="L188" s="153" t="str">
        <f t="shared" si="15"/>
        <v>4402</v>
      </c>
      <c r="M188" s="154" t="str">
        <f t="shared" si="16"/>
        <v>VTE - M.O. ESTHETIQUE CLIENT</v>
      </c>
      <c r="N188" s="155">
        <f>+IF(OR($Q188=Parametres!$G$2,$Q188=Parametres!$G$3),I188,C188)</f>
        <v>-209.85</v>
      </c>
      <c r="O188" s="155">
        <f>+IF(OR($Q188=Parametres!$G$2,$Q188=Parametres!$G$3),J188,D188)</f>
        <v>-572.42999999999995</v>
      </c>
      <c r="P188" s="155">
        <f>+IF(OR($Q188=Parametres!$G$2,$Q188=Parametres!$G$3),K188,E188)</f>
        <v>-782.28</v>
      </c>
      <c r="Q188" s="154" t="str">
        <f t="shared" si="17"/>
        <v>5-Ventes</v>
      </c>
      <c r="R188" s="153" t="str">
        <f t="shared" si="18"/>
        <v>4402</v>
      </c>
      <c r="S188" s="154">
        <f t="shared" si="19"/>
        <v>0</v>
      </c>
      <c r="T188" s="156" t="str">
        <f>+VLOOKUP($L188,Data_Validation!$A:$D,1,0)</f>
        <v>4402</v>
      </c>
      <c r="U188" s="156" t="str">
        <f>+VLOOKUP($L188,Data_Validation!$A:$D,3,0)</f>
        <v>Service</v>
      </c>
      <c r="V188" s="156" t="str">
        <f>+VLOOKUP($L188,Data_Validation!$A:$D,4,0)</f>
        <v>M/O Esthétique</v>
      </c>
      <c r="W188" s="156" t="str">
        <f>+VLOOKUP($L188,Data_Validation!$A:$E,5,0)</f>
        <v>$</v>
      </c>
      <c r="X188" s="156" t="str">
        <f>+VLOOKUP($L188,Data_Validation!$A:$F,6,0)</f>
        <v>Oui</v>
      </c>
    </row>
    <row r="189" spans="1:24" ht="15" hidden="1" customHeight="1">
      <c r="A189" s="1013" t="s">
        <v>2041</v>
      </c>
      <c r="B189" s="1013" t="s">
        <v>2042</v>
      </c>
      <c r="C189" s="1015">
        <v>-116840.23</v>
      </c>
      <c r="D189" s="1015">
        <v>-42296.04</v>
      </c>
      <c r="E189" s="1015">
        <v>-159136.26999999999</v>
      </c>
      <c r="F189" s="1013" t="s">
        <v>285</v>
      </c>
      <c r="G189" s="1013" t="s">
        <v>2042</v>
      </c>
      <c r="H189" s="1014"/>
      <c r="I189" s="1014"/>
      <c r="J189" s="1014"/>
      <c r="K189" s="1014"/>
      <c r="L189" s="153" t="str">
        <f t="shared" si="15"/>
        <v>4403</v>
      </c>
      <c r="M189" s="154" t="str">
        <f t="shared" si="16"/>
        <v>M.O. MECANIQUE-VENTE GAR. MANU</v>
      </c>
      <c r="N189" s="155">
        <f>+IF(OR($Q189=Parametres!$G$2,$Q189=Parametres!$G$3),I189,C189)</f>
        <v>-116840.23</v>
      </c>
      <c r="O189" s="155">
        <f>+IF(OR($Q189=Parametres!$G$2,$Q189=Parametres!$G$3),J189,D189)</f>
        <v>-42296.04</v>
      </c>
      <c r="P189" s="155">
        <f>+IF(OR($Q189=Parametres!$G$2,$Q189=Parametres!$G$3),K189,E189)</f>
        <v>-159136.26999999999</v>
      </c>
      <c r="Q189" s="154" t="str">
        <f t="shared" si="17"/>
        <v>5-Ventes</v>
      </c>
      <c r="R189" s="153" t="str">
        <f t="shared" si="18"/>
        <v>4403</v>
      </c>
      <c r="S189" s="154">
        <f t="shared" si="19"/>
        <v>0</v>
      </c>
      <c r="T189" s="156" t="str">
        <f>+VLOOKUP($L189,Data_Validation!$A:$D,1,0)</f>
        <v>4403</v>
      </c>
      <c r="U189" s="156" t="str">
        <f>+VLOOKUP($L189,Data_Validation!$A:$D,3,0)</f>
        <v>Service</v>
      </c>
      <c r="V189" s="156" t="str">
        <f>+VLOOKUP($L189,Data_Validation!$A:$D,4,0)</f>
        <v>M/O Garantie</v>
      </c>
      <c r="W189" s="156" t="str">
        <f>+VLOOKUP($L189,Data_Validation!$A:$E,5,0)</f>
        <v>$</v>
      </c>
      <c r="X189" s="156" t="str">
        <f>+VLOOKUP($L189,Data_Validation!$A:$F,6,0)</f>
        <v>Oui</v>
      </c>
    </row>
    <row r="190" spans="1:24" ht="15" hidden="1" customHeight="1">
      <c r="A190" s="1013" t="s">
        <v>2041</v>
      </c>
      <c r="B190" s="1013" t="s">
        <v>2522</v>
      </c>
      <c r="C190" s="1035"/>
      <c r="D190" s="1035"/>
      <c r="E190" s="1035"/>
      <c r="F190" s="1013" t="s">
        <v>4</v>
      </c>
      <c r="G190" s="1013" t="s">
        <v>2042</v>
      </c>
      <c r="H190" s="1014"/>
      <c r="I190" s="1015">
        <v>-542</v>
      </c>
      <c r="J190" s="1015">
        <v>-204</v>
      </c>
      <c r="K190" s="1015">
        <v>-746</v>
      </c>
      <c r="L190" s="153" t="str">
        <f t="shared" si="15"/>
        <v>4403@</v>
      </c>
      <c r="M190" s="154" t="str">
        <f t="shared" si="16"/>
        <v>M.O. MECANIQUE-VENTE GAR. MANU</v>
      </c>
      <c r="N190" s="155">
        <f>+IF(OR($Q190=Parametres!$G$2,$Q190=Parametres!$G$3),I190,C190)</f>
        <v>-542</v>
      </c>
      <c r="O190" s="155">
        <f>+IF(OR($Q190=Parametres!$G$2,$Q190=Parametres!$G$3),J190,D190)</f>
        <v>-204</v>
      </c>
      <c r="P190" s="155">
        <f>+IF(OR($Q190=Parametres!$G$2,$Q190=Parametres!$G$3),K190,E190)</f>
        <v>-746</v>
      </c>
      <c r="Q190" s="154" t="str">
        <f t="shared" si="17"/>
        <v>10-Compte compteur</v>
      </c>
      <c r="R190" s="153" t="str">
        <f t="shared" si="18"/>
        <v>4403</v>
      </c>
      <c r="S190" s="154">
        <f t="shared" si="19"/>
        <v>0</v>
      </c>
      <c r="T190" s="156" t="str">
        <f>+VLOOKUP($L190,Data_Validation!$A:$D,1,0)</f>
        <v>4403@</v>
      </c>
      <c r="U190" s="156" t="str">
        <f>+VLOOKUP($L190,Data_Validation!$A:$D,3,0)</f>
        <v>Service</v>
      </c>
      <c r="V190" s="156" t="str">
        <f>+VLOOKUP($L190,Data_Validation!$A:$D,4,0)</f>
        <v>M/O Garantie</v>
      </c>
      <c r="W190" s="156" t="str">
        <f>+VLOOKUP($L190,Data_Validation!$A:$E,5,0)</f>
        <v>NB</v>
      </c>
      <c r="X190" s="156">
        <f>+VLOOKUP($L190,Data_Validation!$A:$F,6,0)</f>
        <v>0</v>
      </c>
    </row>
    <row r="191" spans="1:24" ht="15" hidden="1" customHeight="1">
      <c r="A191" s="1013" t="s">
        <v>2051</v>
      </c>
      <c r="B191" s="1013" t="s">
        <v>2052</v>
      </c>
      <c r="C191" s="1015">
        <v>-77290.95</v>
      </c>
      <c r="D191" s="1015">
        <v>-74680.899999999994</v>
      </c>
      <c r="E191" s="1015">
        <v>-151971.85</v>
      </c>
      <c r="F191" s="1013" t="s">
        <v>285</v>
      </c>
      <c r="G191" s="1013" t="s">
        <v>2052</v>
      </c>
      <c r="H191" s="1014"/>
      <c r="I191" s="1014"/>
      <c r="J191" s="1014"/>
      <c r="K191" s="1014"/>
      <c r="L191" s="153" t="str">
        <f t="shared" si="15"/>
        <v>4405</v>
      </c>
      <c r="M191" s="154" t="str">
        <f t="shared" si="16"/>
        <v>M.O. MECANIQUE-VENTE INTERNE</v>
      </c>
      <c r="N191" s="155">
        <f>+IF(OR($Q191=Parametres!$G$2,$Q191=Parametres!$G$3),I191,C191)</f>
        <v>-77290.95</v>
      </c>
      <c r="O191" s="155">
        <f>+IF(OR($Q191=Parametres!$G$2,$Q191=Parametres!$G$3),J191,D191)</f>
        <v>-74680.899999999994</v>
      </c>
      <c r="P191" s="155">
        <f>+IF(OR($Q191=Parametres!$G$2,$Q191=Parametres!$G$3),K191,E191)</f>
        <v>-151971.85</v>
      </c>
      <c r="Q191" s="154" t="str">
        <f t="shared" si="17"/>
        <v>5-Ventes</v>
      </c>
      <c r="R191" s="153" t="str">
        <f t="shared" si="18"/>
        <v>4405</v>
      </c>
      <c r="S191" s="154">
        <f t="shared" si="19"/>
        <v>0</v>
      </c>
      <c r="T191" s="156" t="str">
        <f>+VLOOKUP($L191,Data_Validation!$A:$D,1,0)</f>
        <v>4405</v>
      </c>
      <c r="U191" s="156" t="str">
        <f>+VLOOKUP($L191,Data_Validation!$A:$D,3,0)</f>
        <v>Service</v>
      </c>
      <c r="V191" s="156" t="str">
        <f>+VLOOKUP($L191,Data_Validation!$A:$D,4,0)</f>
        <v>M/O Interne</v>
      </c>
      <c r="W191" s="156" t="str">
        <f>+VLOOKUP($L191,Data_Validation!$A:$E,5,0)</f>
        <v>$</v>
      </c>
      <c r="X191" s="156" t="str">
        <f>+VLOOKUP($L191,Data_Validation!$A:$F,6,0)</f>
        <v>Oui</v>
      </c>
    </row>
    <row r="192" spans="1:24" ht="15" hidden="1" customHeight="1">
      <c r="A192" s="1013" t="s">
        <v>2051</v>
      </c>
      <c r="B192" s="1013" t="s">
        <v>2523</v>
      </c>
      <c r="C192" s="1035"/>
      <c r="D192" s="1035"/>
      <c r="E192" s="1035"/>
      <c r="F192" s="1013" t="s">
        <v>4</v>
      </c>
      <c r="G192" s="1013" t="s">
        <v>2052</v>
      </c>
      <c r="H192" s="1014"/>
      <c r="I192" s="1015">
        <v>-371</v>
      </c>
      <c r="J192" s="1015">
        <v>-397</v>
      </c>
      <c r="K192" s="1015">
        <v>-768</v>
      </c>
      <c r="L192" s="153" t="str">
        <f t="shared" si="15"/>
        <v>4405@</v>
      </c>
      <c r="M192" s="154" t="str">
        <f t="shared" si="16"/>
        <v>M.O. MECANIQUE-VENTE INTERNE</v>
      </c>
      <c r="N192" s="155">
        <f>+IF(OR($Q192=Parametres!$G$2,$Q192=Parametres!$G$3),I192,C192)</f>
        <v>-371</v>
      </c>
      <c r="O192" s="155">
        <f>+IF(OR($Q192=Parametres!$G$2,$Q192=Parametres!$G$3),J192,D192)</f>
        <v>-397</v>
      </c>
      <c r="P192" s="155">
        <f>+IF(OR($Q192=Parametres!$G$2,$Q192=Parametres!$G$3),K192,E192)</f>
        <v>-768</v>
      </c>
      <c r="Q192" s="154" t="str">
        <f t="shared" si="17"/>
        <v>10-Compte compteur</v>
      </c>
      <c r="R192" s="153" t="str">
        <f t="shared" si="18"/>
        <v>4405</v>
      </c>
      <c r="S192" s="154">
        <f t="shared" si="19"/>
        <v>0</v>
      </c>
      <c r="T192" s="156" t="str">
        <f>+VLOOKUP($L192,Data_Validation!$A:$D,1,0)</f>
        <v>4405@</v>
      </c>
      <c r="U192" s="156" t="str">
        <f>+VLOOKUP($L192,Data_Validation!$A:$D,3,0)</f>
        <v>Service</v>
      </c>
      <c r="V192" s="156" t="str">
        <f>+VLOOKUP($L192,Data_Validation!$A:$D,4,0)</f>
        <v>M/O Interne</v>
      </c>
      <c r="W192" s="156" t="str">
        <f>+VLOOKUP($L192,Data_Validation!$A:$E,5,0)</f>
        <v>NB</v>
      </c>
      <c r="X192" s="156">
        <f>+VLOOKUP($L192,Data_Validation!$A:$F,6,0)</f>
        <v>0</v>
      </c>
    </row>
    <row r="193" spans="1:24" ht="15" hidden="1" customHeight="1">
      <c r="A193" s="1013" t="s">
        <v>2071</v>
      </c>
      <c r="B193" s="1013" t="s">
        <v>2072</v>
      </c>
      <c r="C193" s="1015">
        <v>-22786.18</v>
      </c>
      <c r="D193" s="1015">
        <v>-16473.04</v>
      </c>
      <c r="E193" s="1015">
        <v>-39259.22</v>
      </c>
      <c r="F193" s="1013" t="s">
        <v>285</v>
      </c>
      <c r="G193" s="1013" t="s">
        <v>2073</v>
      </c>
      <c r="H193" s="1014"/>
      <c r="I193" s="1014"/>
      <c r="J193" s="1014"/>
      <c r="K193" s="1014"/>
      <c r="L193" s="153" t="str">
        <f t="shared" si="15"/>
        <v>4451</v>
      </c>
      <c r="M193" s="154" t="str">
        <f t="shared" si="16"/>
        <v>CARBURANT/HUILE/GRAISSE</v>
      </c>
      <c r="N193" s="155">
        <f>+IF(OR($Q193=Parametres!$G$2,$Q193=Parametres!$G$3),I193,C193)</f>
        <v>-22786.18</v>
      </c>
      <c r="O193" s="155">
        <f>+IF(OR($Q193=Parametres!$G$2,$Q193=Parametres!$G$3),J193,D193)</f>
        <v>-16473.04</v>
      </c>
      <c r="P193" s="155">
        <f>+IF(OR($Q193=Parametres!$G$2,$Q193=Parametres!$G$3),K193,E193)</f>
        <v>-39259.22</v>
      </c>
      <c r="Q193" s="154" t="str">
        <f t="shared" si="17"/>
        <v>5-Ventes</v>
      </c>
      <c r="R193" s="153" t="str">
        <f t="shared" si="18"/>
        <v>4782</v>
      </c>
      <c r="S193" s="154">
        <f t="shared" si="19"/>
        <v>0</v>
      </c>
      <c r="T193" s="156" t="str">
        <f>+VLOOKUP($L193,Data_Validation!$A:$D,1,0)</f>
        <v>4451</v>
      </c>
      <c r="U193" s="156" t="str">
        <f>+VLOOKUP($L193,Data_Validation!$A:$D,3,0)</f>
        <v>Pièces</v>
      </c>
      <c r="V193" s="156" t="str">
        <f>+VLOOKUP($L193,Data_Validation!$A:$D,4,0)</f>
        <v>Huiles et Graisse</v>
      </c>
      <c r="W193" s="156" t="str">
        <f>+VLOOKUP($L193,Data_Validation!$A:$E,5,0)</f>
        <v>$</v>
      </c>
      <c r="X193" s="156" t="str">
        <f>+VLOOKUP($L193,Data_Validation!$A:$F,6,0)</f>
        <v>Oui</v>
      </c>
    </row>
    <row r="194" spans="1:24" ht="15.75" hidden="1" customHeight="1">
      <c r="A194" s="1013" t="s">
        <v>2071</v>
      </c>
      <c r="B194" s="1013" t="s">
        <v>2526</v>
      </c>
      <c r="C194" s="1035"/>
      <c r="D194" s="1035"/>
      <c r="E194" s="1035"/>
      <c r="F194" s="1013" t="s">
        <v>4</v>
      </c>
      <c r="G194" s="1013" t="s">
        <v>2073</v>
      </c>
      <c r="H194" s="1014"/>
      <c r="I194" s="1015">
        <v>-382</v>
      </c>
      <c r="J194" s="1015">
        <v>-331</v>
      </c>
      <c r="K194" s="1015">
        <v>-713</v>
      </c>
      <c r="L194" s="153" t="str">
        <f t="shared" si="15"/>
        <v>4451@</v>
      </c>
      <c r="M194" s="154" t="str">
        <f t="shared" si="16"/>
        <v>CARBURANT/HUILE/GRAISSE</v>
      </c>
      <c r="N194" s="155">
        <f>+IF(OR($Q194=Parametres!$G$2,$Q194=Parametres!$G$3),I194,C194)</f>
        <v>-382</v>
      </c>
      <c r="O194" s="155">
        <f>+IF(OR($Q194=Parametres!$G$2,$Q194=Parametres!$G$3),J194,D194)</f>
        <v>-331</v>
      </c>
      <c r="P194" s="155">
        <f>+IF(OR($Q194=Parametres!$G$2,$Q194=Parametres!$G$3),K194,E194)</f>
        <v>-713</v>
      </c>
      <c r="Q194" s="154" t="str">
        <f t="shared" si="17"/>
        <v>10-Compte compteur</v>
      </c>
      <c r="R194" s="153" t="str">
        <f t="shared" si="18"/>
        <v>4782</v>
      </c>
      <c r="S194" s="154">
        <f t="shared" si="19"/>
        <v>0</v>
      </c>
      <c r="T194" s="156" t="str">
        <f>+VLOOKUP($L194,Data_Validation!$A:$D,1,0)</f>
        <v>4451@</v>
      </c>
      <c r="U194" s="156" t="str">
        <f>+VLOOKUP($L194,Data_Validation!$A:$D,3,0)</f>
        <v>Pièces</v>
      </c>
      <c r="V194" s="156" t="str">
        <f>+VLOOKUP($L194,Data_Validation!$A:$D,4,0)</f>
        <v>Huiles et Graisse</v>
      </c>
      <c r="W194" s="156" t="str">
        <f>+VLOOKUP($L194,Data_Validation!$A:$E,5,0)</f>
        <v>NB</v>
      </c>
      <c r="X194" s="156">
        <f>+VLOOKUP($L194,Data_Validation!$A:$F,6,0)</f>
        <v>0</v>
      </c>
    </row>
    <row r="195" spans="1:24" ht="15" hidden="1" customHeight="1">
      <c r="A195" s="1013" t="s">
        <v>2144</v>
      </c>
      <c r="B195" s="1013" t="s">
        <v>2145</v>
      </c>
      <c r="C195" s="1015">
        <v>-1215.3699999999999</v>
      </c>
      <c r="D195" s="1015">
        <v>-1968.65</v>
      </c>
      <c r="E195" s="1015">
        <v>-3184.02</v>
      </c>
      <c r="F195" s="1013" t="s">
        <v>285</v>
      </c>
      <c r="G195" s="1013" t="s">
        <v>2145</v>
      </c>
      <c r="H195" s="1014"/>
      <c r="I195" s="1014"/>
      <c r="J195" s="1014"/>
      <c r="K195" s="1014"/>
      <c r="L195" s="153" t="str">
        <f t="shared" ref="L195:L226" si="20">+B195</f>
        <v>4491</v>
      </c>
      <c r="M195" s="154" t="str">
        <f t="shared" ref="M195:M226" si="21">+A195</f>
        <v>REPARATION SOUS-LOC. - GENERAL</v>
      </c>
      <c r="N195" s="155">
        <f>+IF(OR($Q195=Parametres!$G$2,$Q195=Parametres!$G$3),I195,C195)</f>
        <v>-1215.3699999999999</v>
      </c>
      <c r="O195" s="155">
        <f>+IF(OR($Q195=Parametres!$G$2,$Q195=Parametres!$G$3),J195,D195)</f>
        <v>-1968.65</v>
      </c>
      <c r="P195" s="155">
        <f>+IF(OR($Q195=Parametres!$G$2,$Q195=Parametres!$G$3),K195,E195)</f>
        <v>-3184.02</v>
      </c>
      <c r="Q195" s="154" t="str">
        <f t="shared" ref="Q195:Q226" si="22">+F195</f>
        <v>5-Ventes</v>
      </c>
      <c r="R195" s="153" t="str">
        <f t="shared" ref="R195:R226" si="23">+G195</f>
        <v>4491</v>
      </c>
      <c r="S195" s="154">
        <f t="shared" ref="S195:S226" si="24">+H195</f>
        <v>0</v>
      </c>
      <c r="T195" s="156" t="str">
        <f>+VLOOKUP($L195,Data_Validation!$A:$D,1,0)</f>
        <v>4491</v>
      </c>
      <c r="U195" s="156" t="str">
        <f>+VLOOKUP($L195,Data_Validation!$A:$D,3,0)</f>
        <v>Service</v>
      </c>
      <c r="V195" s="156" t="str">
        <f>+VLOOKUP($L195,Data_Validation!$A:$D,4,0)</f>
        <v>Sous-traitement</v>
      </c>
      <c r="W195" s="156" t="str">
        <f>+VLOOKUP($L195,Data_Validation!$A:$E,5,0)</f>
        <v>$</v>
      </c>
      <c r="X195" s="156" t="str">
        <f>+VLOOKUP($L195,Data_Validation!$A:$F,6,0)</f>
        <v>Oui</v>
      </c>
    </row>
    <row r="196" spans="1:24" ht="15" hidden="1" customHeight="1">
      <c r="A196" s="1013" t="s">
        <v>2144</v>
      </c>
      <c r="B196" s="1013" t="s">
        <v>2527</v>
      </c>
      <c r="C196" s="1035"/>
      <c r="D196" s="1035"/>
      <c r="E196" s="1035"/>
      <c r="F196" s="1013" t="s">
        <v>4</v>
      </c>
      <c r="G196" s="1013" t="s">
        <v>2145</v>
      </c>
      <c r="H196" s="1014"/>
      <c r="I196" s="1015">
        <v>-5</v>
      </c>
      <c r="J196" s="1015">
        <v>-9</v>
      </c>
      <c r="K196" s="1015">
        <v>-14</v>
      </c>
      <c r="L196" s="153" t="str">
        <f t="shared" si="20"/>
        <v>4491@</v>
      </c>
      <c r="M196" s="154" t="str">
        <f t="shared" si="21"/>
        <v>REPARATION SOUS-LOC. - GENERAL</v>
      </c>
      <c r="N196" s="155">
        <f>+IF(OR($Q196=Parametres!$G$2,$Q196=Parametres!$G$3),I196,C196)</f>
        <v>-5</v>
      </c>
      <c r="O196" s="575">
        <f>+IF(OR($Q196=Parametres!$G$2,$Q196=Parametres!$G$3),J196,D196)</f>
        <v>-9</v>
      </c>
      <c r="P196" s="155">
        <f>+IF(OR($Q196=Parametres!$G$2,$Q196=Parametres!$G$3),K196,E196)</f>
        <v>-14</v>
      </c>
      <c r="Q196" s="154" t="str">
        <f t="shared" si="22"/>
        <v>10-Compte compteur</v>
      </c>
      <c r="R196" s="153" t="str">
        <f t="shared" si="23"/>
        <v>4491</v>
      </c>
      <c r="S196" s="154">
        <f t="shared" si="24"/>
        <v>0</v>
      </c>
      <c r="T196" s="156" t="str">
        <f>+VLOOKUP($L196,Data_Validation!$A:$D,1,0)</f>
        <v>4491@</v>
      </c>
      <c r="U196" s="156" t="str">
        <f>+VLOOKUP($L196,Data_Validation!$A:$D,3,0)</f>
        <v>Service</v>
      </c>
      <c r="V196" s="156" t="str">
        <f>+VLOOKUP($L196,Data_Validation!$A:$D,4,0)</f>
        <v>Sous-traitement</v>
      </c>
      <c r="W196" s="156" t="str">
        <f>+VLOOKUP($L196,Data_Validation!$A:$E,5,0)</f>
        <v>NB</v>
      </c>
      <c r="X196" s="156">
        <f>+VLOOKUP($L196,Data_Validation!$A:$F,6,0)</f>
        <v>0</v>
      </c>
    </row>
    <row r="197" spans="1:24" ht="15" hidden="1" customHeight="1">
      <c r="A197" s="1013" t="s">
        <v>2167</v>
      </c>
      <c r="B197" s="1013" t="s">
        <v>2168</v>
      </c>
      <c r="C197" s="1015">
        <v>-4199.6000000000004</v>
      </c>
      <c r="D197" s="1015">
        <v>-275</v>
      </c>
      <c r="E197" s="1015">
        <v>-4474.6000000000004</v>
      </c>
      <c r="F197" s="1013" t="s">
        <v>285</v>
      </c>
      <c r="G197" s="1013" t="s">
        <v>2168</v>
      </c>
      <c r="H197" s="1014"/>
      <c r="I197" s="1014"/>
      <c r="J197" s="1014"/>
      <c r="K197" s="1014"/>
      <c r="L197" s="153" t="str">
        <f t="shared" si="20"/>
        <v>4493</v>
      </c>
      <c r="M197" s="154" t="str">
        <f t="shared" si="21"/>
        <v>VTE - SOUS-TRAITANCE GARANTIE</v>
      </c>
      <c r="N197" s="155">
        <f>+IF(OR($Q197=Parametres!$G$2,$Q197=Parametres!$G$3),I197,C197)</f>
        <v>-4199.6000000000004</v>
      </c>
      <c r="O197" s="155">
        <f>+IF(OR($Q197=Parametres!$G$2,$Q197=Parametres!$G$3),J197,D197)</f>
        <v>-275</v>
      </c>
      <c r="P197" s="155">
        <f>+IF(OR($Q197=Parametres!$G$2,$Q197=Parametres!$G$3),K197,E197)</f>
        <v>-4474.6000000000004</v>
      </c>
      <c r="Q197" s="154" t="str">
        <f t="shared" si="22"/>
        <v>5-Ventes</v>
      </c>
      <c r="R197" s="153" t="str">
        <f t="shared" si="23"/>
        <v>4493</v>
      </c>
      <c r="S197" s="154">
        <f t="shared" si="24"/>
        <v>0</v>
      </c>
      <c r="T197" s="156" t="str">
        <f>+VLOOKUP($L197,Data_Validation!$A:$D,1,0)</f>
        <v>4493</v>
      </c>
      <c r="U197" s="156" t="str">
        <f>+VLOOKUP($L197,Data_Validation!$A:$D,3,0)</f>
        <v>Service</v>
      </c>
      <c r="V197" s="156" t="str">
        <f>+VLOOKUP($L197,Data_Validation!$A:$D,4,0)</f>
        <v>Sous-traitement</v>
      </c>
      <c r="W197" s="156" t="str">
        <f>+VLOOKUP($L197,Data_Validation!$A:$E,5,0)</f>
        <v>$</v>
      </c>
      <c r="X197" s="156" t="str">
        <f>+VLOOKUP($L197,Data_Validation!$A:$F,6,0)</f>
        <v>Oui</v>
      </c>
    </row>
    <row r="198" spans="1:24" ht="15" hidden="1" customHeight="1">
      <c r="A198" s="1013" t="s">
        <v>2528</v>
      </c>
      <c r="B198" s="1013" t="s">
        <v>2529</v>
      </c>
      <c r="C198" s="1035"/>
      <c r="D198" s="1035"/>
      <c r="E198" s="1035"/>
      <c r="F198" s="1013" t="s">
        <v>4</v>
      </c>
      <c r="G198" s="1013" t="s">
        <v>2168</v>
      </c>
      <c r="H198" s="1014"/>
      <c r="I198" s="1015">
        <v>-6</v>
      </c>
      <c r="J198" s="1015">
        <v>-1</v>
      </c>
      <c r="K198" s="1015">
        <v>-7</v>
      </c>
      <c r="L198" s="153" t="str">
        <f t="shared" si="20"/>
        <v>4493@</v>
      </c>
      <c r="M198" s="154" t="str">
        <f t="shared" si="21"/>
        <v># DE VTE - SOUS-TRAITANCE GARANTIE</v>
      </c>
      <c r="N198" s="155">
        <f>+IF(OR($Q198=Parametres!$G$2,$Q198=Parametres!$G$3),I198,C198)</f>
        <v>-6</v>
      </c>
      <c r="O198" s="155">
        <f>+IF(OR($Q198=Parametres!$G$2,$Q198=Parametres!$G$3),J198,D198)</f>
        <v>-1</v>
      </c>
      <c r="P198" s="155">
        <f>+IF(OR($Q198=Parametres!$G$2,$Q198=Parametres!$G$3),K198,E198)</f>
        <v>-7</v>
      </c>
      <c r="Q198" s="154" t="str">
        <f t="shared" si="22"/>
        <v>10-Compte compteur</v>
      </c>
      <c r="R198" s="153" t="str">
        <f t="shared" si="23"/>
        <v>4493</v>
      </c>
      <c r="S198" s="154">
        <f t="shared" si="24"/>
        <v>0</v>
      </c>
      <c r="T198" s="156" t="str">
        <f>+VLOOKUP($L198,Data_Validation!$A:$D,1,0)</f>
        <v>4493@</v>
      </c>
      <c r="U198" s="156" t="str">
        <f>+VLOOKUP($L198,Data_Validation!$A:$D,3,0)</f>
        <v>Service</v>
      </c>
      <c r="V198" s="156" t="str">
        <f>+VLOOKUP($L198,Data_Validation!$A:$D,4,0)</f>
        <v>Sous-traitement</v>
      </c>
      <c r="W198" s="156" t="str">
        <f>+VLOOKUP($L198,Data_Validation!$A:$E,5,0)</f>
        <v>NB</v>
      </c>
      <c r="X198" s="156">
        <f>+VLOOKUP($L198,Data_Validation!$A:$F,6,0)</f>
        <v>0</v>
      </c>
    </row>
    <row r="199" spans="1:24" ht="15.75" hidden="1" customHeight="1">
      <c r="A199" s="1013" t="s">
        <v>2086</v>
      </c>
      <c r="B199" s="1013" t="s">
        <v>2087</v>
      </c>
      <c r="C199" s="1015">
        <v>-22599.47</v>
      </c>
      <c r="D199" s="1015">
        <v>-20037.099999999999</v>
      </c>
      <c r="E199" s="1015">
        <v>-42636.57</v>
      </c>
      <c r="F199" s="1013" t="s">
        <v>285</v>
      </c>
      <c r="G199" s="1013" t="s">
        <v>2087</v>
      </c>
      <c r="H199" s="1014"/>
      <c r="I199" s="1014"/>
      <c r="J199" s="1014"/>
      <c r="K199" s="1014"/>
      <c r="L199" s="153" t="str">
        <f t="shared" si="20"/>
        <v>4495</v>
      </c>
      <c r="M199" s="154" t="str">
        <f t="shared" si="21"/>
        <v>VTE - S-TRAITANCE MEC.INTERNE VW</v>
      </c>
      <c r="N199" s="155">
        <f>+IF(OR($Q199=Parametres!$G$2,$Q199=Parametres!$G$3),I199,C199)</f>
        <v>-22599.47</v>
      </c>
      <c r="O199" s="155">
        <f>+IF(OR($Q199=Parametres!$G$2,$Q199=Parametres!$G$3),J199,D199)</f>
        <v>-20037.099999999999</v>
      </c>
      <c r="P199" s="155">
        <f>+IF(OR($Q199=Parametres!$G$2,$Q199=Parametres!$G$3),K199,E199)</f>
        <v>-42636.57</v>
      </c>
      <c r="Q199" s="154" t="str">
        <f t="shared" si="22"/>
        <v>5-Ventes</v>
      </c>
      <c r="R199" s="153" t="str">
        <f t="shared" si="23"/>
        <v>4495</v>
      </c>
      <c r="S199" s="154">
        <f t="shared" si="24"/>
        <v>0</v>
      </c>
      <c r="T199" s="156" t="str">
        <f>+VLOOKUP($L199,Data_Validation!$A:$D,1,0)</f>
        <v>4495</v>
      </c>
      <c r="U199" s="156" t="str">
        <f>+VLOOKUP($L199,Data_Validation!$A:$D,3,0)</f>
        <v>Service</v>
      </c>
      <c r="V199" s="156" t="str">
        <f>+VLOOKUP($L199,Data_Validation!$A:$D,4,0)</f>
        <v>Sous-traitement</v>
      </c>
      <c r="W199" s="156" t="str">
        <f>+VLOOKUP($L199,Data_Validation!$A:$E,5,0)</f>
        <v>$</v>
      </c>
      <c r="X199" s="156" t="str">
        <f>+VLOOKUP($L199,Data_Validation!$A:$F,6,0)</f>
        <v>Oui</v>
      </c>
    </row>
    <row r="200" spans="1:24" ht="15" hidden="1" customHeight="1">
      <c r="A200" s="1013" t="s">
        <v>2530</v>
      </c>
      <c r="B200" s="1013" t="s">
        <v>2531</v>
      </c>
      <c r="C200" s="1035"/>
      <c r="D200" s="1035"/>
      <c r="E200" s="1035"/>
      <c r="F200" s="1013" t="s">
        <v>4</v>
      </c>
      <c r="G200" s="1013" t="s">
        <v>2087</v>
      </c>
      <c r="H200" s="1014"/>
      <c r="I200" s="1015">
        <v>-97</v>
      </c>
      <c r="J200" s="1015">
        <v>-89</v>
      </c>
      <c r="K200" s="1015">
        <v>-186</v>
      </c>
      <c r="L200" s="153" t="str">
        <f t="shared" si="20"/>
        <v>4495@</v>
      </c>
      <c r="M200" s="154" t="str">
        <f t="shared" si="21"/>
        <v># DE VTE - S-TRAITANCE MEC.INTERNE VW</v>
      </c>
      <c r="N200" s="155">
        <f>+IF(OR($Q200=Parametres!$G$2,$Q200=Parametres!$G$3),I200,C200)</f>
        <v>-97</v>
      </c>
      <c r="O200" s="575">
        <f>+IF(OR($Q200=Parametres!$G$2,$Q200=Parametres!$G$3),J200,D200)</f>
        <v>-89</v>
      </c>
      <c r="P200" s="155">
        <f>+IF(OR($Q200=Parametres!$G$2,$Q200=Parametres!$G$3),K200,E200)</f>
        <v>-186</v>
      </c>
      <c r="Q200" s="154" t="str">
        <f t="shared" si="22"/>
        <v>10-Compte compteur</v>
      </c>
      <c r="R200" s="153" t="str">
        <f t="shared" si="23"/>
        <v>4495</v>
      </c>
      <c r="S200" s="154">
        <f t="shared" si="24"/>
        <v>0</v>
      </c>
      <c r="T200" s="156" t="str">
        <f>+VLOOKUP($L200,Data_Validation!$A:$D,1,0)</f>
        <v>4495@</v>
      </c>
      <c r="U200" s="156" t="str">
        <f>+VLOOKUP($L200,Data_Validation!$A:$D,3,0)</f>
        <v>Service</v>
      </c>
      <c r="V200" s="156" t="str">
        <f>+VLOOKUP($L200,Data_Validation!$A:$D,4,0)</f>
        <v>Sous-traitement</v>
      </c>
      <c r="W200" s="156" t="str">
        <f>+VLOOKUP($L200,Data_Validation!$A:$E,5,0)</f>
        <v>NB</v>
      </c>
      <c r="X200" s="156">
        <f>+VLOOKUP($L200,Data_Validation!$A:$F,6,0)</f>
        <v>0</v>
      </c>
    </row>
    <row r="201" spans="1:24" ht="15" hidden="1" customHeight="1">
      <c r="A201" s="1013" t="s">
        <v>2069</v>
      </c>
      <c r="B201" s="1013" t="s">
        <v>2070</v>
      </c>
      <c r="C201" s="1015">
        <v>-56165.01</v>
      </c>
      <c r="D201" s="1015">
        <v>-31559.919999999998</v>
      </c>
      <c r="E201" s="1015">
        <v>-87724.93</v>
      </c>
      <c r="F201" s="1013" t="s">
        <v>285</v>
      </c>
      <c r="G201" s="1013" t="s">
        <v>2070</v>
      </c>
      <c r="H201" s="1014"/>
      <c r="I201" s="1014"/>
      <c r="J201" s="1014"/>
      <c r="K201" s="1014"/>
      <c r="L201" s="153" t="str">
        <f t="shared" si="20"/>
        <v>4591</v>
      </c>
      <c r="M201" s="154" t="str">
        <f t="shared" si="21"/>
        <v>VTE - S-TRAIT. CARR.</v>
      </c>
      <c r="N201" s="155">
        <f>+IF(OR($Q201=Parametres!$G$2,$Q201=Parametres!$G$3),I201,C201)</f>
        <v>-56165.01</v>
      </c>
      <c r="O201" s="155">
        <f>+IF(OR($Q201=Parametres!$G$2,$Q201=Parametres!$G$3),J201,D201)</f>
        <v>-31559.919999999998</v>
      </c>
      <c r="P201" s="155">
        <f>+IF(OR($Q201=Parametres!$G$2,$Q201=Parametres!$G$3),K201,E201)</f>
        <v>-87724.93</v>
      </c>
      <c r="Q201" s="154" t="str">
        <f t="shared" si="22"/>
        <v>5-Ventes</v>
      </c>
      <c r="R201" s="153" t="str">
        <f t="shared" si="23"/>
        <v>4591</v>
      </c>
      <c r="S201" s="154">
        <f t="shared" si="24"/>
        <v>0</v>
      </c>
      <c r="T201" s="156" t="str">
        <f>+VLOOKUP($L201,Data_Validation!$A:$D,1,0)</f>
        <v>4591</v>
      </c>
      <c r="U201" s="156" t="str">
        <f>+VLOOKUP($L201,Data_Validation!$A:$D,3,0)</f>
        <v>Carrosserie</v>
      </c>
      <c r="V201" s="156" t="str">
        <f>+VLOOKUP($L201,Data_Validation!$A:$D,4,0)</f>
        <v>M/O Sous-traitement</v>
      </c>
      <c r="W201" s="156" t="str">
        <f>+VLOOKUP($L201,Data_Validation!$A:$E,5,0)</f>
        <v>$</v>
      </c>
      <c r="X201" s="156" t="str">
        <f>+VLOOKUP($L201,Data_Validation!$A:$F,6,0)</f>
        <v>Oui</v>
      </c>
    </row>
    <row r="202" spans="1:24" ht="15" hidden="1" customHeight="1">
      <c r="A202" s="1013" t="s">
        <v>2532</v>
      </c>
      <c r="B202" s="1013" t="s">
        <v>2533</v>
      </c>
      <c r="C202" s="1035"/>
      <c r="D202" s="1035"/>
      <c r="E202" s="1035"/>
      <c r="F202" s="1013" t="s">
        <v>4</v>
      </c>
      <c r="G202" s="1013" t="s">
        <v>2070</v>
      </c>
      <c r="H202" s="1014"/>
      <c r="I202" s="1015">
        <v>-34</v>
      </c>
      <c r="J202" s="1015">
        <v>-22</v>
      </c>
      <c r="K202" s="1015">
        <v>-56</v>
      </c>
      <c r="L202" s="153" t="str">
        <f t="shared" si="20"/>
        <v>4591@</v>
      </c>
      <c r="M202" s="154" t="str">
        <f t="shared" si="21"/>
        <v>REPARATION SOUS-LOC.-PEINT/DEB</v>
      </c>
      <c r="N202" s="155">
        <f>+IF(OR($Q202=Parametres!$G$2,$Q202=Parametres!$G$3),I202,C202)</f>
        <v>-34</v>
      </c>
      <c r="O202" s="575">
        <f>+IF(OR($Q202=Parametres!$G$2,$Q202=Parametres!$G$3),J202,D202)</f>
        <v>-22</v>
      </c>
      <c r="P202" s="155">
        <f>+IF(OR($Q202=Parametres!$G$2,$Q202=Parametres!$G$3),K202,E202)</f>
        <v>-56</v>
      </c>
      <c r="Q202" s="154" t="str">
        <f t="shared" si="22"/>
        <v>10-Compte compteur</v>
      </c>
      <c r="R202" s="153" t="str">
        <f t="shared" si="23"/>
        <v>4591</v>
      </c>
      <c r="S202" s="154">
        <f t="shared" si="24"/>
        <v>0</v>
      </c>
      <c r="T202" s="156" t="str">
        <f>+VLOOKUP($L202,Data_Validation!$A:$D,1,0)</f>
        <v>4591@</v>
      </c>
      <c r="U202" s="156" t="str">
        <f>+VLOOKUP($L202,Data_Validation!$A:$D,3,0)</f>
        <v>Carrosserie</v>
      </c>
      <c r="V202" s="156" t="str">
        <f>+VLOOKUP($L202,Data_Validation!$A:$D,4,0)</f>
        <v>M/O Sous-traitement</v>
      </c>
      <c r="W202" s="156" t="str">
        <f>+VLOOKUP($L202,Data_Validation!$A:$E,5,0)</f>
        <v>NB</v>
      </c>
      <c r="X202" s="156">
        <f>+VLOOKUP($L202,Data_Validation!$A:$F,6,0)</f>
        <v>0</v>
      </c>
    </row>
    <row r="203" spans="1:24" ht="15" hidden="1" customHeight="1">
      <c r="A203" s="1013" t="s">
        <v>2067</v>
      </c>
      <c r="B203" s="1013" t="s">
        <v>2068</v>
      </c>
      <c r="C203" s="1015">
        <v>-117459.08</v>
      </c>
      <c r="D203" s="1015">
        <v>-63601.89</v>
      </c>
      <c r="E203" s="1015">
        <v>-181060.97</v>
      </c>
      <c r="F203" s="1013" t="s">
        <v>285</v>
      </c>
      <c r="G203" s="1013" t="s">
        <v>2068</v>
      </c>
      <c r="H203" s="1014"/>
      <c r="I203" s="1014"/>
      <c r="J203" s="1014"/>
      <c r="K203" s="1014"/>
      <c r="L203" s="153" t="str">
        <f t="shared" si="20"/>
        <v>4593</v>
      </c>
      <c r="M203" s="154" t="str">
        <f t="shared" si="21"/>
        <v>VTE - SOUS-TRAITANCE GARANTIE CARR.</v>
      </c>
      <c r="N203" s="155">
        <f>+IF(OR($Q203=Parametres!$G$2,$Q203=Parametres!$G$3),I203,C203)</f>
        <v>-117459.08</v>
      </c>
      <c r="O203" s="155">
        <f>+IF(OR($Q203=Parametres!$G$2,$Q203=Parametres!$G$3),J203,D203)</f>
        <v>-63601.89</v>
      </c>
      <c r="P203" s="155">
        <f>+IF(OR($Q203=Parametres!$G$2,$Q203=Parametres!$G$3),K203,E203)</f>
        <v>-181060.97</v>
      </c>
      <c r="Q203" s="154" t="str">
        <f t="shared" si="22"/>
        <v>5-Ventes</v>
      </c>
      <c r="R203" s="153" t="str">
        <f t="shared" si="23"/>
        <v>4593</v>
      </c>
      <c r="S203" s="154">
        <f t="shared" si="24"/>
        <v>0</v>
      </c>
      <c r="T203" s="156" t="str">
        <f>+VLOOKUP($L203,Data_Validation!$A:$D,1,0)</f>
        <v>4593</v>
      </c>
      <c r="U203" s="156" t="str">
        <f>+VLOOKUP($L203,Data_Validation!$A:$D,3,0)</f>
        <v>Carrosserie</v>
      </c>
      <c r="V203" s="156" t="str">
        <f>+VLOOKUP($L203,Data_Validation!$A:$D,4,0)</f>
        <v>M/O Sous-traitement</v>
      </c>
      <c r="W203" s="156" t="str">
        <f>+VLOOKUP($L203,Data_Validation!$A:$E,5,0)</f>
        <v>$</v>
      </c>
      <c r="X203" s="156" t="str">
        <f>+VLOOKUP($L203,Data_Validation!$A:$F,6,0)</f>
        <v>Oui</v>
      </c>
    </row>
    <row r="204" spans="1:24" ht="15" hidden="1" customHeight="1">
      <c r="A204" s="1013" t="s">
        <v>2534</v>
      </c>
      <c r="B204" s="1013" t="s">
        <v>2535</v>
      </c>
      <c r="C204" s="1015"/>
      <c r="D204" s="1015"/>
      <c r="E204" s="1015"/>
      <c r="F204" s="1013" t="s">
        <v>4</v>
      </c>
      <c r="G204" s="1013" t="s">
        <v>2068</v>
      </c>
      <c r="H204" s="1014"/>
      <c r="I204" s="1014">
        <v>-56</v>
      </c>
      <c r="J204" s="1014">
        <v>-35</v>
      </c>
      <c r="K204" s="1014">
        <v>-91</v>
      </c>
      <c r="L204" s="153" t="str">
        <f t="shared" si="20"/>
        <v>4593@</v>
      </c>
      <c r="M204" s="154" t="str">
        <f t="shared" si="21"/>
        <v># DE VTE - S-TRAITANCE GAR.CARR.</v>
      </c>
      <c r="N204" s="155">
        <f>+IF(OR($Q204=Parametres!$G$2,$Q204=Parametres!$G$3),I204,C204)</f>
        <v>-56</v>
      </c>
      <c r="O204" s="155">
        <f>+IF(OR($Q204=Parametres!$G$2,$Q204=Parametres!$G$3),J204,D204)</f>
        <v>-35</v>
      </c>
      <c r="P204" s="155">
        <f>+IF(OR($Q204=Parametres!$G$2,$Q204=Parametres!$G$3),K204,E204)</f>
        <v>-91</v>
      </c>
      <c r="Q204" s="154" t="str">
        <f t="shared" si="22"/>
        <v>10-Compte compteur</v>
      </c>
      <c r="R204" s="153" t="str">
        <f t="shared" si="23"/>
        <v>4593</v>
      </c>
      <c r="S204" s="154">
        <f t="shared" si="24"/>
        <v>0</v>
      </c>
      <c r="T204" s="156" t="str">
        <f>+VLOOKUP($L204,Data_Validation!$A:$D,1,0)</f>
        <v>4593@</v>
      </c>
      <c r="U204" s="156" t="str">
        <f>+VLOOKUP($L204,Data_Validation!$A:$D,3,0)</f>
        <v>Carrosserie</v>
      </c>
      <c r="V204" s="156" t="str">
        <f>+VLOOKUP($L204,Data_Validation!$A:$D,4,0)</f>
        <v>M/O Sous-traitement</v>
      </c>
      <c r="W204" s="156" t="str">
        <f>+VLOOKUP($L204,Data_Validation!$A:$E,5,0)</f>
        <v>NB</v>
      </c>
      <c r="X204" s="156">
        <f>+VLOOKUP($L204,Data_Validation!$A:$F,6,0)</f>
        <v>0</v>
      </c>
    </row>
    <row r="205" spans="1:24" ht="15" hidden="1" customHeight="1">
      <c r="A205" s="1013" t="s">
        <v>2100</v>
      </c>
      <c r="B205" s="1013" t="s">
        <v>2101</v>
      </c>
      <c r="C205" s="1015">
        <v>-3647.5</v>
      </c>
      <c r="D205" s="1015">
        <v>-6859.66</v>
      </c>
      <c r="E205" s="1015">
        <v>-10507.16</v>
      </c>
      <c r="F205" s="1013" t="s">
        <v>285</v>
      </c>
      <c r="G205" s="1013" t="s">
        <v>2101</v>
      </c>
      <c r="H205" s="1014"/>
      <c r="I205" s="1014"/>
      <c r="J205" s="1014"/>
      <c r="K205" s="1014"/>
      <c r="L205" s="153" t="str">
        <f t="shared" si="20"/>
        <v>4595</v>
      </c>
      <c r="M205" s="154" t="str">
        <f t="shared" si="21"/>
        <v>VTE - SOUS-TRAITANCE INTERNE CARR.</v>
      </c>
      <c r="N205" s="155">
        <f>+IF(OR($Q205=Parametres!$G$2,$Q205=Parametres!$G$3),I205,C205)</f>
        <v>-3647.5</v>
      </c>
      <c r="O205" s="155">
        <f>+IF(OR($Q205=Parametres!$G$2,$Q205=Parametres!$G$3),J205,D205)</f>
        <v>-6859.66</v>
      </c>
      <c r="P205" s="155">
        <f>+IF(OR($Q205=Parametres!$G$2,$Q205=Parametres!$G$3),K205,E205)</f>
        <v>-10507.16</v>
      </c>
      <c r="Q205" s="154" t="str">
        <f t="shared" si="22"/>
        <v>5-Ventes</v>
      </c>
      <c r="R205" s="153" t="str">
        <f t="shared" si="23"/>
        <v>4595</v>
      </c>
      <c r="S205" s="154">
        <f t="shared" si="24"/>
        <v>0</v>
      </c>
      <c r="T205" s="156" t="str">
        <f>+VLOOKUP($L205,Data_Validation!$A:$D,1,0)</f>
        <v>4595</v>
      </c>
      <c r="U205" s="156" t="str">
        <f>+VLOOKUP($L205,Data_Validation!$A:$D,3,0)</f>
        <v>Carrosserie</v>
      </c>
      <c r="V205" s="156" t="str">
        <f>+VLOOKUP($L205,Data_Validation!$A:$D,4,0)</f>
        <v>M/O Sous-traitement</v>
      </c>
      <c r="W205" s="156" t="str">
        <f>+VLOOKUP($L205,Data_Validation!$A:$E,5,0)</f>
        <v>$</v>
      </c>
      <c r="X205" s="156" t="str">
        <f>+VLOOKUP($L205,Data_Validation!$A:$F,6,0)</f>
        <v>Oui</v>
      </c>
    </row>
    <row r="206" spans="1:24" ht="15.75" hidden="1" customHeight="1">
      <c r="A206" s="1013" t="s">
        <v>2536</v>
      </c>
      <c r="B206" s="1013" t="s">
        <v>2537</v>
      </c>
      <c r="C206" s="1015"/>
      <c r="D206" s="1015"/>
      <c r="E206" s="1015"/>
      <c r="F206" s="1013" t="s">
        <v>4</v>
      </c>
      <c r="G206" s="1013" t="s">
        <v>2101</v>
      </c>
      <c r="H206" s="1014"/>
      <c r="I206" s="1014">
        <v>-13</v>
      </c>
      <c r="J206" s="1014">
        <v>-16</v>
      </c>
      <c r="K206" s="1014">
        <v>-29</v>
      </c>
      <c r="L206" s="153" t="str">
        <f t="shared" si="20"/>
        <v>4595@</v>
      </c>
      <c r="M206" s="154" t="str">
        <f t="shared" si="21"/>
        <v># DE VTE - S-TRAIT.INTERNE CARR.</v>
      </c>
      <c r="N206" s="155">
        <f>+IF(OR($Q206=Parametres!$G$2,$Q206=Parametres!$G$3),I206,C206)</f>
        <v>-13</v>
      </c>
      <c r="O206" s="575">
        <f>+IF(OR($Q206=Parametres!$G$2,$Q206=Parametres!$G$3),J206,D206)</f>
        <v>-16</v>
      </c>
      <c r="P206" s="155">
        <f>+IF(OR($Q206=Parametres!$G$2,$Q206=Parametres!$G$3),K206,E206)</f>
        <v>-29</v>
      </c>
      <c r="Q206" s="154" t="str">
        <f t="shared" si="22"/>
        <v>10-Compte compteur</v>
      </c>
      <c r="R206" s="153" t="str">
        <f t="shared" si="23"/>
        <v>4595</v>
      </c>
      <c r="S206" s="154">
        <f t="shared" si="24"/>
        <v>0</v>
      </c>
      <c r="T206" s="156" t="str">
        <f>+VLOOKUP($L206,Data_Validation!$A:$D,1,0)</f>
        <v>4595@</v>
      </c>
      <c r="U206" s="156" t="str">
        <f>+VLOOKUP($L206,Data_Validation!$A:$D,3,0)</f>
        <v>Carrosserie</v>
      </c>
      <c r="V206" s="156" t="str">
        <f>+VLOOKUP($L206,Data_Validation!$A:$D,4,0)</f>
        <v>M/O Sous-traitement</v>
      </c>
      <c r="W206" s="156" t="str">
        <f>+VLOOKUP($L206,Data_Validation!$A:$E,5,0)</f>
        <v>NB</v>
      </c>
      <c r="X206" s="156">
        <f>+VLOOKUP($L206,Data_Validation!$A:$F,6,0)</f>
        <v>0</v>
      </c>
    </row>
    <row r="207" spans="1:24" ht="15" hidden="1" customHeight="1">
      <c r="A207" s="1013" t="s">
        <v>2023</v>
      </c>
      <c r="B207" s="1013" t="s">
        <v>2024</v>
      </c>
      <c r="C207" s="1015">
        <v>-88925.98</v>
      </c>
      <c r="D207" s="1015">
        <v>-46591.11</v>
      </c>
      <c r="E207" s="1015">
        <v>-135517.09</v>
      </c>
      <c r="F207" s="1013" t="s">
        <v>285</v>
      </c>
      <c r="G207" s="1013" t="s">
        <v>2024</v>
      </c>
      <c r="H207" s="1014"/>
      <c r="I207" s="1014"/>
      <c r="J207" s="1014"/>
      <c r="K207" s="1014"/>
      <c r="L207" s="153" t="str">
        <f t="shared" si="20"/>
        <v>4701</v>
      </c>
      <c r="M207" s="154" t="str">
        <f t="shared" si="21"/>
        <v>VTE - PIECE/ACC B.R. CLIENT VW</v>
      </c>
      <c r="N207" s="155">
        <f>+IF(OR($Q207=Parametres!$G$2,$Q207=Parametres!$G$3),I207,C207)</f>
        <v>-88925.98</v>
      </c>
      <c r="O207" s="155">
        <f>+IF(OR($Q207=Parametres!$G$2,$Q207=Parametres!$G$3),J207,D207)</f>
        <v>-46591.11</v>
      </c>
      <c r="P207" s="155">
        <f>+IF(OR($Q207=Parametres!$G$2,$Q207=Parametres!$G$3),K207,E207)</f>
        <v>-135517.09</v>
      </c>
      <c r="Q207" s="154" t="str">
        <f t="shared" si="22"/>
        <v>5-Ventes</v>
      </c>
      <c r="R207" s="153" t="str">
        <f t="shared" si="23"/>
        <v>4701</v>
      </c>
      <c r="S207" s="154">
        <f t="shared" si="24"/>
        <v>0</v>
      </c>
      <c r="T207" s="156" t="str">
        <f>+VLOOKUP($L207,Data_Validation!$A:$D,1,0)</f>
        <v>4701</v>
      </c>
      <c r="U207" s="156" t="str">
        <f>+VLOOKUP($L207,Data_Validation!$A:$D,3,0)</f>
        <v>Pièces</v>
      </c>
      <c r="V207" s="156" t="str">
        <f>+VLOOKUP($L207,Data_Validation!$A:$D,4,0)</f>
        <v>Pièces Ro Clients</v>
      </c>
      <c r="W207" s="156" t="str">
        <f>+VLOOKUP($L207,Data_Validation!$A:$E,5,0)</f>
        <v>$</v>
      </c>
      <c r="X207" s="156" t="str">
        <f>+VLOOKUP($L207,Data_Validation!$A:$F,6,0)</f>
        <v>Oui</v>
      </c>
    </row>
    <row r="208" spans="1:24" ht="15" hidden="1" customHeight="1">
      <c r="A208" s="1013" t="s">
        <v>2538</v>
      </c>
      <c r="B208" s="1013" t="s">
        <v>2539</v>
      </c>
      <c r="C208" s="1015"/>
      <c r="D208" s="1015"/>
      <c r="E208" s="1015"/>
      <c r="F208" s="1013" t="s">
        <v>4</v>
      </c>
      <c r="G208" s="1013" t="s">
        <v>2024</v>
      </c>
      <c r="H208" s="1014"/>
      <c r="I208" s="1014">
        <v>-408</v>
      </c>
      <c r="J208" s="1014">
        <v>-347</v>
      </c>
      <c r="K208" s="1014">
        <v>-755</v>
      </c>
      <c r="L208" s="153" t="str">
        <f t="shared" si="20"/>
        <v>4701@</v>
      </c>
      <c r="M208" s="154" t="str">
        <f t="shared" si="21"/>
        <v>PIECES-BON REPARATION- CLIENTS</v>
      </c>
      <c r="N208" s="155">
        <f>+IF(OR($Q208=Parametres!$G$2,$Q208=Parametres!$G$3),I208,C208)</f>
        <v>-408</v>
      </c>
      <c r="O208" s="155">
        <f>+IF(OR($Q208=Parametres!$G$2,$Q208=Parametres!$G$3),J208,D208)</f>
        <v>-347</v>
      </c>
      <c r="P208" s="155">
        <f>+IF(OR($Q208=Parametres!$G$2,$Q208=Parametres!$G$3),K208,E208)</f>
        <v>-755</v>
      </c>
      <c r="Q208" s="154" t="str">
        <f t="shared" si="22"/>
        <v>10-Compte compteur</v>
      </c>
      <c r="R208" s="153" t="str">
        <f t="shared" si="23"/>
        <v>4701</v>
      </c>
      <c r="S208" s="154">
        <f t="shared" si="24"/>
        <v>0</v>
      </c>
      <c r="T208" s="156" t="str">
        <f>+VLOOKUP($L208,Data_Validation!$A:$D,1,0)</f>
        <v>4701@</v>
      </c>
      <c r="U208" s="156" t="str">
        <f>+VLOOKUP($L208,Data_Validation!$A:$D,3,0)</f>
        <v>Pièces</v>
      </c>
      <c r="V208" s="156" t="str">
        <f>+VLOOKUP($L208,Data_Validation!$A:$D,4,0)</f>
        <v>Pièces Ro Clients</v>
      </c>
      <c r="W208" s="156" t="str">
        <f>+VLOOKUP($L208,Data_Validation!$A:$E,5,0)</f>
        <v>NB</v>
      </c>
      <c r="X208" s="156">
        <f>+VLOOKUP($L208,Data_Validation!$A:$F,6,0)</f>
        <v>0</v>
      </c>
    </row>
    <row r="209" spans="1:24" ht="15" hidden="1" customHeight="1">
      <c r="A209" s="1013" t="s">
        <v>2150</v>
      </c>
      <c r="B209" s="1013" t="s">
        <v>2151</v>
      </c>
      <c r="C209" s="1015">
        <v>-431.54</v>
      </c>
      <c r="D209" s="1015">
        <v>-470.45</v>
      </c>
      <c r="E209" s="1015">
        <v>-901.99</v>
      </c>
      <c r="F209" s="1013" t="s">
        <v>285</v>
      </c>
      <c r="G209" s="1013" t="s">
        <v>2151</v>
      </c>
      <c r="H209" s="1014"/>
      <c r="I209" s="1014"/>
      <c r="J209" s="1014"/>
      <c r="K209" s="1014"/>
      <c r="L209" s="153" t="str">
        <f t="shared" si="20"/>
        <v>4702</v>
      </c>
      <c r="M209" s="154" t="str">
        <f t="shared" si="21"/>
        <v>VTE - SHOP SUPPLY VW</v>
      </c>
      <c r="N209" s="155">
        <f>+IF(OR($Q209=Parametres!$G$2,$Q209=Parametres!$G$3),I209,C209)</f>
        <v>-431.54</v>
      </c>
      <c r="O209" s="155">
        <f>+IF(OR($Q209=Parametres!$G$2,$Q209=Parametres!$G$3),J209,D209)</f>
        <v>-470.45</v>
      </c>
      <c r="P209" s="155">
        <f>+IF(OR($Q209=Parametres!$G$2,$Q209=Parametres!$G$3),K209,E209)</f>
        <v>-901.99</v>
      </c>
      <c r="Q209" s="154" t="str">
        <f t="shared" si="22"/>
        <v>5-Ventes</v>
      </c>
      <c r="R209" s="153" t="str">
        <f t="shared" si="23"/>
        <v>4702</v>
      </c>
      <c r="S209" s="154">
        <f t="shared" si="24"/>
        <v>0</v>
      </c>
      <c r="T209" s="156" t="str">
        <f>+VLOOKUP($L209,Data_Validation!$A:$D,1,0)</f>
        <v>4702</v>
      </c>
      <c r="U209" s="156" t="str">
        <f>+VLOOKUP($L209,Data_Validation!$A:$D,3,0)</f>
        <v>Service</v>
      </c>
      <c r="V209" s="156" t="str">
        <f>+VLOOKUP($L209,Data_Validation!$A:$D,4,0)</f>
        <v>M/O Client</v>
      </c>
      <c r="W209" s="156" t="str">
        <f>+VLOOKUP($L209,Data_Validation!$A:$E,5,0)</f>
        <v>$</v>
      </c>
      <c r="X209" s="156" t="str">
        <f>+VLOOKUP($L209,Data_Validation!$A:$F,6,0)</f>
        <v>Oui</v>
      </c>
    </row>
    <row r="210" spans="1:24" ht="15" hidden="1" customHeight="1">
      <c r="A210" s="1013" t="s">
        <v>2043</v>
      </c>
      <c r="B210" s="1013" t="s">
        <v>2044</v>
      </c>
      <c r="C210" s="1015">
        <v>-174535.75</v>
      </c>
      <c r="D210" s="1015">
        <v>-48253</v>
      </c>
      <c r="E210" s="1015">
        <v>-222788.75</v>
      </c>
      <c r="F210" s="1013" t="s">
        <v>285</v>
      </c>
      <c r="G210" s="1013" t="s">
        <v>2044</v>
      </c>
      <c r="H210" s="1014"/>
      <c r="I210" s="1014"/>
      <c r="J210" s="1014"/>
      <c r="K210" s="1014"/>
      <c r="L210" s="153" t="str">
        <f t="shared" si="20"/>
        <v>4703</v>
      </c>
      <c r="M210" s="154" t="str">
        <f t="shared" si="21"/>
        <v>VTE - PIECE/ACC B.R. GARANTIE VW</v>
      </c>
      <c r="N210" s="155">
        <f>+IF(OR($Q210=Parametres!$G$2,$Q210=Parametres!$G$3),I210,C210)</f>
        <v>-174535.75</v>
      </c>
      <c r="O210" s="155">
        <f>+IF(OR($Q210=Parametres!$G$2,$Q210=Parametres!$G$3),J210,D210)</f>
        <v>-48253</v>
      </c>
      <c r="P210" s="155">
        <f>+IF(OR($Q210=Parametres!$G$2,$Q210=Parametres!$G$3),K210,E210)</f>
        <v>-222788.75</v>
      </c>
      <c r="Q210" s="154" t="str">
        <f t="shared" si="22"/>
        <v>5-Ventes</v>
      </c>
      <c r="R210" s="153" t="str">
        <f t="shared" si="23"/>
        <v>4703</v>
      </c>
      <c r="S210" s="154">
        <f t="shared" si="24"/>
        <v>0</v>
      </c>
      <c r="T210" s="156" t="str">
        <f>+VLOOKUP($L210,Data_Validation!$A:$D,1,0)</f>
        <v>4703</v>
      </c>
      <c r="U210" s="156" t="str">
        <f>+VLOOKUP($L210,Data_Validation!$A:$D,3,0)</f>
        <v>Pièces</v>
      </c>
      <c r="V210" s="156" t="str">
        <f>+VLOOKUP($L210,Data_Validation!$A:$D,4,0)</f>
        <v>P/A Garantie</v>
      </c>
      <c r="W210" s="156" t="str">
        <f>+VLOOKUP($L210,Data_Validation!$A:$E,5,0)</f>
        <v>$</v>
      </c>
      <c r="X210" s="156" t="str">
        <f>+VLOOKUP($L210,Data_Validation!$A:$F,6,0)</f>
        <v>Oui</v>
      </c>
    </row>
    <row r="211" spans="1:24" ht="15.75" hidden="1" customHeight="1">
      <c r="A211" s="1013" t="s">
        <v>2540</v>
      </c>
      <c r="B211" s="1013" t="s">
        <v>2541</v>
      </c>
      <c r="C211" s="1015"/>
      <c r="D211" s="1015"/>
      <c r="E211" s="1015"/>
      <c r="F211" s="1013" t="s">
        <v>4</v>
      </c>
      <c r="G211" s="1013" t="s">
        <v>2044</v>
      </c>
      <c r="H211" s="1014"/>
      <c r="I211" s="1014">
        <v>-322</v>
      </c>
      <c r="J211" s="1014">
        <v>-131</v>
      </c>
      <c r="K211" s="1014">
        <v>-453</v>
      </c>
      <c r="L211" s="153" t="str">
        <f t="shared" si="20"/>
        <v>4703@</v>
      </c>
      <c r="M211" s="154" t="str">
        <f t="shared" si="21"/>
        <v>PIECES-BON REPARATION-GAR. MAN</v>
      </c>
      <c r="N211" s="155">
        <f>+IF(OR($Q211=Parametres!$G$2,$Q211=Parametres!$G$3),I211,C211)</f>
        <v>-322</v>
      </c>
      <c r="O211" s="155">
        <f>+IF(OR($Q211=Parametres!$G$2,$Q211=Parametres!$G$3),J211,D211)</f>
        <v>-131</v>
      </c>
      <c r="P211" s="155">
        <f>+IF(OR($Q211=Parametres!$G$2,$Q211=Parametres!$G$3),K211,E211)</f>
        <v>-453</v>
      </c>
      <c r="Q211" s="154" t="str">
        <f t="shared" si="22"/>
        <v>10-Compte compteur</v>
      </c>
      <c r="R211" s="153" t="str">
        <f t="shared" si="23"/>
        <v>4703</v>
      </c>
      <c r="S211" s="154">
        <f t="shared" si="24"/>
        <v>0</v>
      </c>
      <c r="T211" s="156" t="str">
        <f>+VLOOKUP($L211,Data_Validation!$A:$D,1,0)</f>
        <v>4703@</v>
      </c>
      <c r="U211" s="156" t="str">
        <f>+VLOOKUP($L211,Data_Validation!$A:$D,3,0)</f>
        <v>Pièces</v>
      </c>
      <c r="V211" s="156" t="str">
        <f>+VLOOKUP($L211,Data_Validation!$A:$D,4,0)</f>
        <v>P/A Garantie</v>
      </c>
      <c r="W211" s="156" t="str">
        <f>+VLOOKUP($L211,Data_Validation!$A:$E,5,0)</f>
        <v>NB</v>
      </c>
      <c r="X211" s="156">
        <f>+VLOOKUP($L211,Data_Validation!$A:$F,6,0)</f>
        <v>0</v>
      </c>
    </row>
    <row r="212" spans="1:24" ht="15" hidden="1" customHeight="1">
      <c r="A212" s="1013" t="s">
        <v>2047</v>
      </c>
      <c r="B212" s="1013" t="s">
        <v>2048</v>
      </c>
      <c r="C212" s="1015">
        <v>-50378.23</v>
      </c>
      <c r="D212" s="1015">
        <v>-53378.239999999998</v>
      </c>
      <c r="E212" s="1015">
        <v>-103756.47</v>
      </c>
      <c r="F212" s="1013" t="s">
        <v>285</v>
      </c>
      <c r="G212" s="1013" t="s">
        <v>2048</v>
      </c>
      <c r="H212" s="1014"/>
      <c r="I212" s="1014"/>
      <c r="J212" s="1014"/>
      <c r="K212" s="1014"/>
      <c r="L212" s="153" t="str">
        <f t="shared" si="20"/>
        <v>4705</v>
      </c>
      <c r="M212" s="154" t="str">
        <f t="shared" si="21"/>
        <v>VTE - PIECE/ACC B.R. INTERNE VW</v>
      </c>
      <c r="N212" s="155">
        <f>+IF(OR($Q212=Parametres!$G$2,$Q212=Parametres!$G$3),I212,C212)</f>
        <v>-50378.23</v>
      </c>
      <c r="O212" s="576">
        <f>+IF(OR($Q212=Parametres!$G$2,$Q212=Parametres!$G$3),J212,D212)</f>
        <v>-53378.239999999998</v>
      </c>
      <c r="P212" s="155">
        <f>+IF(OR($Q212=Parametres!$G$2,$Q212=Parametres!$G$3),K212,E212)</f>
        <v>-103756.47</v>
      </c>
      <c r="Q212" s="154" t="str">
        <f t="shared" si="22"/>
        <v>5-Ventes</v>
      </c>
      <c r="R212" s="153" t="str">
        <f t="shared" si="23"/>
        <v>4705</v>
      </c>
      <c r="S212" s="154">
        <f t="shared" si="24"/>
        <v>0</v>
      </c>
      <c r="T212" s="156" t="str">
        <f>+VLOOKUP($L212,Data_Validation!$A:$D,1,0)</f>
        <v>4705</v>
      </c>
      <c r="U212" s="156" t="str">
        <f>+VLOOKUP($L212,Data_Validation!$A:$D,3,0)</f>
        <v>Pièces</v>
      </c>
      <c r="V212" s="156" t="str">
        <f>+VLOOKUP($L212,Data_Validation!$A:$D,4,0)</f>
        <v>Ventes Internes</v>
      </c>
      <c r="W212" s="156" t="str">
        <f>+VLOOKUP($L212,Data_Validation!$A:$E,5,0)</f>
        <v>$</v>
      </c>
      <c r="X212" s="156" t="str">
        <f>+VLOOKUP($L212,Data_Validation!$A:$F,6,0)</f>
        <v>Oui</v>
      </c>
    </row>
    <row r="213" spans="1:24" ht="15" hidden="1" customHeight="1">
      <c r="A213" s="1013" t="s">
        <v>2542</v>
      </c>
      <c r="B213" s="1013" t="s">
        <v>2543</v>
      </c>
      <c r="C213" s="1015"/>
      <c r="D213" s="1015"/>
      <c r="E213" s="1015"/>
      <c r="F213" s="1013" t="s">
        <v>4</v>
      </c>
      <c r="G213" s="1013" t="s">
        <v>2048</v>
      </c>
      <c r="H213" s="1014"/>
      <c r="I213" s="1014">
        <v>-351</v>
      </c>
      <c r="J213" s="1014">
        <v>-355</v>
      </c>
      <c r="K213" s="1014">
        <v>-706</v>
      </c>
      <c r="L213" s="153" t="str">
        <f t="shared" si="20"/>
        <v>4705@</v>
      </c>
      <c r="M213" s="154" t="str">
        <f t="shared" si="21"/>
        <v>PIECES-BON REPARATION - INTERN</v>
      </c>
      <c r="N213" s="155">
        <f>+IF(OR($Q213=Parametres!$G$2,$Q213=Parametres!$G$3),I213,C213)</f>
        <v>-351</v>
      </c>
      <c r="O213" s="155">
        <f>+IF(OR($Q213=Parametres!$G$2,$Q213=Parametres!$G$3),J213,D213)</f>
        <v>-355</v>
      </c>
      <c r="P213" s="155">
        <f>+IF(OR($Q213=Parametres!$G$2,$Q213=Parametres!$G$3),K213,E213)</f>
        <v>-706</v>
      </c>
      <c r="Q213" s="154" t="str">
        <f t="shared" si="22"/>
        <v>10-Compte compteur</v>
      </c>
      <c r="R213" s="153" t="str">
        <f t="shared" si="23"/>
        <v>4705</v>
      </c>
      <c r="S213" s="154">
        <f t="shared" si="24"/>
        <v>0</v>
      </c>
      <c r="T213" s="156" t="str">
        <f>+VLOOKUP($L213,Data_Validation!$A:$D,1,0)</f>
        <v>4705@</v>
      </c>
      <c r="U213" s="156" t="str">
        <f>+VLOOKUP($L213,Data_Validation!$A:$D,3,0)</f>
        <v>Pièces</v>
      </c>
      <c r="V213" s="156" t="str">
        <f>+VLOOKUP($L213,Data_Validation!$A:$D,4,0)</f>
        <v>Ventes Internes</v>
      </c>
      <c r="W213" s="156" t="str">
        <f>+VLOOKUP($L213,Data_Validation!$A:$E,5,0)</f>
        <v>NB</v>
      </c>
      <c r="X213" s="156">
        <f>+VLOOKUP($L213,Data_Validation!$A:$F,6,0)</f>
        <v>0</v>
      </c>
    </row>
    <row r="214" spans="1:24" ht="15" hidden="1" customHeight="1">
      <c r="A214" s="1013" t="s">
        <v>2150</v>
      </c>
      <c r="B214" s="1013" t="s">
        <v>2169</v>
      </c>
      <c r="C214" s="1015">
        <v>-1182.9100000000001</v>
      </c>
      <c r="D214" s="1015">
        <v>-515.62</v>
      </c>
      <c r="E214" s="1015">
        <v>-1698.53</v>
      </c>
      <c r="F214" s="1013" t="s">
        <v>285</v>
      </c>
      <c r="G214" s="1013" t="s">
        <v>2169</v>
      </c>
      <c r="H214" s="1014"/>
      <c r="I214" s="1014"/>
      <c r="J214" s="1014"/>
      <c r="K214" s="1014"/>
      <c r="L214" s="153" t="str">
        <f t="shared" si="20"/>
        <v>4706</v>
      </c>
      <c r="M214" s="154" t="str">
        <f t="shared" si="21"/>
        <v>VTE - SHOP SUPPLY VW</v>
      </c>
      <c r="N214" s="155">
        <f>+IF(OR($Q214=Parametres!$G$2,$Q214=Parametres!$G$3),I214,C214)</f>
        <v>-1182.9100000000001</v>
      </c>
      <c r="O214" s="155">
        <f>+IF(OR($Q214=Parametres!$G$2,$Q214=Parametres!$G$3),J214,D214)</f>
        <v>-515.62</v>
      </c>
      <c r="P214" s="155">
        <f>+IF(OR($Q214=Parametres!$G$2,$Q214=Parametres!$G$3),K214,E214)</f>
        <v>-1698.53</v>
      </c>
      <c r="Q214" s="154" t="str">
        <f t="shared" si="22"/>
        <v>5-Ventes</v>
      </c>
      <c r="R214" s="153" t="str">
        <f t="shared" si="23"/>
        <v>4706</v>
      </c>
      <c r="S214" s="154">
        <f t="shared" si="24"/>
        <v>0</v>
      </c>
      <c r="T214" s="156" t="str">
        <f>+VLOOKUP($L214,Data_Validation!$A:$D,1,0)</f>
        <v>4706</v>
      </c>
      <c r="U214" s="156" t="str">
        <f>+VLOOKUP($L214,Data_Validation!$A:$D,3,0)</f>
        <v>Service</v>
      </c>
      <c r="V214" s="156" t="str">
        <f>+VLOOKUP($L214,Data_Validation!$A:$D,4,0)</f>
        <v>M/O Interne</v>
      </c>
      <c r="W214" s="156" t="str">
        <f>+VLOOKUP($L214,Data_Validation!$A:$E,5,0)</f>
        <v>$</v>
      </c>
      <c r="X214" s="156" t="str">
        <f>+VLOOKUP($L214,Data_Validation!$A:$F,6,0)</f>
        <v>Oui</v>
      </c>
    </row>
    <row r="215" spans="1:24" ht="15.75" hidden="1" customHeight="1">
      <c r="A215" s="1013" t="s">
        <v>2114</v>
      </c>
      <c r="B215" s="1013" t="s">
        <v>2115</v>
      </c>
      <c r="C215" s="1015">
        <v>-7115.48</v>
      </c>
      <c r="D215" s="1015">
        <v>-4744.71</v>
      </c>
      <c r="E215" s="1015">
        <v>-11860.19</v>
      </c>
      <c r="F215" s="1013" t="s">
        <v>285</v>
      </c>
      <c r="G215" s="1013" t="s">
        <v>335</v>
      </c>
      <c r="H215" s="1014"/>
      <c r="I215" s="1014"/>
      <c r="J215" s="1014"/>
      <c r="K215" s="1014"/>
      <c r="L215" s="153" t="str">
        <f t="shared" si="20"/>
        <v>4711</v>
      </c>
      <c r="M215" s="154" t="str">
        <f t="shared" si="21"/>
        <v>VTE - AUTRE PIECE/ACC/CARR B.R. CLIENT</v>
      </c>
      <c r="N215" s="155">
        <f>+IF(OR($Q215=Parametres!$G$2,$Q215=Parametres!$G$3),I215,C215)</f>
        <v>-7115.48</v>
      </c>
      <c r="O215" s="155">
        <f>+IF(OR($Q215=Parametres!$G$2,$Q215=Parametres!$G$3),J215,D215)</f>
        <v>-4744.71</v>
      </c>
      <c r="P215" s="155">
        <f>+IF(OR($Q215=Parametres!$G$2,$Q215=Parametres!$G$3),K215,E215)</f>
        <v>-11860.19</v>
      </c>
      <c r="Q215" s="154" t="str">
        <f t="shared" si="22"/>
        <v>5-Ventes</v>
      </c>
      <c r="R215" s="153" t="str">
        <f t="shared" si="23"/>
        <v>84711</v>
      </c>
      <c r="S215" s="154">
        <f t="shared" si="24"/>
        <v>0</v>
      </c>
      <c r="T215" s="156" t="str">
        <f>+VLOOKUP($L215,Data_Validation!$A:$D,1,0)</f>
        <v>4711</v>
      </c>
      <c r="U215" s="156" t="str">
        <f>+VLOOKUP($L215,Data_Validation!$A:$D,3,0)</f>
        <v>Pièces</v>
      </c>
      <c r="V215" s="156" t="str">
        <f>+VLOOKUP($L215,Data_Validation!$A:$D,4,0)</f>
        <v>Pièces Ro Clients</v>
      </c>
      <c r="W215" s="156" t="str">
        <f>+VLOOKUP($L215,Data_Validation!$A:$E,5,0)</f>
        <v>$</v>
      </c>
      <c r="X215" s="156" t="str">
        <f>+VLOOKUP($L215,Data_Validation!$A:$F,6,0)</f>
        <v>Oui</v>
      </c>
    </row>
    <row r="216" spans="1:24" ht="15" hidden="1" customHeight="1">
      <c r="A216" s="1013" t="s">
        <v>2544</v>
      </c>
      <c r="B216" s="1013" t="s">
        <v>2545</v>
      </c>
      <c r="C216" s="1015"/>
      <c r="D216" s="1015"/>
      <c r="E216" s="1015"/>
      <c r="F216" s="1013" t="s">
        <v>4</v>
      </c>
      <c r="G216" s="1013" t="s">
        <v>335</v>
      </c>
      <c r="H216" s="1014"/>
      <c r="I216" s="1014">
        <v>-87</v>
      </c>
      <c r="J216" s="1014">
        <v>-134</v>
      </c>
      <c r="K216" s="1014">
        <v>-221</v>
      </c>
      <c r="L216" s="153" t="str">
        <f t="shared" si="20"/>
        <v>4711@</v>
      </c>
      <c r="M216" s="154" t="str">
        <f t="shared" si="21"/>
        <v># DE VTE - P&amp;A B.T. CLIENT AUDI</v>
      </c>
      <c r="N216" s="155">
        <f>+IF(OR($Q216=Parametres!$G$2,$Q216=Parametres!$G$3),I216,C216)</f>
        <v>-87</v>
      </c>
      <c r="O216" s="575">
        <f>+IF(OR($Q216=Parametres!$G$2,$Q216=Parametres!$G$3),J216,D216)</f>
        <v>-134</v>
      </c>
      <c r="P216" s="155">
        <f>+IF(OR($Q216=Parametres!$G$2,$Q216=Parametres!$G$3),K216,E216)</f>
        <v>-221</v>
      </c>
      <c r="Q216" s="154" t="str">
        <f t="shared" si="22"/>
        <v>10-Compte compteur</v>
      </c>
      <c r="R216" s="153" t="str">
        <f t="shared" si="23"/>
        <v>84711</v>
      </c>
      <c r="S216" s="154">
        <f t="shared" si="24"/>
        <v>0</v>
      </c>
      <c r="T216" s="156" t="str">
        <f>+VLOOKUP($L216,Data_Validation!$A:$D,1,0)</f>
        <v>4711@</v>
      </c>
      <c r="U216" s="156" t="str">
        <f>+VLOOKUP($L216,Data_Validation!$A:$D,3,0)</f>
        <v>Pièces</v>
      </c>
      <c r="V216" s="156" t="str">
        <f>+VLOOKUP($L216,Data_Validation!$A:$D,4,0)</f>
        <v>Pièces Ro Clients</v>
      </c>
      <c r="W216" s="156" t="str">
        <f>+VLOOKUP($L216,Data_Validation!$A:$E,5,0)</f>
        <v>NB</v>
      </c>
      <c r="X216" s="156">
        <f>+VLOOKUP($L216,Data_Validation!$A:$F,6,0)</f>
        <v>0</v>
      </c>
    </row>
    <row r="217" spans="1:24" ht="15" hidden="1" customHeight="1">
      <c r="A217" s="1013" t="s">
        <v>2107</v>
      </c>
      <c r="B217" s="1013" t="s">
        <v>2108</v>
      </c>
      <c r="C217" s="1015">
        <v>-10863.89</v>
      </c>
      <c r="D217" s="1015">
        <v>-9176.41</v>
      </c>
      <c r="E217" s="1015">
        <v>-20040.3</v>
      </c>
      <c r="F217" s="1013" t="s">
        <v>285</v>
      </c>
      <c r="G217" s="1013" t="s">
        <v>2108</v>
      </c>
      <c r="H217" s="949"/>
      <c r="I217" s="948"/>
      <c r="J217" s="948"/>
      <c r="K217" s="948"/>
      <c r="L217" s="153" t="str">
        <f t="shared" si="20"/>
        <v>4731</v>
      </c>
      <c r="M217" s="154" t="str">
        <f t="shared" si="21"/>
        <v>VTE - PIECES-BON REPAR.-PEINT/DEBOS</v>
      </c>
      <c r="N217" s="155">
        <f>+IF(OR($Q217=Parametres!$G$2,$Q217=Parametres!$G$3),I217,C217)</f>
        <v>-10863.89</v>
      </c>
      <c r="O217" s="155">
        <f>+IF(OR($Q217=Parametres!$G$2,$Q217=Parametres!$G$3),J217,D217)</f>
        <v>-9176.41</v>
      </c>
      <c r="P217" s="155">
        <f>+IF(OR($Q217=Parametres!$G$2,$Q217=Parametres!$G$3),K217,E217)</f>
        <v>-20040.3</v>
      </c>
      <c r="Q217" s="154" t="str">
        <f t="shared" si="22"/>
        <v>5-Ventes</v>
      </c>
      <c r="R217" s="153" t="str">
        <f t="shared" si="23"/>
        <v>4731</v>
      </c>
      <c r="S217" s="154">
        <f t="shared" si="24"/>
        <v>0</v>
      </c>
      <c r="T217" s="156" t="str">
        <f>+VLOOKUP($L217,Data_Validation!$A:$D,1,0)</f>
        <v>4731</v>
      </c>
      <c r="U217" s="156" t="str">
        <f>+VLOOKUP($L217,Data_Validation!$A:$D,3,0)</f>
        <v>Pièces</v>
      </c>
      <c r="V217" s="156" t="str">
        <f>+VLOOKUP($L217,Data_Validation!$A:$D,4,0)</f>
        <v>Pièces Ro Carrosserie</v>
      </c>
      <c r="W217" s="156" t="str">
        <f>+VLOOKUP($L217,Data_Validation!$A:$E,5,0)</f>
        <v>$</v>
      </c>
      <c r="X217" s="156" t="str">
        <f>+VLOOKUP($L217,Data_Validation!$A:$F,6,0)</f>
        <v>Oui</v>
      </c>
    </row>
    <row r="218" spans="1:24" ht="15" hidden="1" customHeight="1">
      <c r="A218" s="1013" t="s">
        <v>2548</v>
      </c>
      <c r="B218" s="1013" t="s">
        <v>2549</v>
      </c>
      <c r="C218" s="1015"/>
      <c r="D218" s="1015"/>
      <c r="E218" s="1015"/>
      <c r="F218" s="1013" t="s">
        <v>4</v>
      </c>
      <c r="G218" s="1013" t="s">
        <v>2108</v>
      </c>
      <c r="H218" s="150"/>
      <c r="I218" s="157">
        <v>-17</v>
      </c>
      <c r="J218" s="157">
        <v>-12</v>
      </c>
      <c r="K218" s="157">
        <v>-29</v>
      </c>
      <c r="L218" s="153" t="str">
        <f t="shared" si="20"/>
        <v>4731@</v>
      </c>
      <c r="M218" s="154" t="str">
        <f t="shared" si="21"/>
        <v>PIECES-BON REPAR. PEINT/DEBOS</v>
      </c>
      <c r="N218" s="155">
        <f>+IF(OR($Q218=Parametres!$G$2,$Q218=Parametres!$G$3),I218,C218)</f>
        <v>-17</v>
      </c>
      <c r="O218" s="575">
        <f>+IF(OR($Q218=Parametres!$G$2,$Q218=Parametres!$G$3),J218,D218)</f>
        <v>-12</v>
      </c>
      <c r="P218" s="155">
        <f>+IF(OR($Q218=Parametres!$G$2,$Q218=Parametres!$G$3),K218,E218)</f>
        <v>-29</v>
      </c>
      <c r="Q218" s="154" t="str">
        <f t="shared" si="22"/>
        <v>10-Compte compteur</v>
      </c>
      <c r="R218" s="153" t="str">
        <f t="shared" si="23"/>
        <v>4731</v>
      </c>
      <c r="S218" s="154">
        <f t="shared" si="24"/>
        <v>0</v>
      </c>
      <c r="T218" s="156" t="str">
        <f>+VLOOKUP($L218,Data_Validation!$A:$D,1,0)</f>
        <v>4731@</v>
      </c>
      <c r="U218" s="156" t="str">
        <f>+VLOOKUP($L218,Data_Validation!$A:$D,3,0)</f>
        <v>Pièces</v>
      </c>
      <c r="V218" s="156" t="str">
        <f>+VLOOKUP($L218,Data_Validation!$A:$D,4,0)</f>
        <v>Pièces Ro Carrosserie</v>
      </c>
      <c r="W218" s="156" t="str">
        <f>+VLOOKUP($L218,Data_Validation!$A:$E,5,0)</f>
        <v>NB</v>
      </c>
      <c r="X218" s="156">
        <f>+VLOOKUP($L218,Data_Validation!$A:$F,6,0)</f>
        <v>0</v>
      </c>
    </row>
    <row r="219" spans="1:24" ht="15.75" hidden="1" customHeight="1">
      <c r="A219" s="1013" t="s">
        <v>2090</v>
      </c>
      <c r="B219" s="1013" t="s">
        <v>2091</v>
      </c>
      <c r="C219" s="1015">
        <v>-88048.91</v>
      </c>
      <c r="D219" s="1015">
        <v>-26056.29</v>
      </c>
      <c r="E219" s="1015">
        <v>-114105.2</v>
      </c>
      <c r="F219" s="1013" t="s">
        <v>285</v>
      </c>
      <c r="G219" s="1013" t="s">
        <v>2091</v>
      </c>
      <c r="H219" s="949"/>
      <c r="I219" s="948"/>
      <c r="J219" s="948"/>
      <c r="K219" s="948"/>
      <c r="L219" s="153" t="str">
        <f t="shared" si="20"/>
        <v>4733</v>
      </c>
      <c r="M219" s="154" t="str">
        <f t="shared" si="21"/>
        <v>VTE - P&amp;A B.T. GARANTIE CAR.</v>
      </c>
      <c r="N219" s="155">
        <f>+IF(OR($Q219=Parametres!$G$2,$Q219=Parametres!$G$3),I219,C219)</f>
        <v>-88048.91</v>
      </c>
      <c r="O219" s="575">
        <f>+IF(OR($Q219=Parametres!$G$2,$Q219=Parametres!$G$3),J219,D219)</f>
        <v>-26056.29</v>
      </c>
      <c r="P219" s="155">
        <f>+IF(OR($Q219=Parametres!$G$2,$Q219=Parametres!$G$3),K219,E219)</f>
        <v>-114105.2</v>
      </c>
      <c r="Q219" s="154" t="str">
        <f t="shared" si="22"/>
        <v>5-Ventes</v>
      </c>
      <c r="R219" s="153" t="str">
        <f t="shared" si="23"/>
        <v>4733</v>
      </c>
      <c r="S219" s="154">
        <f t="shared" si="24"/>
        <v>0</v>
      </c>
      <c r="T219" s="156" t="str">
        <f>+VLOOKUP($L219,Data_Validation!$A:$D,1,0)</f>
        <v>4733</v>
      </c>
      <c r="U219" s="156" t="str">
        <f>+VLOOKUP($L219,Data_Validation!$A:$D,3,0)</f>
        <v>Pièces</v>
      </c>
      <c r="V219" s="156" t="str">
        <f>+VLOOKUP($L219,Data_Validation!$A:$D,4,0)</f>
        <v>Pièces Ro Carrosserie</v>
      </c>
      <c r="W219" s="156" t="str">
        <f>+VLOOKUP($L219,Data_Validation!$A:$E,5,0)</f>
        <v>$</v>
      </c>
      <c r="X219" s="156" t="str">
        <f>+VLOOKUP($L219,Data_Validation!$A:$F,6,0)</f>
        <v>Oui</v>
      </c>
    </row>
    <row r="220" spans="1:24" ht="15" hidden="1" customHeight="1">
      <c r="A220" s="1013" t="s">
        <v>2550</v>
      </c>
      <c r="B220" s="1013" t="s">
        <v>2551</v>
      </c>
      <c r="C220" s="1015"/>
      <c r="D220" s="1015"/>
      <c r="E220" s="1015"/>
      <c r="F220" s="1013" t="s">
        <v>4</v>
      </c>
      <c r="G220" s="1013" t="s">
        <v>2091</v>
      </c>
      <c r="H220" s="949"/>
      <c r="I220" s="949">
        <v>-46</v>
      </c>
      <c r="J220" s="949">
        <v>-26</v>
      </c>
      <c r="K220" s="949">
        <v>-72</v>
      </c>
      <c r="L220" s="153" t="str">
        <f t="shared" si="20"/>
        <v>4733@</v>
      </c>
      <c r="M220" s="154" t="str">
        <f t="shared" si="21"/>
        <v># DE VTE - P&amp;A B.T. GARANTIE CARR.</v>
      </c>
      <c r="N220" s="155">
        <f>+IF(OR($Q220=Parametres!$G$2,$Q220=Parametres!$G$3),I220,C220)</f>
        <v>-46</v>
      </c>
      <c r="O220" s="575">
        <f>+IF(OR($Q220=Parametres!$G$2,$Q220=Parametres!$G$3),J220,D220)</f>
        <v>-26</v>
      </c>
      <c r="P220" s="155">
        <f>+IF(OR($Q220=Parametres!$G$2,$Q220=Parametres!$G$3),K220,E220)</f>
        <v>-72</v>
      </c>
      <c r="Q220" s="154" t="str">
        <f t="shared" si="22"/>
        <v>10-Compte compteur</v>
      </c>
      <c r="R220" s="153" t="str">
        <f t="shared" si="23"/>
        <v>4733</v>
      </c>
      <c r="S220" s="154">
        <f t="shared" si="24"/>
        <v>0</v>
      </c>
      <c r="T220" s="156" t="str">
        <f>+VLOOKUP($L220,Data_Validation!$A:$D,1,0)</f>
        <v>4733@</v>
      </c>
      <c r="U220" s="156" t="str">
        <f>+VLOOKUP($L220,Data_Validation!$A:$D,3,0)</f>
        <v>Pièces</v>
      </c>
      <c r="V220" s="156" t="str">
        <f>+VLOOKUP($L220,Data_Validation!$A:$D,4,0)</f>
        <v>Pièces Ro Carrosserie</v>
      </c>
      <c r="W220" s="156" t="str">
        <f>+VLOOKUP($L220,Data_Validation!$A:$E,5,0)</f>
        <v>NB</v>
      </c>
      <c r="X220" s="156">
        <f>+VLOOKUP($L220,Data_Validation!$A:$F,6,0)</f>
        <v>0</v>
      </c>
    </row>
    <row r="221" spans="1:24" ht="15" hidden="1" customHeight="1">
      <c r="A221" s="1013" t="s">
        <v>2165</v>
      </c>
      <c r="B221" s="1013" t="s">
        <v>2166</v>
      </c>
      <c r="C221" s="1015">
        <v>-116.35</v>
      </c>
      <c r="D221" s="1015">
        <v>-1087.8399999999999</v>
      </c>
      <c r="E221" s="1015">
        <v>-1204.19</v>
      </c>
      <c r="F221" s="1013" t="s">
        <v>285</v>
      </c>
      <c r="G221" s="1013" t="s">
        <v>2166</v>
      </c>
      <c r="H221" s="949"/>
      <c r="I221" s="948"/>
      <c r="J221" s="948"/>
      <c r="K221" s="948"/>
      <c r="L221" s="153" t="str">
        <f t="shared" si="20"/>
        <v>4735</v>
      </c>
      <c r="M221" s="154" t="str">
        <f t="shared" si="21"/>
        <v>VTE - P&amp;A B.T. INTERNE CARROS.</v>
      </c>
      <c r="N221" s="155">
        <f>+IF(OR($Q221=Parametres!$G$2,$Q221=Parametres!$G$3),I221,C221)</f>
        <v>-116.35</v>
      </c>
      <c r="O221" s="575">
        <f>+IF(OR($Q221=Parametres!$G$2,$Q221=Parametres!$G$3),J221,D221)</f>
        <v>-1087.8399999999999</v>
      </c>
      <c r="P221" s="155">
        <f>+IF(OR($Q221=Parametres!$G$2,$Q221=Parametres!$G$3),K221,E221)</f>
        <v>-1204.19</v>
      </c>
      <c r="Q221" s="154" t="str">
        <f t="shared" si="22"/>
        <v>5-Ventes</v>
      </c>
      <c r="R221" s="153" t="str">
        <f t="shared" si="23"/>
        <v>4735</v>
      </c>
      <c r="S221" s="154">
        <f t="shared" si="24"/>
        <v>0</v>
      </c>
      <c r="T221" s="156" t="str">
        <f>+VLOOKUP($L221,Data_Validation!$A:$D,1,0)</f>
        <v>4735</v>
      </c>
      <c r="U221" s="156" t="str">
        <f>+VLOOKUP($L221,Data_Validation!$A:$D,3,0)</f>
        <v>Pièces</v>
      </c>
      <c r="V221" s="156" t="str">
        <f>+VLOOKUP($L221,Data_Validation!$A:$D,4,0)</f>
        <v>Pièces Ro Carrosserie</v>
      </c>
      <c r="W221" s="156" t="str">
        <f>+VLOOKUP($L221,Data_Validation!$A:$E,5,0)</f>
        <v>$</v>
      </c>
      <c r="X221" s="156" t="str">
        <f>+VLOOKUP($L221,Data_Validation!$A:$F,6,0)</f>
        <v>Oui</v>
      </c>
    </row>
    <row r="222" spans="1:24" ht="15" hidden="1" customHeight="1">
      <c r="A222" s="1013" t="s">
        <v>2552</v>
      </c>
      <c r="B222" s="1013" t="s">
        <v>2553</v>
      </c>
      <c r="C222" s="1015"/>
      <c r="D222" s="1015"/>
      <c r="E222" s="1015"/>
      <c r="F222" s="1013" t="s">
        <v>4</v>
      </c>
      <c r="G222" s="1013" t="s">
        <v>2166</v>
      </c>
      <c r="H222" s="150"/>
      <c r="I222" s="157">
        <v>-3</v>
      </c>
      <c r="J222" s="157">
        <v>-5</v>
      </c>
      <c r="K222" s="157">
        <v>-8</v>
      </c>
      <c r="L222" s="153" t="str">
        <f t="shared" si="20"/>
        <v>4735@</v>
      </c>
      <c r="M222" s="154" t="str">
        <f t="shared" si="21"/>
        <v># DE VTE - P&amp;A B.T. INTERNE CARROS.</v>
      </c>
      <c r="N222" s="155">
        <f>+IF(OR($Q222=Parametres!$G$2,$Q222=Parametres!$G$3),I222,C222)</f>
        <v>-3</v>
      </c>
      <c r="O222" s="155">
        <f>+IF(OR($Q222=Parametres!$G$2,$Q222=Parametres!$G$3),J222,D222)</f>
        <v>-5</v>
      </c>
      <c r="P222" s="155">
        <f>+IF(OR($Q222=Parametres!$G$2,$Q222=Parametres!$G$3),K222,E222)</f>
        <v>-8</v>
      </c>
      <c r="Q222" s="154" t="str">
        <f t="shared" si="22"/>
        <v>10-Compte compteur</v>
      </c>
      <c r="R222" s="153" t="str">
        <f t="shared" si="23"/>
        <v>4735</v>
      </c>
      <c r="S222" s="154">
        <f t="shared" si="24"/>
        <v>0</v>
      </c>
      <c r="T222" s="156" t="str">
        <f>+VLOOKUP($L222,Data_Validation!$A:$D,1,0)</f>
        <v>4735@</v>
      </c>
      <c r="U222" s="156" t="str">
        <f>+VLOOKUP($L222,Data_Validation!$A:$D,3,0)</f>
        <v>Pièces</v>
      </c>
      <c r="V222" s="156" t="str">
        <f>+VLOOKUP($L222,Data_Validation!$A:$D,4,0)</f>
        <v>Pièces Ro Carrosserie</v>
      </c>
      <c r="W222" s="156" t="str">
        <f>+VLOOKUP($L222,Data_Validation!$A:$E,5,0)</f>
        <v>NB</v>
      </c>
      <c r="X222" s="156">
        <f>+VLOOKUP($L222,Data_Validation!$A:$F,6,0)</f>
        <v>0</v>
      </c>
    </row>
    <row r="223" spans="1:24" ht="15" hidden="1" customHeight="1">
      <c r="A223" s="1013" t="s">
        <v>2082</v>
      </c>
      <c r="B223" s="1013" t="s">
        <v>2083</v>
      </c>
      <c r="C223" s="1015">
        <v>-20421.259999999998</v>
      </c>
      <c r="D223" s="1015">
        <v>-13350.72</v>
      </c>
      <c r="E223" s="1015">
        <v>-33771.980000000003</v>
      </c>
      <c r="F223" s="1013" t="s">
        <v>285</v>
      </c>
      <c r="G223" s="1013" t="s">
        <v>2083</v>
      </c>
      <c r="H223" s="150"/>
      <c r="I223" s="157"/>
      <c r="J223" s="157"/>
      <c r="K223" s="157"/>
      <c r="L223" s="153" t="str">
        <f t="shared" si="20"/>
        <v>4761</v>
      </c>
      <c r="M223" s="154" t="str">
        <f t="shared" si="21"/>
        <v>VTE - P&amp;A VW COMPTOIR - DETAIL</v>
      </c>
      <c r="N223" s="155">
        <f>+IF(OR($Q223=Parametres!$G$2,$Q223=Parametres!$G$3),I223,C223)</f>
        <v>-20421.259999999998</v>
      </c>
      <c r="O223" s="575">
        <f>+IF(OR($Q223=Parametres!$G$2,$Q223=Parametres!$G$3),J223,D223)</f>
        <v>-13350.72</v>
      </c>
      <c r="P223" s="155">
        <f>+IF(OR($Q223=Parametres!$G$2,$Q223=Parametres!$G$3),K223,E223)</f>
        <v>-33771.980000000003</v>
      </c>
      <c r="Q223" s="154" t="str">
        <f t="shared" si="22"/>
        <v>5-Ventes</v>
      </c>
      <c r="R223" s="153" t="str">
        <f t="shared" si="23"/>
        <v>4761</v>
      </c>
      <c r="S223" s="154">
        <f t="shared" si="24"/>
        <v>0</v>
      </c>
      <c r="T223" s="156" t="str">
        <f>+VLOOKUP($L223,Data_Validation!$A:$D,1,0)</f>
        <v>4761</v>
      </c>
      <c r="U223" s="156" t="str">
        <f>+VLOOKUP($L223,Data_Validation!$A:$D,3,0)</f>
        <v>Pièces</v>
      </c>
      <c r="V223" s="156" t="str">
        <f>+VLOOKUP($L223,Data_Validation!$A:$D,4,0)</f>
        <v>Ventes Détails</v>
      </c>
      <c r="W223" s="156" t="str">
        <f>+VLOOKUP($L223,Data_Validation!$A:$E,5,0)</f>
        <v>$</v>
      </c>
      <c r="X223" s="156" t="str">
        <f>+VLOOKUP($L223,Data_Validation!$A:$F,6,0)</f>
        <v>Oui</v>
      </c>
    </row>
    <row r="224" spans="1:24" ht="15" hidden="1" customHeight="1">
      <c r="A224" s="1013" t="s">
        <v>2554</v>
      </c>
      <c r="B224" s="1013" t="s">
        <v>2555</v>
      </c>
      <c r="C224" s="1015"/>
      <c r="D224" s="1015"/>
      <c r="E224" s="1015"/>
      <c r="F224" s="1013" t="s">
        <v>4</v>
      </c>
      <c r="G224" s="1013" t="s">
        <v>2083</v>
      </c>
      <c r="H224" s="949"/>
      <c r="I224" s="948">
        <v>-289</v>
      </c>
      <c r="J224" s="948">
        <v>-159</v>
      </c>
      <c r="K224" s="948">
        <v>-448</v>
      </c>
      <c r="L224" s="153" t="str">
        <f t="shared" si="20"/>
        <v>4761@</v>
      </c>
      <c r="M224" s="154" t="str">
        <f t="shared" si="21"/>
        <v>PIECES-COMPTOIR-DETAIL</v>
      </c>
      <c r="N224" s="155">
        <f>+IF(OR($Q224=Parametres!$G$2,$Q224=Parametres!$G$3),I224,C224)</f>
        <v>-289</v>
      </c>
      <c r="O224" s="575">
        <f>+IF(OR($Q224=Parametres!$G$2,$Q224=Parametres!$G$3),J224,D224)</f>
        <v>-159</v>
      </c>
      <c r="P224" s="155">
        <f>+IF(OR($Q224=Parametres!$G$2,$Q224=Parametres!$G$3),K224,E224)</f>
        <v>-448</v>
      </c>
      <c r="Q224" s="154" t="str">
        <f t="shared" si="22"/>
        <v>10-Compte compteur</v>
      </c>
      <c r="R224" s="153" t="str">
        <f t="shared" si="23"/>
        <v>4761</v>
      </c>
      <c r="S224" s="154">
        <f t="shared" si="24"/>
        <v>0</v>
      </c>
      <c r="T224" s="156" t="str">
        <f>+VLOOKUP($L224,Data_Validation!$A:$D,1,0)</f>
        <v>4761@</v>
      </c>
      <c r="U224" s="156" t="str">
        <f>+VLOOKUP($L224,Data_Validation!$A:$D,3,0)</f>
        <v>Pièces</v>
      </c>
      <c r="V224" s="156" t="str">
        <f>+VLOOKUP($L224,Data_Validation!$A:$D,4,0)</f>
        <v>Ventes Détails</v>
      </c>
      <c r="W224" s="156" t="str">
        <f>+VLOOKUP($L224,Data_Validation!$A:$E,5,0)</f>
        <v>NB</v>
      </c>
      <c r="X224" s="156">
        <f>+VLOOKUP($L224,Data_Validation!$A:$F,6,0)</f>
        <v>0</v>
      </c>
    </row>
    <row r="225" spans="1:24" ht="15.75" hidden="1" customHeight="1">
      <c r="A225" s="1013" t="s">
        <v>2045</v>
      </c>
      <c r="B225" s="1013" t="s">
        <v>2046</v>
      </c>
      <c r="C225" s="1015">
        <v>-75974.509999999995</v>
      </c>
      <c r="D225" s="1015">
        <v>-51046.5</v>
      </c>
      <c r="E225" s="1015">
        <v>-127021.01</v>
      </c>
      <c r="F225" s="1013" t="s">
        <v>285</v>
      </c>
      <c r="G225" s="1013" t="s">
        <v>2046</v>
      </c>
      <c r="H225" s="150"/>
      <c r="I225" s="157"/>
      <c r="J225" s="157"/>
      <c r="K225" s="157"/>
      <c r="L225" s="153" t="str">
        <f t="shared" si="20"/>
        <v>4763</v>
      </c>
      <c r="M225" s="154" t="str">
        <f t="shared" si="21"/>
        <v>VTE - P&amp;A VW COMPTOIR GROS - ECHANGE</v>
      </c>
      <c r="N225" s="155">
        <f>+IF(OR($Q225=Parametres!$G$2,$Q225=Parametres!$G$3),I225,C225)</f>
        <v>-75974.509999999995</v>
      </c>
      <c r="O225" s="575">
        <f>+IF(OR($Q225=Parametres!$G$2,$Q225=Parametres!$G$3),J225,D225)</f>
        <v>-51046.5</v>
      </c>
      <c r="P225" s="155">
        <f>+IF(OR($Q225=Parametres!$G$2,$Q225=Parametres!$G$3),K225,E225)</f>
        <v>-127021.01</v>
      </c>
      <c r="Q225" s="154" t="str">
        <f t="shared" si="22"/>
        <v>5-Ventes</v>
      </c>
      <c r="R225" s="153" t="str">
        <f t="shared" si="23"/>
        <v>4763</v>
      </c>
      <c r="S225" s="154">
        <f t="shared" si="24"/>
        <v>0</v>
      </c>
      <c r="T225" s="156" t="str">
        <f>+VLOOKUP($L225,Data_Validation!$A:$D,1,0)</f>
        <v>4763</v>
      </c>
      <c r="U225" s="156" t="str">
        <f>+VLOOKUP($L225,Data_Validation!$A:$D,3,0)</f>
        <v>Pièces</v>
      </c>
      <c r="V225" s="156" t="str">
        <f>+VLOOKUP($L225,Data_Validation!$A:$D,4,0)</f>
        <v>Ventes de Gros</v>
      </c>
      <c r="W225" s="156" t="str">
        <f>+VLOOKUP($L225,Data_Validation!$A:$E,5,0)</f>
        <v>$</v>
      </c>
      <c r="X225" s="156" t="str">
        <f>+VLOOKUP($L225,Data_Validation!$A:$F,6,0)</f>
        <v>Oui</v>
      </c>
    </row>
    <row r="226" spans="1:24" ht="15" hidden="1" customHeight="1">
      <c r="A226" s="1013" t="s">
        <v>2556</v>
      </c>
      <c r="B226" s="1013" t="s">
        <v>2557</v>
      </c>
      <c r="C226" s="1015"/>
      <c r="D226" s="1015"/>
      <c r="E226" s="1015"/>
      <c r="F226" s="1013" t="s">
        <v>4</v>
      </c>
      <c r="G226" s="1013" t="s">
        <v>2046</v>
      </c>
      <c r="H226" s="949"/>
      <c r="I226" s="948">
        <v>-329</v>
      </c>
      <c r="J226" s="948">
        <v>-185</v>
      </c>
      <c r="K226" s="948">
        <v>-514</v>
      </c>
      <c r="L226" s="153" t="str">
        <f t="shared" si="20"/>
        <v>4763@</v>
      </c>
      <c r="M226" s="154" t="str">
        <f t="shared" si="21"/>
        <v>PIECES-COMPTOIR-COMM. GROS</v>
      </c>
      <c r="N226" s="155">
        <f>+IF(OR($Q226=Parametres!$G$2,$Q226=Parametres!$G$3),I226,C226)</f>
        <v>-329</v>
      </c>
      <c r="O226" s="575">
        <f>+IF(OR($Q226=Parametres!$G$2,$Q226=Parametres!$G$3),J226,D226)</f>
        <v>-185</v>
      </c>
      <c r="P226" s="155">
        <f>+IF(OR($Q226=Parametres!$G$2,$Q226=Parametres!$G$3),K226,E226)</f>
        <v>-514</v>
      </c>
      <c r="Q226" s="154" t="str">
        <f t="shared" si="22"/>
        <v>10-Compte compteur</v>
      </c>
      <c r="R226" s="153" t="str">
        <f t="shared" si="23"/>
        <v>4763</v>
      </c>
      <c r="S226" s="154">
        <f t="shared" si="24"/>
        <v>0</v>
      </c>
      <c r="T226" s="156" t="str">
        <f>+VLOOKUP($L226,Data_Validation!$A:$D,1,0)</f>
        <v>4763@</v>
      </c>
      <c r="U226" s="156" t="str">
        <f>+VLOOKUP($L226,Data_Validation!$A:$D,3,0)</f>
        <v>Pièces</v>
      </c>
      <c r="V226" s="156" t="str">
        <f>+VLOOKUP($L226,Data_Validation!$A:$D,4,0)</f>
        <v>Ventes de Gros</v>
      </c>
      <c r="W226" s="156" t="str">
        <f>+VLOOKUP($L226,Data_Validation!$A:$E,5,0)</f>
        <v>NB</v>
      </c>
      <c r="X226" s="156">
        <f>+VLOOKUP($L226,Data_Validation!$A:$F,6,0)</f>
        <v>0</v>
      </c>
    </row>
    <row r="227" spans="1:24" ht="15" hidden="1" customHeight="1">
      <c r="A227" s="1013" t="s">
        <v>2034</v>
      </c>
      <c r="B227" s="1013" t="s">
        <v>2035</v>
      </c>
      <c r="C227" s="1015">
        <v>-42965</v>
      </c>
      <c r="D227" s="1015">
        <v>-28202.46</v>
      </c>
      <c r="E227" s="1015">
        <v>-71167.460000000006</v>
      </c>
      <c r="F227" s="1013" t="s">
        <v>285</v>
      </c>
      <c r="G227" s="1013" t="s">
        <v>2035</v>
      </c>
      <c r="H227" s="150"/>
      <c r="I227" s="157"/>
      <c r="J227" s="157"/>
      <c r="K227" s="157"/>
      <c r="L227" s="153" t="str">
        <f t="shared" ref="L227:L239" si="25">+B227</f>
        <v>4781</v>
      </c>
      <c r="M227" s="154" t="str">
        <f t="shared" ref="M227:M239" si="26">+A227</f>
        <v>VENTES PNEUS</v>
      </c>
      <c r="N227" s="155">
        <f>+IF(OR($Q227=Parametres!$G$2,$Q227=Parametres!$G$3),I227,C227)</f>
        <v>-42965</v>
      </c>
      <c r="O227" s="155">
        <f>+IF(OR($Q227=Parametres!$G$2,$Q227=Parametres!$G$3),J227,D227)</f>
        <v>-28202.46</v>
      </c>
      <c r="P227" s="155">
        <f>+IF(OR($Q227=Parametres!$G$2,$Q227=Parametres!$G$3),K227,E227)</f>
        <v>-71167.460000000006</v>
      </c>
      <c r="Q227" s="154" t="str">
        <f t="shared" ref="Q227:Q239" si="27">+F227</f>
        <v>5-Ventes</v>
      </c>
      <c r="R227" s="153" t="str">
        <f t="shared" ref="R227:R239" si="28">+G227</f>
        <v>4781</v>
      </c>
      <c r="S227" s="154">
        <f t="shared" ref="S227:S239" si="29">+H227</f>
        <v>0</v>
      </c>
      <c r="T227" s="156" t="str">
        <f>+VLOOKUP($L227,Data_Validation!$A:$D,1,0)</f>
        <v>4781</v>
      </c>
      <c r="U227" s="156" t="str">
        <f>+VLOOKUP($L227,Data_Validation!$A:$D,3,0)</f>
        <v>Pièces</v>
      </c>
      <c r="V227" s="156" t="str">
        <f>+VLOOKUP($L227,Data_Validation!$A:$D,4,0)</f>
        <v>Ventes Pneus</v>
      </c>
      <c r="W227" s="156" t="str">
        <f>+VLOOKUP($L227,Data_Validation!$A:$E,5,0)</f>
        <v>$</v>
      </c>
      <c r="X227" s="156" t="str">
        <f>+VLOOKUP($L227,Data_Validation!$A:$F,6,0)</f>
        <v>Oui</v>
      </c>
    </row>
    <row r="228" spans="1:24" ht="15" hidden="1" customHeight="1">
      <c r="A228" s="1013" t="s">
        <v>2034</v>
      </c>
      <c r="B228" s="1013" t="s">
        <v>2558</v>
      </c>
      <c r="C228" s="1015"/>
      <c r="D228" s="1015"/>
      <c r="E228" s="1015"/>
      <c r="F228" s="1013" t="s">
        <v>4</v>
      </c>
      <c r="G228" s="1013" t="s">
        <v>2035</v>
      </c>
      <c r="H228" s="150"/>
      <c r="I228" s="157">
        <v>-62</v>
      </c>
      <c r="J228" s="157">
        <v>-43</v>
      </c>
      <c r="K228" s="157">
        <v>-105</v>
      </c>
      <c r="L228" s="153" t="str">
        <f t="shared" si="25"/>
        <v>4781@</v>
      </c>
      <c r="M228" s="154" t="str">
        <f t="shared" si="26"/>
        <v>VENTES PNEUS</v>
      </c>
      <c r="N228" s="155">
        <f>+IF(OR($Q228=Parametres!$G$2,$Q228=Parametres!$G$3),I228,C228)</f>
        <v>-62</v>
      </c>
      <c r="O228" s="155">
        <f>+IF(OR($Q228=Parametres!$G$2,$Q228=Parametres!$G$3),J228,D228)</f>
        <v>-43</v>
      </c>
      <c r="P228" s="155">
        <f>+IF(OR($Q228=Parametres!$G$2,$Q228=Parametres!$G$3),K228,E228)</f>
        <v>-105</v>
      </c>
      <c r="Q228" s="154" t="str">
        <f t="shared" si="27"/>
        <v>10-Compte compteur</v>
      </c>
      <c r="R228" s="153" t="str">
        <f t="shared" si="28"/>
        <v>4781</v>
      </c>
      <c r="S228" s="154">
        <f t="shared" si="29"/>
        <v>0</v>
      </c>
      <c r="T228" s="156" t="str">
        <f>+VLOOKUP($L228,Data_Validation!$A:$D,1,0)</f>
        <v>4781@</v>
      </c>
      <c r="U228" s="156" t="str">
        <f>+VLOOKUP($L228,Data_Validation!$A:$D,3,0)</f>
        <v>Pièces</v>
      </c>
      <c r="V228" s="156" t="str">
        <f>+VLOOKUP($L228,Data_Validation!$A:$D,4,0)</f>
        <v>Ventes Pneus</v>
      </c>
      <c r="W228" s="156" t="str">
        <f>+VLOOKUP($L228,Data_Validation!$A:$E,5,0)</f>
        <v>NB</v>
      </c>
      <c r="X228" s="156">
        <f>+VLOOKUP($L228,Data_Validation!$A:$F,6,0)</f>
        <v>0</v>
      </c>
    </row>
    <row r="229" spans="1:24" ht="15.75" hidden="1" customHeight="1">
      <c r="A229" s="1013" t="s">
        <v>2120</v>
      </c>
      <c r="B229" s="1013" t="s">
        <v>2121</v>
      </c>
      <c r="C229" s="1015">
        <v>-154.94999999999999</v>
      </c>
      <c r="D229" s="1015">
        <v>0</v>
      </c>
      <c r="E229" s="1015">
        <v>-154.94999999999999</v>
      </c>
      <c r="F229" s="1013" t="s">
        <v>285</v>
      </c>
      <c r="G229" s="1013" t="s">
        <v>2035</v>
      </c>
      <c r="H229" s="949"/>
      <c r="I229" s="948"/>
      <c r="J229" s="948"/>
      <c r="K229" s="948"/>
      <c r="L229" s="153" t="str">
        <f t="shared" si="25"/>
        <v>4785</v>
      </c>
      <c r="M229" s="154" t="str">
        <f t="shared" si="26"/>
        <v>VTE - VW PNEUS</v>
      </c>
      <c r="N229" s="155">
        <f>+IF(OR($Q229=Parametres!$G$2,$Q229=Parametres!$G$3),I229,C229)</f>
        <v>-154.94999999999999</v>
      </c>
      <c r="O229" s="575">
        <f>+IF(OR($Q229=Parametres!$G$2,$Q229=Parametres!$G$3),J229,D229)</f>
        <v>0</v>
      </c>
      <c r="P229" s="155">
        <f>+IF(OR($Q229=Parametres!$G$2,$Q229=Parametres!$G$3),K229,E229)</f>
        <v>-154.94999999999999</v>
      </c>
      <c r="Q229" s="154" t="str">
        <f t="shared" si="27"/>
        <v>5-Ventes</v>
      </c>
      <c r="R229" s="153" t="str">
        <f t="shared" si="28"/>
        <v>4781</v>
      </c>
      <c r="S229" s="154">
        <f t="shared" si="29"/>
        <v>0</v>
      </c>
      <c r="T229" s="156" t="str">
        <f>+VLOOKUP($L229,Data_Validation!$A:$D,1,0)</f>
        <v>4785</v>
      </c>
      <c r="U229" s="156" t="str">
        <f>+VLOOKUP($L229,Data_Validation!$A:$D,3,0)</f>
        <v>Pièces</v>
      </c>
      <c r="V229" s="156" t="str">
        <f>+VLOOKUP($L229,Data_Validation!$A:$D,4,0)</f>
        <v>Ventes Pneus</v>
      </c>
      <c r="W229" s="156" t="str">
        <f>+VLOOKUP($L229,Data_Validation!$A:$E,5,0)</f>
        <v>$</v>
      </c>
      <c r="X229" s="156" t="str">
        <f>+VLOOKUP($L229,Data_Validation!$A:$F,6,0)</f>
        <v>Oui</v>
      </c>
    </row>
    <row r="230" spans="1:24" ht="15" hidden="1" customHeight="1">
      <c r="A230" s="1013" t="s">
        <v>2840</v>
      </c>
      <c r="B230" s="1013" t="s">
        <v>2841</v>
      </c>
      <c r="C230" s="1015">
        <v>186768.65</v>
      </c>
      <c r="D230" s="1015">
        <v>208790.57</v>
      </c>
      <c r="E230" s="1015">
        <v>395559.22</v>
      </c>
      <c r="F230" s="1013" t="s">
        <v>424</v>
      </c>
      <c r="G230" s="1013" t="s">
        <v>2026</v>
      </c>
      <c r="H230" s="150"/>
      <c r="I230" s="151"/>
      <c r="J230" s="151"/>
      <c r="K230" s="151"/>
      <c r="L230" s="153" t="str">
        <f t="shared" si="25"/>
        <v>5100</v>
      </c>
      <c r="M230" s="154" t="str">
        <f t="shared" si="26"/>
        <v>C/V - RACHAT DE BAIL</v>
      </c>
      <c r="N230" s="155">
        <f>+IF(OR($Q230=Parametres!$G$2,$Q230=Parametres!$G$3),I230,C230)</f>
        <v>186768.65</v>
      </c>
      <c r="O230" s="155">
        <f>+IF(OR($Q230=Parametres!$G$2,$Q230=Parametres!$G$3),J230,D230)</f>
        <v>208790.57</v>
      </c>
      <c r="P230" s="155">
        <f>+IF(OR($Q230=Parametres!$G$2,$Q230=Parametres!$G$3),K230,E230)</f>
        <v>395559.22</v>
      </c>
      <c r="Q230" s="154" t="str">
        <f t="shared" si="27"/>
        <v>6-Coût des ventes</v>
      </c>
      <c r="R230" s="153" t="str">
        <f t="shared" si="28"/>
        <v>4100</v>
      </c>
      <c r="S230" s="154">
        <f t="shared" si="29"/>
        <v>0</v>
      </c>
      <c r="T230" s="156" t="str">
        <f>+VLOOKUP($L230,Data_Validation!$A:$D,1,0)</f>
        <v>5100</v>
      </c>
      <c r="U230" s="156" t="str">
        <f>+VLOOKUP($L230,Data_Validation!$A:$D,3,0)</f>
        <v>Véhicules neufs</v>
      </c>
      <c r="V230" s="156" t="str">
        <f>+VLOOKUP($L230,Data_Validation!$A:$D,4,0)</f>
        <v>Rachat bail</v>
      </c>
      <c r="W230" s="156" t="str">
        <f>+VLOOKUP($L230,Data_Validation!$A:$E,5,0)</f>
        <v>$</v>
      </c>
      <c r="X230" s="156">
        <f>+VLOOKUP($L230,Data_Validation!$A:$F,6,0)</f>
        <v>0</v>
      </c>
    </row>
    <row r="231" spans="1:24" ht="15" hidden="1" customHeight="1">
      <c r="A231" s="1013" t="s">
        <v>2842</v>
      </c>
      <c r="B231" s="1013" t="s">
        <v>2843</v>
      </c>
      <c r="C231" s="1015">
        <v>206353.03</v>
      </c>
      <c r="D231" s="1015">
        <v>269895.46000000002</v>
      </c>
      <c r="E231" s="1015">
        <v>476248.49</v>
      </c>
      <c r="F231" s="1013" t="s">
        <v>424</v>
      </c>
      <c r="G231" s="1013" t="s">
        <v>2019</v>
      </c>
      <c r="H231" s="949"/>
      <c r="I231" s="948"/>
      <c r="J231" s="948"/>
      <c r="K231" s="948"/>
      <c r="L231" s="153" t="str">
        <f t="shared" si="25"/>
        <v>5107</v>
      </c>
      <c r="M231" s="154" t="str">
        <f t="shared" si="26"/>
        <v>C/V - GOLF</v>
      </c>
      <c r="N231" s="155">
        <f>+IF(OR($Q231=Parametres!$G$2,$Q231=Parametres!$G$3),I231,C231)</f>
        <v>206353.03</v>
      </c>
      <c r="O231" s="575">
        <f>+IF(OR($Q231=Parametres!$G$2,$Q231=Parametres!$G$3),J231,D231)</f>
        <v>269895.46000000002</v>
      </c>
      <c r="P231" s="155">
        <f>+IF(OR($Q231=Parametres!$G$2,$Q231=Parametres!$G$3),K231,E231)</f>
        <v>476248.49</v>
      </c>
      <c r="Q231" s="154" t="str">
        <f t="shared" si="27"/>
        <v>6-Coût des ventes</v>
      </c>
      <c r="R231" s="153" t="str">
        <f t="shared" si="28"/>
        <v>4107</v>
      </c>
      <c r="S231" s="154">
        <f t="shared" si="29"/>
        <v>0</v>
      </c>
      <c r="T231" s="156" t="str">
        <f>+VLOOKUP($L231,Data_Validation!$A:$D,1,0)</f>
        <v>5107</v>
      </c>
      <c r="U231" s="156" t="str">
        <f>+VLOOKUP($L231,Data_Validation!$A:$D,3,0)</f>
        <v>Véhicules neufs</v>
      </c>
      <c r="V231" s="156" t="str">
        <f>+VLOOKUP($L231,Data_Validation!$A:$D,4,0)</f>
        <v>Autos détail</v>
      </c>
      <c r="W231" s="156" t="str">
        <f>+VLOOKUP($L231,Data_Validation!$A:$E,5,0)</f>
        <v>$</v>
      </c>
      <c r="X231" s="156">
        <f>+VLOOKUP($L231,Data_Validation!$A:$F,6,0)</f>
        <v>0</v>
      </c>
    </row>
    <row r="232" spans="1:24" ht="15" hidden="1" customHeight="1">
      <c r="A232" s="1013" t="s">
        <v>2844</v>
      </c>
      <c r="B232" s="1013" t="s">
        <v>2845</v>
      </c>
      <c r="C232" s="1015">
        <v>250617.31</v>
      </c>
      <c r="D232" s="1015">
        <v>235508.89</v>
      </c>
      <c r="E232" s="1015">
        <v>486126.2</v>
      </c>
      <c r="F232" s="1013" t="s">
        <v>424</v>
      </c>
      <c r="G232" s="1013" t="s">
        <v>2014</v>
      </c>
      <c r="H232" s="150"/>
      <c r="I232" s="157"/>
      <c r="J232" s="157"/>
      <c r="K232" s="157"/>
      <c r="L232" s="153" t="str">
        <f t="shared" si="25"/>
        <v>5111</v>
      </c>
      <c r="M232" s="154" t="str">
        <f t="shared" si="26"/>
        <v>C/V - JETTA</v>
      </c>
      <c r="N232" s="155">
        <f>+IF(OR($Q232=Parametres!$G$2,$Q232=Parametres!$G$3),I232,C232)</f>
        <v>250617.31</v>
      </c>
      <c r="O232" s="155">
        <f>+IF(OR($Q232=Parametres!$G$2,$Q232=Parametres!$G$3),J232,D232)</f>
        <v>235508.89</v>
      </c>
      <c r="P232" s="155">
        <f>+IF(OR($Q232=Parametres!$G$2,$Q232=Parametres!$G$3),K232,E232)</f>
        <v>486126.2</v>
      </c>
      <c r="Q232" s="154" t="str">
        <f t="shared" si="27"/>
        <v>6-Coût des ventes</v>
      </c>
      <c r="R232" s="153" t="str">
        <f t="shared" si="28"/>
        <v>4111</v>
      </c>
      <c r="S232" s="154">
        <f t="shared" si="29"/>
        <v>0</v>
      </c>
      <c r="T232" s="156" t="str">
        <f>+VLOOKUP($L232,Data_Validation!$A:$D,1,0)</f>
        <v>5111</v>
      </c>
      <c r="U232" s="156" t="str">
        <f>+VLOOKUP($L232,Data_Validation!$A:$D,3,0)</f>
        <v>Véhicules neufs</v>
      </c>
      <c r="V232" s="156" t="str">
        <f>+VLOOKUP($L232,Data_Validation!$A:$D,4,0)</f>
        <v>Autos détail</v>
      </c>
      <c r="W232" s="156" t="str">
        <f>+VLOOKUP($L232,Data_Validation!$A:$E,5,0)</f>
        <v>$</v>
      </c>
      <c r="X232" s="156">
        <f>+VLOOKUP($L232,Data_Validation!$A:$F,6,0)</f>
        <v>0</v>
      </c>
    </row>
    <row r="233" spans="1:24" ht="15" hidden="1" customHeight="1">
      <c r="A233" s="1013" t="s">
        <v>2454</v>
      </c>
      <c r="B233" s="1013" t="s">
        <v>2455</v>
      </c>
      <c r="C233" s="1015">
        <v>0</v>
      </c>
      <c r="D233" s="1015">
        <v>-200</v>
      </c>
      <c r="E233" s="1015">
        <v>-200</v>
      </c>
      <c r="F233" s="1013" t="s">
        <v>424</v>
      </c>
      <c r="G233" s="1013" t="s">
        <v>2440</v>
      </c>
      <c r="H233" s="949"/>
      <c r="I233" s="948"/>
      <c r="J233" s="948"/>
      <c r="K233" s="948"/>
      <c r="L233" s="153" t="str">
        <f t="shared" si="25"/>
        <v>5115</v>
      </c>
      <c r="M233" s="154" t="str">
        <f t="shared" si="26"/>
        <v>C/V - PASSAT BERLINE</v>
      </c>
      <c r="N233" s="155">
        <f>+IF(OR($Q233=Parametres!$G$2,$Q233=Parametres!$G$3),I233,C233)</f>
        <v>0</v>
      </c>
      <c r="O233" s="575">
        <f>+IF(OR($Q233=Parametres!$G$2,$Q233=Parametres!$G$3),J233,D233)</f>
        <v>-200</v>
      </c>
      <c r="P233" s="155">
        <f>+IF(OR($Q233=Parametres!$G$2,$Q233=Parametres!$G$3),K233,E233)</f>
        <v>-200</v>
      </c>
      <c r="Q233" s="154" t="str">
        <f t="shared" si="27"/>
        <v>6-Coût des ventes</v>
      </c>
      <c r="R233" s="153" t="str">
        <f t="shared" si="28"/>
        <v>4115</v>
      </c>
      <c r="S233" s="154">
        <f t="shared" si="29"/>
        <v>0</v>
      </c>
      <c r="T233" s="156" t="str">
        <f>+VLOOKUP($L233,Data_Validation!$A:$D,1,0)</f>
        <v>5115</v>
      </c>
      <c r="U233" s="156" t="str">
        <f>+VLOOKUP($L233,Data_Validation!$A:$D,3,0)</f>
        <v>Véhicules neufs</v>
      </c>
      <c r="V233" s="156" t="str">
        <f>+VLOOKUP($L233,Data_Validation!$A:$D,4,0)</f>
        <v>Autos détail</v>
      </c>
      <c r="W233" s="156" t="str">
        <f>+VLOOKUP($L233,Data_Validation!$A:$E,5,0)</f>
        <v>$</v>
      </c>
      <c r="X233" s="156">
        <f>+VLOOKUP($L233,Data_Validation!$A:$F,6,0)</f>
        <v>0</v>
      </c>
    </row>
    <row r="234" spans="1:24" ht="15.75" hidden="1" customHeight="1">
      <c r="A234" s="1013" t="s">
        <v>2850</v>
      </c>
      <c r="B234" s="1013" t="s">
        <v>2851</v>
      </c>
      <c r="C234" s="1015">
        <v>369193.94</v>
      </c>
      <c r="D234" s="1015">
        <v>586538.13</v>
      </c>
      <c r="E234" s="1015">
        <v>955732.07</v>
      </c>
      <c r="F234" s="1013" t="s">
        <v>424</v>
      </c>
      <c r="G234" s="1013" t="s">
        <v>2003</v>
      </c>
      <c r="H234" s="150"/>
      <c r="I234" s="157"/>
      <c r="J234" s="157"/>
      <c r="K234" s="157"/>
      <c r="L234" s="153" t="str">
        <f t="shared" si="25"/>
        <v>5119</v>
      </c>
      <c r="M234" s="154" t="str">
        <f t="shared" si="26"/>
        <v>C/V - ATLAS</v>
      </c>
      <c r="N234" s="155">
        <f>+IF(OR($Q234=Parametres!$G$2,$Q234=Parametres!$G$3),I234,C234)</f>
        <v>369193.94</v>
      </c>
      <c r="O234" s="576">
        <f>+IF(OR($Q234=Parametres!$G$2,$Q234=Parametres!$G$3),J234,D234)</f>
        <v>586538.13</v>
      </c>
      <c r="P234" s="155">
        <f>+IF(OR($Q234=Parametres!$G$2,$Q234=Parametres!$G$3),K234,E234)</f>
        <v>955732.07</v>
      </c>
      <c r="Q234" s="154" t="str">
        <f t="shared" si="27"/>
        <v>6-Coût des ventes</v>
      </c>
      <c r="R234" s="153" t="str">
        <f t="shared" si="28"/>
        <v>4119</v>
      </c>
      <c r="S234" s="154">
        <f t="shared" si="29"/>
        <v>0</v>
      </c>
      <c r="T234" s="156" t="str">
        <f>+VLOOKUP($L234,Data_Validation!$A:$D,1,0)</f>
        <v>5119</v>
      </c>
      <c r="U234" s="156" t="str">
        <f>+VLOOKUP($L234,Data_Validation!$A:$D,3,0)</f>
        <v>Véhicules neufs</v>
      </c>
      <c r="V234" s="156" t="str">
        <f>+VLOOKUP($L234,Data_Validation!$A:$D,4,0)</f>
        <v>Camions détail</v>
      </c>
      <c r="W234" s="156" t="str">
        <f>+VLOOKUP($L234,Data_Validation!$A:$E,5,0)</f>
        <v>$</v>
      </c>
      <c r="X234" s="156">
        <f>+VLOOKUP($L234,Data_Validation!$A:$F,6,0)</f>
        <v>0</v>
      </c>
    </row>
    <row r="235" spans="1:24" ht="15" hidden="1" customHeight="1">
      <c r="A235" s="1013" t="s">
        <v>2911</v>
      </c>
      <c r="B235" s="1013" t="s">
        <v>2912</v>
      </c>
      <c r="C235" s="1015">
        <v>38536.53</v>
      </c>
      <c r="D235" s="1015">
        <v>45080.14</v>
      </c>
      <c r="E235" s="1015">
        <v>83616.67</v>
      </c>
      <c r="F235" s="1013" t="s">
        <v>424</v>
      </c>
      <c r="G235" s="1013" t="s">
        <v>2908</v>
      </c>
      <c r="H235" s="949"/>
      <c r="I235" s="948"/>
      <c r="J235" s="948"/>
      <c r="K235" s="948"/>
      <c r="L235" s="153" t="str">
        <f t="shared" si="25"/>
        <v>5121</v>
      </c>
      <c r="M235" s="154" t="str">
        <f t="shared" si="26"/>
        <v>C/V - ATLAS CROSS SPORT</v>
      </c>
      <c r="N235" s="155">
        <f>+IF(OR($Q235=Parametres!$G$2,$Q235=Parametres!$G$3),I235,C235)</f>
        <v>38536.53</v>
      </c>
      <c r="O235" s="575">
        <f>+IF(OR($Q235=Parametres!$G$2,$Q235=Parametres!$G$3),J235,D235)</f>
        <v>45080.14</v>
      </c>
      <c r="P235" s="155">
        <f>+IF(OR($Q235=Parametres!$G$2,$Q235=Parametres!$G$3),K235,E235)</f>
        <v>83616.67</v>
      </c>
      <c r="Q235" s="154" t="str">
        <f t="shared" si="27"/>
        <v>6-Coût des ventes</v>
      </c>
      <c r="R235" s="153" t="str">
        <f t="shared" si="28"/>
        <v>4121</v>
      </c>
      <c r="S235" s="154">
        <f t="shared" si="29"/>
        <v>0</v>
      </c>
      <c r="T235" s="156" t="str">
        <f>+VLOOKUP($L235,Data_Validation!$A:$D,1,0)</f>
        <v>5121</v>
      </c>
      <c r="U235" s="156" t="str">
        <f>+VLOOKUP($L235,Data_Validation!$A:$D,3,0)</f>
        <v>Véhicules neufs</v>
      </c>
      <c r="V235" s="156" t="str">
        <f>+VLOOKUP($L235,Data_Validation!$A:$D,4,0)</f>
        <v>Camions détail</v>
      </c>
      <c r="W235" s="156" t="str">
        <f>+VLOOKUP($L235,Data_Validation!$A:$E,5,0)</f>
        <v>$</v>
      </c>
      <c r="X235" s="156">
        <f>+VLOOKUP($L235,Data_Validation!$A:$F,6,0)</f>
        <v>0</v>
      </c>
    </row>
    <row r="236" spans="1:24" ht="15" hidden="1" customHeight="1">
      <c r="A236" s="1013" t="s">
        <v>2836</v>
      </c>
      <c r="B236" s="1013" t="s">
        <v>2837</v>
      </c>
      <c r="C236" s="1015">
        <v>143564.84</v>
      </c>
      <c r="D236" s="1015">
        <v>143295.4</v>
      </c>
      <c r="E236" s="1015">
        <v>286860.24</v>
      </c>
      <c r="F236" s="1013" t="s">
        <v>424</v>
      </c>
      <c r="G236" s="1013" t="s">
        <v>2031</v>
      </c>
      <c r="H236" s="150"/>
      <c r="I236" s="157"/>
      <c r="J236" s="157"/>
      <c r="K236" s="157"/>
      <c r="L236" s="153" t="str">
        <f t="shared" si="25"/>
        <v>5127</v>
      </c>
      <c r="M236" s="154" t="str">
        <f t="shared" si="26"/>
        <v>C/V - GOLF GTI</v>
      </c>
      <c r="N236" s="155">
        <f>+IF(OR($Q236=Parametres!$G$2,$Q236=Parametres!$G$3),I236,C236)</f>
        <v>143564.84</v>
      </c>
      <c r="O236" s="155">
        <f>+IF(OR($Q236=Parametres!$G$2,$Q236=Parametres!$G$3),J236,D236)</f>
        <v>143295.4</v>
      </c>
      <c r="P236" s="155">
        <f>+IF(OR($Q236=Parametres!$G$2,$Q236=Parametres!$G$3),K236,E236)</f>
        <v>286860.24</v>
      </c>
      <c r="Q236" s="154" t="str">
        <f t="shared" si="27"/>
        <v>6-Coût des ventes</v>
      </c>
      <c r="R236" s="153" t="str">
        <f t="shared" si="28"/>
        <v>4127</v>
      </c>
      <c r="S236" s="154">
        <f t="shared" si="29"/>
        <v>0</v>
      </c>
      <c r="T236" s="156" t="s">
        <v>2924</v>
      </c>
      <c r="U236" s="156" t="str">
        <f>+VLOOKUP($L236,Data_Validation!$A:$D,3,0)</f>
        <v>Véhicules neufs</v>
      </c>
      <c r="V236" s="156" t="str">
        <f>+VLOOKUP($L236,Data_Validation!$A:$D,4,0)</f>
        <v>Autos détail</v>
      </c>
      <c r="W236" s="156" t="str">
        <f>+VLOOKUP($L236,Data_Validation!$A:$E,5,0)</f>
        <v>$</v>
      </c>
      <c r="X236" s="156">
        <f>+VLOOKUP($L236,Data_Validation!$A:$F,6,0)</f>
        <v>0</v>
      </c>
    </row>
    <row r="237" spans="1:24" ht="15" hidden="1" customHeight="1">
      <c r="A237" s="1013" t="s">
        <v>2855</v>
      </c>
      <c r="B237" s="1013" t="s">
        <v>2856</v>
      </c>
      <c r="C237" s="1015">
        <v>983145.49</v>
      </c>
      <c r="D237" s="1015">
        <v>890512.65</v>
      </c>
      <c r="E237" s="1015">
        <v>1873658.14</v>
      </c>
      <c r="F237" s="1013" t="s">
        <v>424</v>
      </c>
      <c r="G237" s="1013" t="s">
        <v>1999</v>
      </c>
      <c r="H237" s="949"/>
      <c r="I237" s="948"/>
      <c r="J237" s="948"/>
      <c r="K237" s="948"/>
      <c r="L237" s="153" t="str">
        <f t="shared" si="25"/>
        <v>5131</v>
      </c>
      <c r="M237" s="154" t="str">
        <f t="shared" si="26"/>
        <v>C/V - TIGUAN LWB</v>
      </c>
      <c r="N237" s="155">
        <f>+IF(OR($Q237=Parametres!$G$2,$Q237=Parametres!$G$3),I237,C237)</f>
        <v>983145.49</v>
      </c>
      <c r="O237" s="575">
        <f>+IF(OR($Q237=Parametres!$G$2,$Q237=Parametres!$G$3),J237,D237)</f>
        <v>890512.65</v>
      </c>
      <c r="P237" s="155">
        <f>+IF(OR($Q237=Parametres!$G$2,$Q237=Parametres!$G$3),K237,E237)</f>
        <v>1873658.14</v>
      </c>
      <c r="Q237" s="154" t="str">
        <f t="shared" si="27"/>
        <v>6-Coût des ventes</v>
      </c>
      <c r="R237" s="153" t="str">
        <f t="shared" si="28"/>
        <v>4131</v>
      </c>
      <c r="S237" s="154">
        <f t="shared" si="29"/>
        <v>0</v>
      </c>
      <c r="T237" s="156" t="str">
        <f>+VLOOKUP($L237,Data_Validation!$A:$D,1,0)</f>
        <v>5131</v>
      </c>
      <c r="U237" s="156" t="str">
        <f>+VLOOKUP($L237,Data_Validation!$A:$D,3,0)</f>
        <v>Véhicules neufs</v>
      </c>
      <c r="V237" s="156" t="str">
        <f>+VLOOKUP($L237,Data_Validation!$A:$D,4,0)</f>
        <v>Camions détail</v>
      </c>
      <c r="W237" s="156" t="str">
        <f>+VLOOKUP($L237,Data_Validation!$A:$E,5,0)</f>
        <v>$</v>
      </c>
      <c r="X237" s="156">
        <f>+VLOOKUP($L237,Data_Validation!$A:$F,6,0)</f>
        <v>0</v>
      </c>
    </row>
    <row r="238" spans="1:24" ht="15.75" hidden="1" customHeight="1">
      <c r="A238" s="1013" t="s">
        <v>2838</v>
      </c>
      <c r="B238" s="1013" t="s">
        <v>2839</v>
      </c>
      <c r="C238" s="1015">
        <v>31811.41</v>
      </c>
      <c r="D238" s="1015">
        <v>319751.94</v>
      </c>
      <c r="E238" s="1015">
        <v>351563.35</v>
      </c>
      <c r="F238" s="1013" t="s">
        <v>424</v>
      </c>
      <c r="G238" s="1013" t="s">
        <v>2506</v>
      </c>
      <c r="H238" s="150"/>
      <c r="I238" s="157"/>
      <c r="J238" s="157"/>
      <c r="K238" s="157"/>
      <c r="L238" s="153" t="str">
        <f t="shared" si="25"/>
        <v>5135</v>
      </c>
      <c r="M238" s="154" t="str">
        <f t="shared" si="26"/>
        <v>C/V - EGOLF</v>
      </c>
      <c r="N238" s="155">
        <f>+IF(OR($Q238=Parametres!$G$2,$Q238=Parametres!$G$3),I238,C238)</f>
        <v>31811.41</v>
      </c>
      <c r="O238" s="576">
        <f>+IF(OR($Q238=Parametres!$G$2,$Q238=Parametres!$G$3),J238,D238)</f>
        <v>319751.94</v>
      </c>
      <c r="P238" s="155">
        <f>+IF(OR($Q238=Parametres!$G$2,$Q238=Parametres!$G$3),K238,E238)</f>
        <v>351563.35</v>
      </c>
      <c r="Q238" s="154" t="str">
        <f t="shared" si="27"/>
        <v>6-Coût des ventes</v>
      </c>
      <c r="R238" s="153" t="str">
        <f t="shared" si="28"/>
        <v>84135</v>
      </c>
      <c r="S238" s="154">
        <f t="shared" si="29"/>
        <v>0</v>
      </c>
      <c r="T238" s="156" t="str">
        <f>+VLOOKUP($L238,Data_Validation!$A:$D,1,0)</f>
        <v>5135</v>
      </c>
      <c r="U238" s="156" t="str">
        <f>+VLOOKUP($L238,Data_Validation!$A:$D,3,0)</f>
        <v>Véhicules neufs</v>
      </c>
      <c r="V238" s="156" t="str">
        <f>+VLOOKUP($L238,Data_Validation!$A:$D,4,0)</f>
        <v>Autos détail</v>
      </c>
      <c r="W238" s="156" t="str">
        <f>+VLOOKUP($L238,Data_Validation!$A:$E,5,0)</f>
        <v>$</v>
      </c>
      <c r="X238" s="156">
        <f>+VLOOKUP($L238,Data_Validation!$A:$F,6,0)</f>
        <v>0</v>
      </c>
    </row>
    <row r="239" spans="1:24" ht="15" hidden="1" customHeight="1">
      <c r="A239" s="1013" t="s">
        <v>2456</v>
      </c>
      <c r="B239" s="1013" t="s">
        <v>2457</v>
      </c>
      <c r="C239" s="1015">
        <v>147898</v>
      </c>
      <c r="D239" s="1015">
        <v>102850.75</v>
      </c>
      <c r="E239" s="1015">
        <v>250748.75</v>
      </c>
      <c r="F239" s="1013" t="s">
        <v>424</v>
      </c>
      <c r="G239" s="1013" t="s">
        <v>2442</v>
      </c>
      <c r="H239" s="949"/>
      <c r="I239" s="948"/>
      <c r="J239" s="948"/>
      <c r="K239" s="948"/>
      <c r="L239" s="153" t="str">
        <f t="shared" si="25"/>
        <v>5137</v>
      </c>
      <c r="M239" s="154" t="str">
        <f t="shared" si="26"/>
        <v>C/V - VW FLOTTE/VENTE ENTR/EMPLOYE/VEH DEMONS</v>
      </c>
      <c r="N239" s="155">
        <f>+IF(OR($Q239=Parametres!$G$2,$Q239=Parametres!$G$3),I239,C239)</f>
        <v>147898</v>
      </c>
      <c r="O239" s="575">
        <f>+IF(OR($Q239=Parametres!$G$2,$Q239=Parametres!$G$3),J239,D239)</f>
        <v>102850.75</v>
      </c>
      <c r="P239" s="155">
        <f>+IF(OR($Q239=Parametres!$G$2,$Q239=Parametres!$G$3),K239,E239)</f>
        <v>250748.75</v>
      </c>
      <c r="Q239" s="154" t="str">
        <f t="shared" si="27"/>
        <v>6-Coût des ventes</v>
      </c>
      <c r="R239" s="153" t="str">
        <f t="shared" si="28"/>
        <v>4137</v>
      </c>
      <c r="S239" s="154">
        <f t="shared" si="29"/>
        <v>0</v>
      </c>
      <c r="T239" s="156" t="str">
        <f>+VLOOKUP($L239,Data_Validation!$A:$D,1,0)</f>
        <v>5137</v>
      </c>
      <c r="U239" s="156" t="str">
        <f>+VLOOKUP($L239,Data_Validation!$A:$D,3,0)</f>
        <v>Véhicules neufs</v>
      </c>
      <c r="V239" s="156" t="str">
        <f>+VLOOKUP($L239,Data_Validation!$A:$D,4,0)</f>
        <v>Flottes</v>
      </c>
      <c r="W239" s="156" t="str">
        <f>+VLOOKUP($L239,Data_Validation!$A:$E,5,0)</f>
        <v>$</v>
      </c>
      <c r="X239" s="156">
        <f>+VLOOKUP($L239,Data_Validation!$A:$F,6,0)</f>
        <v>0</v>
      </c>
    </row>
    <row r="240" spans="1:24" ht="15" hidden="1" customHeight="1">
      <c r="A240" s="1013" t="s">
        <v>2456</v>
      </c>
      <c r="B240" s="1013" t="s">
        <v>2849</v>
      </c>
      <c r="C240" s="1015">
        <v>504433.55</v>
      </c>
      <c r="D240" s="1015">
        <v>252811.72</v>
      </c>
      <c r="E240" s="1015">
        <v>757245.27</v>
      </c>
      <c r="F240" s="1013" t="s">
        <v>424</v>
      </c>
      <c r="G240" s="1013" t="s">
        <v>2005</v>
      </c>
      <c r="H240" s="150"/>
      <c r="I240" s="157"/>
      <c r="J240" s="157"/>
      <c r="K240" s="157"/>
      <c r="L240" s="153" t="str">
        <f t="shared" ref="L240:L257" si="30">+B240</f>
        <v>5139</v>
      </c>
      <c r="M240" s="154" t="str">
        <f t="shared" ref="M240:M257" si="31">+A240</f>
        <v>C/V - VW FLOTTE/VENTE ENTR/EMPLOYE/VEH DEMONS</v>
      </c>
      <c r="N240" s="155">
        <f>+IF(OR($Q240=Parametres!$G$2,$Q240=Parametres!$G$3),I240,C240)</f>
        <v>504433.55</v>
      </c>
      <c r="O240" s="575">
        <f>+IF(OR($Q240=Parametres!$G$2,$Q240=Parametres!$G$3),J240,D240)</f>
        <v>252811.72</v>
      </c>
      <c r="P240" s="155">
        <f>+IF(OR($Q240=Parametres!$G$2,$Q240=Parametres!$G$3),K240,E240)</f>
        <v>757245.27</v>
      </c>
      <c r="Q240" s="154" t="str">
        <f t="shared" ref="Q240:Q257" si="32">+F240</f>
        <v>6-Coût des ventes</v>
      </c>
      <c r="R240" s="153" t="str">
        <f t="shared" ref="R240:R257" si="33">+G240</f>
        <v>4139</v>
      </c>
      <c r="S240" s="154">
        <f t="shared" ref="S240:S257" si="34">+H240</f>
        <v>0</v>
      </c>
      <c r="T240" s="156" t="str">
        <f>+VLOOKUP($L240,Data_Validation!$A:$D,1,0)</f>
        <v>5139</v>
      </c>
      <c r="U240" s="156" t="str">
        <f>+VLOOKUP($L240,Data_Validation!$A:$D,3,0)</f>
        <v>Véhicules neufs</v>
      </c>
      <c r="V240" s="156" t="str">
        <f>+VLOOKUP($L240,Data_Validation!$A:$D,4,0)</f>
        <v>Ex-Démos et courtoisies</v>
      </c>
      <c r="W240" s="156" t="str">
        <f>+VLOOKUP($L240,Data_Validation!$A:$E,5,0)</f>
        <v>$</v>
      </c>
      <c r="X240" s="156">
        <f>+VLOOKUP($L240,Data_Validation!$A:$F,6,0)</f>
        <v>0</v>
      </c>
    </row>
    <row r="241" spans="1:24" ht="15" hidden="1" customHeight="1">
      <c r="A241" s="1013" t="s">
        <v>2852</v>
      </c>
      <c r="B241" s="1013" t="s">
        <v>2853</v>
      </c>
      <c r="C241" s="1015">
        <v>827562.76</v>
      </c>
      <c r="D241" s="1015">
        <v>746222.9</v>
      </c>
      <c r="E241" s="1015">
        <v>1573785.66</v>
      </c>
      <c r="F241" s="1013" t="s">
        <v>424</v>
      </c>
      <c r="G241" s="1013" t="s">
        <v>2001</v>
      </c>
      <c r="H241" s="949"/>
      <c r="I241" s="948"/>
      <c r="J241" s="948"/>
      <c r="K241" s="948"/>
      <c r="L241" s="153" t="str">
        <f t="shared" si="30"/>
        <v>5201</v>
      </c>
      <c r="M241" s="154" t="str">
        <f t="shared" si="31"/>
        <v>C/V - VEH.USAGE VW DETAIL CERTIFIE</v>
      </c>
      <c r="N241" s="155">
        <f>+IF(OR($Q241=Parametres!$G$2,$Q241=Parametres!$G$3),I241,C241)</f>
        <v>827562.76</v>
      </c>
      <c r="O241" s="575">
        <f>+IF(OR($Q241=Parametres!$G$2,$Q241=Parametres!$G$3),J241,D241)</f>
        <v>746222.9</v>
      </c>
      <c r="P241" s="155">
        <f>+IF(OR($Q241=Parametres!$G$2,$Q241=Parametres!$G$3),K241,E241)</f>
        <v>1573785.66</v>
      </c>
      <c r="Q241" s="154" t="str">
        <f t="shared" si="32"/>
        <v>6-Coût des ventes</v>
      </c>
      <c r="R241" s="153" t="str">
        <f t="shared" si="33"/>
        <v>4201</v>
      </c>
      <c r="S241" s="154">
        <f t="shared" si="34"/>
        <v>0</v>
      </c>
      <c r="T241" s="156" t="str">
        <f>+VLOOKUP($L241,Data_Validation!$A:$D,1,0)</f>
        <v>5201</v>
      </c>
      <c r="U241" s="156" t="str">
        <f>+VLOOKUP($L241,Data_Validation!$A:$D,3,0)</f>
        <v>Véhicules usagés</v>
      </c>
      <c r="V241" s="156" t="str">
        <f>+VLOOKUP($L241,Data_Validation!$A:$D,4,0)</f>
        <v>Certifié</v>
      </c>
      <c r="W241" s="156" t="str">
        <f>+VLOOKUP($L241,Data_Validation!$A:$E,5,0)</f>
        <v>$</v>
      </c>
      <c r="X241" s="156">
        <f>+VLOOKUP($L241,Data_Validation!$A:$F,6,0)</f>
        <v>0</v>
      </c>
    </row>
    <row r="242" spans="1:24" ht="15" hidden="1" customHeight="1">
      <c r="A242" s="1013" t="s">
        <v>2830</v>
      </c>
      <c r="B242" s="1013" t="s">
        <v>2831</v>
      </c>
      <c r="C242" s="1015">
        <v>83920.27</v>
      </c>
      <c r="D242" s="1015">
        <v>77313.600000000006</v>
      </c>
      <c r="E242" s="1015">
        <v>161233.87</v>
      </c>
      <c r="F242" s="1013" t="s">
        <v>424</v>
      </c>
      <c r="G242" s="1013" t="s">
        <v>2001</v>
      </c>
      <c r="H242" s="150"/>
      <c r="I242" s="157"/>
      <c r="J242" s="157"/>
      <c r="K242" s="157"/>
      <c r="L242" s="153" t="str">
        <f t="shared" si="30"/>
        <v>5203</v>
      </c>
      <c r="M242" s="154" t="str">
        <f t="shared" si="31"/>
        <v>C/V - RECOND USAGE VW CERT.</v>
      </c>
      <c r="N242" s="155">
        <f>+IF(OR($Q242=Parametres!$G$2,$Q242=Parametres!$G$3),I242,C242)</f>
        <v>83920.27</v>
      </c>
      <c r="O242" s="575">
        <f>+IF(OR($Q242=Parametres!$G$2,$Q242=Parametres!$G$3),J242,D242)</f>
        <v>77313.600000000006</v>
      </c>
      <c r="P242" s="155">
        <f>+IF(OR($Q242=Parametres!$G$2,$Q242=Parametres!$G$3),K242,E242)</f>
        <v>161233.87</v>
      </c>
      <c r="Q242" s="154" t="str">
        <f t="shared" si="32"/>
        <v>6-Coût des ventes</v>
      </c>
      <c r="R242" s="153" t="str">
        <f t="shared" si="33"/>
        <v>4201</v>
      </c>
      <c r="S242" s="154">
        <f t="shared" si="34"/>
        <v>0</v>
      </c>
      <c r="T242" s="156" t="str">
        <f>+VLOOKUP($L242,Data_Validation!$A:$D,1,0)</f>
        <v>5203</v>
      </c>
      <c r="U242" s="156" t="str">
        <f>+VLOOKUP($L242,Data_Validation!$A:$D,3,0)</f>
        <v>Véhicules usagés</v>
      </c>
      <c r="V242" s="156" t="str">
        <f>+VLOOKUP($L242,Data_Validation!$A:$D,4,0)</f>
        <v>Certifié</v>
      </c>
      <c r="W242" s="156" t="str">
        <f>+VLOOKUP($L242,Data_Validation!$A:$E,5,0)</f>
        <v>$</v>
      </c>
      <c r="X242" s="156">
        <f>+VLOOKUP($L242,Data_Validation!$A:$F,6,0)</f>
        <v>0</v>
      </c>
    </row>
    <row r="243" spans="1:24" ht="15.75" hidden="1" customHeight="1">
      <c r="A243" s="1013" t="s">
        <v>2038</v>
      </c>
      <c r="B243" s="1013" t="s">
        <v>2827</v>
      </c>
      <c r="C243" s="1015">
        <v>28215</v>
      </c>
      <c r="D243" s="1015">
        <v>0</v>
      </c>
      <c r="E243" s="1015">
        <v>28215</v>
      </c>
      <c r="F243" s="1013" t="s">
        <v>424</v>
      </c>
      <c r="G243" s="1013" t="s">
        <v>2040</v>
      </c>
      <c r="H243" s="949"/>
      <c r="I243" s="948"/>
      <c r="J243" s="948"/>
      <c r="K243" s="948"/>
      <c r="L243" s="153" t="str">
        <f t="shared" si="30"/>
        <v>5285</v>
      </c>
      <c r="M243" s="154" t="str">
        <f t="shared" si="31"/>
        <v>VEH. D'OCC. AUTRE DETAIL</v>
      </c>
      <c r="N243" s="155">
        <f>+IF(OR($Q243=Parametres!$G$2,$Q243=Parametres!$G$3),I243,C243)</f>
        <v>28215</v>
      </c>
      <c r="O243" s="575">
        <f>+IF(OR($Q243=Parametres!$G$2,$Q243=Parametres!$G$3),J243,D243)</f>
        <v>0</v>
      </c>
      <c r="P243" s="155">
        <f>+IF(OR($Q243=Parametres!$G$2,$Q243=Parametres!$G$3),K243,E243)</f>
        <v>28215</v>
      </c>
      <c r="Q243" s="154" t="str">
        <f t="shared" si="32"/>
        <v>6-Coût des ventes</v>
      </c>
      <c r="R243" s="153" t="str">
        <f t="shared" si="33"/>
        <v>4261</v>
      </c>
      <c r="S243" s="154">
        <f t="shared" si="34"/>
        <v>0</v>
      </c>
      <c r="T243" s="156" t="str">
        <f>+VLOOKUP($L243,Data_Validation!$A:$D,1,0)</f>
        <v>5285</v>
      </c>
      <c r="U243" s="156" t="str">
        <f>+VLOOKUP($L243,Data_Validation!$A:$D,3,0)</f>
        <v>Véhicules usagés</v>
      </c>
      <c r="V243" s="156" t="str">
        <f>+VLOOKUP($L243,Data_Validation!$A:$D,4,0)</f>
        <v>Non Certifié</v>
      </c>
      <c r="W243" s="156" t="str">
        <f>+VLOOKUP($L243,Data_Validation!$A:$E,5,0)</f>
        <v>$</v>
      </c>
      <c r="X243" s="156">
        <f>+VLOOKUP($L243,Data_Validation!$A:$F,6,0)</f>
        <v>0</v>
      </c>
    </row>
    <row r="244" spans="1:24" ht="15" hidden="1" customHeight="1">
      <c r="A244" s="1013" t="s">
        <v>2006</v>
      </c>
      <c r="B244" s="1013" t="s">
        <v>2848</v>
      </c>
      <c r="C244" s="1015">
        <v>453537.53</v>
      </c>
      <c r="D244" s="1015">
        <v>642843.43999999994</v>
      </c>
      <c r="E244" s="1015">
        <v>1096380.97</v>
      </c>
      <c r="F244" s="1013" t="s">
        <v>424</v>
      </c>
      <c r="G244" s="1013" t="s">
        <v>2008</v>
      </c>
      <c r="H244" s="150"/>
      <c r="I244" s="157"/>
      <c r="J244" s="157"/>
      <c r="K244" s="157"/>
      <c r="L244" s="153" t="str">
        <f t="shared" si="30"/>
        <v>5291</v>
      </c>
      <c r="M244" s="154" t="str">
        <f t="shared" si="31"/>
        <v>VEH. D'OCC. AU GROS</v>
      </c>
      <c r="N244" s="155">
        <f>+IF(OR($Q244=Parametres!$G$2,$Q244=Parametres!$G$3),I244,C244)</f>
        <v>453537.53</v>
      </c>
      <c r="O244" s="155">
        <f>+IF(OR($Q244=Parametres!$G$2,$Q244=Parametres!$G$3),J244,D244)</f>
        <v>642843.43999999994</v>
      </c>
      <c r="P244" s="155">
        <f>+IF(OR($Q244=Parametres!$G$2,$Q244=Parametres!$G$3),K244,E244)</f>
        <v>1096380.97</v>
      </c>
      <c r="Q244" s="154" t="str">
        <f t="shared" si="32"/>
        <v>6-Coût des ventes</v>
      </c>
      <c r="R244" s="153" t="str">
        <f t="shared" si="33"/>
        <v>4281</v>
      </c>
      <c r="S244" s="154">
        <f t="shared" si="34"/>
        <v>0</v>
      </c>
      <c r="T244" s="156" t="str">
        <f>+VLOOKUP($L244,Data_Validation!$A:$D,1,0)</f>
        <v>5291</v>
      </c>
      <c r="U244" s="156" t="str">
        <f>+VLOOKUP($L244,Data_Validation!$A:$D,3,0)</f>
        <v>Véhicules usagés</v>
      </c>
      <c r="V244" s="156" t="str">
        <f>+VLOOKUP($L244,Data_Validation!$A:$D,4,0)</f>
        <v>Ventes au Gros</v>
      </c>
      <c r="W244" s="156" t="str">
        <f>+VLOOKUP($L244,Data_Validation!$A:$E,5,0)</f>
        <v>$</v>
      </c>
      <c r="X244" s="156">
        <f>+VLOOKUP($L244,Data_Validation!$A:$F,6,0)</f>
        <v>0</v>
      </c>
    </row>
    <row r="245" spans="1:24" ht="15" hidden="1" customHeight="1">
      <c r="A245" s="1013" t="s">
        <v>2828</v>
      </c>
      <c r="B245" s="1013" t="s">
        <v>2829</v>
      </c>
      <c r="C245" s="1015">
        <v>26441.43</v>
      </c>
      <c r="D245" s="1015">
        <v>18147.84</v>
      </c>
      <c r="E245" s="1015">
        <v>44589.27</v>
      </c>
      <c r="F245" s="1013" t="s">
        <v>424</v>
      </c>
      <c r="G245" s="1013" t="s">
        <v>2012</v>
      </c>
      <c r="H245" s="949"/>
      <c r="I245" s="948"/>
      <c r="J245" s="948"/>
      <c r="K245" s="948"/>
      <c r="L245" s="153" t="str">
        <f t="shared" si="30"/>
        <v>5401</v>
      </c>
      <c r="M245" s="154" t="str">
        <f t="shared" si="31"/>
        <v>COUT M.O. MECANIQUE CLIENTS</v>
      </c>
      <c r="N245" s="155">
        <f>+IF(OR($Q245=Parametres!$G$2,$Q245=Parametres!$G$3),I245,C245)</f>
        <v>26441.43</v>
      </c>
      <c r="O245" s="155">
        <f>+IF(OR($Q245=Parametres!$G$2,$Q245=Parametres!$G$3),J245,D245)</f>
        <v>18147.84</v>
      </c>
      <c r="P245" s="155">
        <f>+IF(OR($Q245=Parametres!$G$2,$Q245=Parametres!$G$3),K245,E245)</f>
        <v>44589.27</v>
      </c>
      <c r="Q245" s="154" t="str">
        <f t="shared" si="32"/>
        <v>6-Coût des ventes</v>
      </c>
      <c r="R245" s="153" t="str">
        <f t="shared" si="33"/>
        <v>4401</v>
      </c>
      <c r="S245" s="154">
        <f t="shared" si="34"/>
        <v>0</v>
      </c>
      <c r="T245" s="156" t="str">
        <f>+VLOOKUP($L245,Data_Validation!$A:$D,1,0)</f>
        <v>5401</v>
      </c>
      <c r="U245" s="156" t="str">
        <f>+VLOOKUP($L245,Data_Validation!$A:$D,3,0)</f>
        <v>Service</v>
      </c>
      <c r="V245" s="156" t="str">
        <f>+VLOOKUP($L245,Data_Validation!$A:$D,4,0)</f>
        <v>M/O Client</v>
      </c>
      <c r="W245" s="156" t="str">
        <f>+VLOOKUP($L245,Data_Validation!$A:$E,5,0)</f>
        <v>$</v>
      </c>
      <c r="X245" s="156">
        <f>+VLOOKUP($L245,Data_Validation!$A:$F,6,0)</f>
        <v>0</v>
      </c>
    </row>
    <row r="246" spans="1:24" ht="15" hidden="1" customHeight="1">
      <c r="A246" s="1013" t="s">
        <v>2566</v>
      </c>
      <c r="B246" s="1013" t="s">
        <v>2567</v>
      </c>
      <c r="C246" s="1015">
        <v>0</v>
      </c>
      <c r="D246" s="1015">
        <v>49.95</v>
      </c>
      <c r="E246" s="1015">
        <v>49.95</v>
      </c>
      <c r="F246" s="1013" t="s">
        <v>424</v>
      </c>
      <c r="G246" s="1013" t="s">
        <v>2192</v>
      </c>
      <c r="H246" s="949"/>
      <c r="I246" s="948"/>
      <c r="J246" s="948"/>
      <c r="K246" s="948"/>
      <c r="L246" s="153" t="str">
        <f t="shared" si="30"/>
        <v>5402</v>
      </c>
      <c r="M246" s="154" t="str">
        <f t="shared" si="31"/>
        <v>C/V - M.O. ESTHETIQUE CLIENT</v>
      </c>
      <c r="N246" s="155">
        <f>+IF(OR($Q246=Parametres!$G$2,$Q246=Parametres!$G$3),I246,C246)</f>
        <v>0</v>
      </c>
      <c r="O246" s="155">
        <f>+IF(OR($Q246=Parametres!$G$2,$Q246=Parametres!$G$3),J246,D246)</f>
        <v>49.95</v>
      </c>
      <c r="P246" s="155">
        <f>+IF(OR($Q246=Parametres!$G$2,$Q246=Parametres!$G$3),K246,E246)</f>
        <v>49.95</v>
      </c>
      <c r="Q246" s="154" t="str">
        <f t="shared" si="32"/>
        <v>6-Coût des ventes</v>
      </c>
      <c r="R246" s="153" t="str">
        <f t="shared" si="33"/>
        <v>4402</v>
      </c>
      <c r="S246" s="154">
        <f t="shared" si="34"/>
        <v>0</v>
      </c>
      <c r="T246" s="156" t="str">
        <f>+VLOOKUP($L246,Data_Validation!$A:$D,1,0)</f>
        <v>5402</v>
      </c>
      <c r="U246" s="156" t="str">
        <f>+VLOOKUP($L246,Data_Validation!$A:$D,3,0)</f>
        <v>Service</v>
      </c>
      <c r="V246" s="156" t="str">
        <f>+VLOOKUP($L246,Data_Validation!$A:$D,4,0)</f>
        <v>M/O Esthétique</v>
      </c>
      <c r="W246" s="156" t="str">
        <f>+VLOOKUP($L246,Data_Validation!$A:$E,5,0)</f>
        <v>$</v>
      </c>
      <c r="X246" s="156">
        <f>+VLOOKUP($L246,Data_Validation!$A:$F,6,0)</f>
        <v>0</v>
      </c>
    </row>
    <row r="247" spans="1:24" ht="15.75" hidden="1" customHeight="1">
      <c r="A247" s="1013" t="s">
        <v>2791</v>
      </c>
      <c r="B247" s="1013" t="s">
        <v>2792</v>
      </c>
      <c r="C247" s="1015">
        <v>35154.959999999999</v>
      </c>
      <c r="D247" s="1015">
        <v>11755.1</v>
      </c>
      <c r="E247" s="1015">
        <v>46910.06</v>
      </c>
      <c r="F247" s="1013" t="s">
        <v>424</v>
      </c>
      <c r="G247" s="1013" t="s">
        <v>2042</v>
      </c>
      <c r="H247" s="150"/>
      <c r="I247" s="157"/>
      <c r="J247" s="157"/>
      <c r="K247" s="157"/>
      <c r="L247" s="153" t="str">
        <f t="shared" si="30"/>
        <v>5403</v>
      </c>
      <c r="M247" s="154" t="str">
        <f t="shared" si="31"/>
        <v>COUT MEC VENTE GARANTIE MANUF</v>
      </c>
      <c r="N247" s="155">
        <f>+IF(OR($Q247=Parametres!$G$2,$Q247=Parametres!$G$3),I247,C247)</f>
        <v>35154.959999999999</v>
      </c>
      <c r="O247" s="155">
        <f>+IF(OR($Q247=Parametres!$G$2,$Q247=Parametres!$G$3),J247,D247)</f>
        <v>11755.1</v>
      </c>
      <c r="P247" s="155">
        <f>+IF(OR($Q247=Parametres!$G$2,$Q247=Parametres!$G$3),K247,E247)</f>
        <v>46910.06</v>
      </c>
      <c r="Q247" s="154" t="str">
        <f t="shared" si="32"/>
        <v>6-Coût des ventes</v>
      </c>
      <c r="R247" s="153" t="str">
        <f t="shared" si="33"/>
        <v>4403</v>
      </c>
      <c r="S247" s="154">
        <f t="shared" si="34"/>
        <v>0</v>
      </c>
      <c r="T247" s="156" t="str">
        <f>+VLOOKUP($L247,Data_Validation!$A:$D,1,0)</f>
        <v>5403</v>
      </c>
      <c r="U247" s="156" t="str">
        <f>+VLOOKUP($L247,Data_Validation!$A:$D,3,0)</f>
        <v>Service</v>
      </c>
      <c r="V247" s="156" t="str">
        <f>+VLOOKUP($L247,Data_Validation!$A:$D,4,0)</f>
        <v>M/O Garantie</v>
      </c>
      <c r="W247" s="156" t="str">
        <f>+VLOOKUP($L247,Data_Validation!$A:$E,5,0)</f>
        <v>$</v>
      </c>
      <c r="X247" s="156">
        <f>+VLOOKUP($L247,Data_Validation!$A:$F,6,0)</f>
        <v>0</v>
      </c>
    </row>
    <row r="248" spans="1:24" ht="15" hidden="1" customHeight="1">
      <c r="A248" s="1013" t="s">
        <v>2777</v>
      </c>
      <c r="B248" s="1013" t="s">
        <v>2778</v>
      </c>
      <c r="C248" s="1015">
        <v>21328.19</v>
      </c>
      <c r="D248" s="1015">
        <v>18817.939999999999</v>
      </c>
      <c r="E248" s="1015">
        <v>40146.129999999997</v>
      </c>
      <c r="F248" s="1013" t="s">
        <v>424</v>
      </c>
      <c r="G248" s="1013" t="s">
        <v>2052</v>
      </c>
      <c r="H248" s="150"/>
      <c r="I248" s="151"/>
      <c r="J248" s="151"/>
      <c r="K248" s="151"/>
      <c r="L248" s="153" t="str">
        <f t="shared" si="30"/>
        <v>5405</v>
      </c>
      <c r="M248" s="154" t="str">
        <f t="shared" si="31"/>
        <v>C D V VENTES M OINTERNE</v>
      </c>
      <c r="N248" s="155">
        <f>+IF(OR($Q248=Parametres!$G$2,$Q248=Parametres!$G$3),I248,C248)</f>
        <v>21328.19</v>
      </c>
      <c r="O248" s="155">
        <f>+IF(OR($Q248=Parametres!$G$2,$Q248=Parametres!$G$3),J248,D248)</f>
        <v>18817.939999999999</v>
      </c>
      <c r="P248" s="155">
        <f>+IF(OR($Q248=Parametres!$G$2,$Q248=Parametres!$G$3),K248,E248)</f>
        <v>40146.129999999997</v>
      </c>
      <c r="Q248" s="154" t="str">
        <f t="shared" si="32"/>
        <v>6-Coût des ventes</v>
      </c>
      <c r="R248" s="153" t="str">
        <f t="shared" si="33"/>
        <v>4405</v>
      </c>
      <c r="S248" s="154">
        <f t="shared" si="34"/>
        <v>0</v>
      </c>
      <c r="T248" s="156" t="str">
        <f>+VLOOKUP($L248,Data_Validation!$A:$D,1,0)</f>
        <v>5405</v>
      </c>
      <c r="U248" s="156" t="str">
        <f>+VLOOKUP($L248,Data_Validation!$A:$D,3,0)</f>
        <v>Service</v>
      </c>
      <c r="V248" s="156" t="str">
        <f>+VLOOKUP($L248,Data_Validation!$A:$D,4,0)</f>
        <v>M/O Interne</v>
      </c>
      <c r="W248" s="156" t="str">
        <f>+VLOOKUP($L248,Data_Validation!$A:$E,5,0)</f>
        <v>$</v>
      </c>
      <c r="X248" s="156">
        <f>+VLOOKUP($L248,Data_Validation!$A:$F,6,0)</f>
        <v>0</v>
      </c>
    </row>
    <row r="249" spans="1:24" ht="15" hidden="1" customHeight="1">
      <c r="A249" s="1013" t="s">
        <v>2725</v>
      </c>
      <c r="B249" s="1013" t="s">
        <v>2726</v>
      </c>
      <c r="C249" s="1015">
        <v>2861.15</v>
      </c>
      <c r="D249" s="1015">
        <v>3087.66</v>
      </c>
      <c r="E249" s="1015">
        <v>5948.81</v>
      </c>
      <c r="F249" s="1013" t="s">
        <v>424</v>
      </c>
      <c r="G249" s="1013" t="s">
        <v>2727</v>
      </c>
      <c r="H249" s="150"/>
      <c r="I249" s="151"/>
      <c r="J249" s="151"/>
      <c r="K249" s="151"/>
      <c r="L249" s="153" t="str">
        <f t="shared" si="30"/>
        <v>5416</v>
      </c>
      <c r="M249" s="154" t="str">
        <f t="shared" si="31"/>
        <v>C/V - TEMPS MORT M.O. SERVICE</v>
      </c>
      <c r="N249" s="155">
        <f>+IF(OR($Q249=Parametres!$G$2,$Q249=Parametres!$G$3),I249,C249)</f>
        <v>2861.15</v>
      </c>
      <c r="O249" s="155">
        <f>+IF(OR($Q249=Parametres!$G$2,$Q249=Parametres!$G$3),J249,D249)</f>
        <v>3087.66</v>
      </c>
      <c r="P249" s="155">
        <f>+IF(OR($Q249=Parametres!$G$2,$Q249=Parametres!$G$3),K249,E249)</f>
        <v>5948.81</v>
      </c>
      <c r="Q249" s="154" t="str">
        <f t="shared" si="32"/>
        <v>6-Coût des ventes</v>
      </c>
      <c r="R249" s="153" t="str">
        <f t="shared" si="33"/>
        <v>4416</v>
      </c>
      <c r="S249" s="154">
        <f t="shared" si="34"/>
        <v>0</v>
      </c>
      <c r="T249" s="156" t="str">
        <f>+VLOOKUP($L249,Data_Validation!$A:$D,1,0)</f>
        <v>5416</v>
      </c>
      <c r="U249" s="156" t="str">
        <f>+VLOOKUP($L249,Data_Validation!$A:$D,3,0)</f>
        <v>Service</v>
      </c>
      <c r="V249" s="156" t="str">
        <f>+VLOOKUP($L249,Data_Validation!$A:$D,4,0)</f>
        <v>Ajustement M/O</v>
      </c>
      <c r="W249" s="156" t="str">
        <f>+VLOOKUP($L249,Data_Validation!$A:$E,5,0)</f>
        <v>$</v>
      </c>
      <c r="X249" s="156">
        <f>+VLOOKUP($L249,Data_Validation!$A:$F,6,0)</f>
        <v>0</v>
      </c>
    </row>
    <row r="250" spans="1:24" ht="15" hidden="1" customHeight="1">
      <c r="A250" s="1013" t="s">
        <v>2071</v>
      </c>
      <c r="B250" s="1013" t="s">
        <v>2802</v>
      </c>
      <c r="C250" s="1015">
        <v>16264.38</v>
      </c>
      <c r="D250" s="1015">
        <v>11749.82</v>
      </c>
      <c r="E250" s="1015">
        <v>28014.2</v>
      </c>
      <c r="F250" s="1013" t="s">
        <v>424</v>
      </c>
      <c r="G250" s="1013" t="s">
        <v>2073</v>
      </c>
      <c r="H250" s="150"/>
      <c r="I250" s="157"/>
      <c r="J250" s="157"/>
      <c r="K250" s="157"/>
      <c r="L250" s="153" t="str">
        <f t="shared" si="30"/>
        <v>5451</v>
      </c>
      <c r="M250" s="154" t="str">
        <f t="shared" si="31"/>
        <v>CARBURANT/HUILE/GRAISSE</v>
      </c>
      <c r="N250" s="155">
        <f>+IF(OR($Q250=Parametres!$G$2,$Q250=Parametres!$G$3),I250,C250)</f>
        <v>16264.38</v>
      </c>
      <c r="O250" s="155">
        <f>+IF(OR($Q250=Parametres!$G$2,$Q250=Parametres!$G$3),J250,D250)</f>
        <v>11749.82</v>
      </c>
      <c r="P250" s="155">
        <f>+IF(OR($Q250=Parametres!$G$2,$Q250=Parametres!$G$3),K250,E250)</f>
        <v>28014.2</v>
      </c>
      <c r="Q250" s="154" t="str">
        <f t="shared" si="32"/>
        <v>6-Coût des ventes</v>
      </c>
      <c r="R250" s="153" t="str">
        <f t="shared" si="33"/>
        <v>4782</v>
      </c>
      <c r="S250" s="154">
        <f t="shared" si="34"/>
        <v>0</v>
      </c>
      <c r="T250" s="156" t="str">
        <f>+VLOOKUP($L250,Data_Validation!$A:$D,1,0)</f>
        <v>5451</v>
      </c>
      <c r="U250" s="156" t="str">
        <f>+VLOOKUP($L250,Data_Validation!$A:$D,3,0)</f>
        <v>Pièces</v>
      </c>
      <c r="V250" s="156" t="str">
        <f>+VLOOKUP($L250,Data_Validation!$A:$D,4,0)</f>
        <v>Huiles et Graisse</v>
      </c>
      <c r="W250" s="156" t="str">
        <f>+VLOOKUP($L250,Data_Validation!$A:$E,5,0)</f>
        <v>$</v>
      </c>
      <c r="X250" s="156">
        <f>+VLOOKUP($L250,Data_Validation!$A:$F,6,0)</f>
        <v>0</v>
      </c>
    </row>
    <row r="251" spans="1:24" ht="15" hidden="1" customHeight="1">
      <c r="A251" s="1013" t="s">
        <v>2144</v>
      </c>
      <c r="B251" s="1013" t="s">
        <v>2713</v>
      </c>
      <c r="C251" s="1015">
        <v>1083</v>
      </c>
      <c r="D251" s="1015">
        <v>1533</v>
      </c>
      <c r="E251" s="1015">
        <v>2616</v>
      </c>
      <c r="F251" s="1013" t="s">
        <v>424</v>
      </c>
      <c r="G251" s="1013" t="s">
        <v>2145</v>
      </c>
      <c r="H251" s="150"/>
      <c r="I251" s="151"/>
      <c r="J251" s="151"/>
      <c r="K251" s="151"/>
      <c r="L251" s="153" t="str">
        <f t="shared" si="30"/>
        <v>5491</v>
      </c>
      <c r="M251" s="154" t="str">
        <f t="shared" si="31"/>
        <v>REPARATION SOUS-LOC. - GENERAL</v>
      </c>
      <c r="N251" s="155">
        <f>+IF(OR($Q251=Parametres!$G$2,$Q251=Parametres!$G$3),I251,C251)</f>
        <v>1083</v>
      </c>
      <c r="O251" s="155">
        <f>+IF(OR($Q251=Parametres!$G$2,$Q251=Parametres!$G$3),J251,D251)</f>
        <v>1533</v>
      </c>
      <c r="P251" s="155">
        <f>+IF(OR($Q251=Parametres!$G$2,$Q251=Parametres!$G$3),K251,E251)</f>
        <v>2616</v>
      </c>
      <c r="Q251" s="154" t="str">
        <f t="shared" si="32"/>
        <v>6-Coût des ventes</v>
      </c>
      <c r="R251" s="153" t="str">
        <f t="shared" si="33"/>
        <v>4491</v>
      </c>
      <c r="S251" s="154">
        <f t="shared" si="34"/>
        <v>0</v>
      </c>
      <c r="T251" s="156" t="str">
        <f>+VLOOKUP($L251,Data_Validation!$A:$D,1,0)</f>
        <v>5491</v>
      </c>
      <c r="U251" s="156" t="str">
        <f>+VLOOKUP($L251,Data_Validation!$A:$D,3,0)</f>
        <v>Service</v>
      </c>
      <c r="V251" s="156" t="str">
        <f>+VLOOKUP($L251,Data_Validation!$A:$D,4,0)</f>
        <v>Sous-traitement</v>
      </c>
      <c r="W251" s="156" t="str">
        <f>+VLOOKUP($L251,Data_Validation!$A:$E,5,0)</f>
        <v>$</v>
      </c>
      <c r="X251" s="156">
        <f>+VLOOKUP($L251,Data_Validation!$A:$F,6,0)</f>
        <v>0</v>
      </c>
    </row>
    <row r="252" spans="1:24" ht="15.75" hidden="1" customHeight="1">
      <c r="A252" s="1013" t="s">
        <v>2687</v>
      </c>
      <c r="B252" s="1013" t="s">
        <v>2688</v>
      </c>
      <c r="C252" s="1015">
        <v>4240.3599999999997</v>
      </c>
      <c r="D252" s="1015">
        <v>275</v>
      </c>
      <c r="E252" s="1015">
        <v>4515.3599999999997</v>
      </c>
      <c r="F252" s="1013" t="s">
        <v>424</v>
      </c>
      <c r="G252" s="1013" t="s">
        <v>2168</v>
      </c>
      <c r="H252" s="949"/>
      <c r="I252" s="948"/>
      <c r="J252" s="948"/>
      <c r="K252" s="948"/>
      <c r="L252" s="153" t="str">
        <f t="shared" si="30"/>
        <v>5493</v>
      </c>
      <c r="M252" s="154" t="str">
        <f t="shared" si="31"/>
        <v>C/V - SOUS-TRAITANCE GARANTIE</v>
      </c>
      <c r="N252" s="155">
        <f>+IF(OR($Q252=Parametres!$G$2,$Q252=Parametres!$G$3),I252,C252)</f>
        <v>4240.3599999999997</v>
      </c>
      <c r="O252" s="155">
        <f>+IF(OR($Q252=Parametres!$G$2,$Q252=Parametres!$G$3),J252,D252)</f>
        <v>275</v>
      </c>
      <c r="P252" s="155">
        <f>+IF(OR($Q252=Parametres!$G$2,$Q252=Parametres!$G$3),K252,E252)</f>
        <v>4515.3599999999997</v>
      </c>
      <c r="Q252" s="154" t="str">
        <f t="shared" si="32"/>
        <v>6-Coût des ventes</v>
      </c>
      <c r="R252" s="153" t="str">
        <f t="shared" si="33"/>
        <v>4493</v>
      </c>
      <c r="S252" s="154">
        <f t="shared" si="34"/>
        <v>0</v>
      </c>
      <c r="T252" s="156" t="str">
        <f>+VLOOKUP($L252,Data_Validation!$A:$D,1,0)</f>
        <v>5493</v>
      </c>
      <c r="U252" s="156" t="str">
        <f>+VLOOKUP($L252,Data_Validation!$A:$D,3,0)</f>
        <v>Service</v>
      </c>
      <c r="V252" s="156" t="str">
        <f>+VLOOKUP($L252,Data_Validation!$A:$D,4,0)</f>
        <v>Sous-traitement</v>
      </c>
      <c r="W252" s="156" t="str">
        <f>+VLOOKUP($L252,Data_Validation!$A:$E,5,0)</f>
        <v>$</v>
      </c>
      <c r="X252" s="156">
        <f>+VLOOKUP($L252,Data_Validation!$A:$F,6,0)</f>
        <v>0</v>
      </c>
    </row>
    <row r="253" spans="1:24" ht="15" hidden="1" customHeight="1">
      <c r="A253" s="1013" t="s">
        <v>2789</v>
      </c>
      <c r="B253" s="1013" t="s">
        <v>2790</v>
      </c>
      <c r="C253" s="1015">
        <v>17135.84</v>
      </c>
      <c r="D253" s="1015">
        <v>15231</v>
      </c>
      <c r="E253" s="1015">
        <v>32366.84</v>
      </c>
      <c r="F253" s="1013" t="s">
        <v>424</v>
      </c>
      <c r="G253" s="1013" t="s">
        <v>2087</v>
      </c>
      <c r="H253" s="150"/>
      <c r="I253" s="157"/>
      <c r="J253" s="157"/>
      <c r="K253" s="157"/>
      <c r="L253" s="153" t="str">
        <f t="shared" si="30"/>
        <v>5495</v>
      </c>
      <c r="M253" s="154" t="str">
        <f t="shared" si="31"/>
        <v>C/V - SOUS-TRAITANCE INTERNE</v>
      </c>
      <c r="N253" s="155">
        <f>+IF(OR($Q253=Parametres!$G$2,$Q253=Parametres!$G$3),I253,C253)</f>
        <v>17135.84</v>
      </c>
      <c r="O253" s="155">
        <f>+IF(OR($Q253=Parametres!$G$2,$Q253=Parametres!$G$3),J253,D253)</f>
        <v>15231</v>
      </c>
      <c r="P253" s="155">
        <f>+IF(OR($Q253=Parametres!$G$2,$Q253=Parametres!$G$3),K253,E253)</f>
        <v>32366.84</v>
      </c>
      <c r="Q253" s="154" t="str">
        <f t="shared" si="32"/>
        <v>6-Coût des ventes</v>
      </c>
      <c r="R253" s="153" t="str">
        <f t="shared" si="33"/>
        <v>4495</v>
      </c>
      <c r="S253" s="154">
        <f t="shared" si="34"/>
        <v>0</v>
      </c>
      <c r="T253" s="156" t="str">
        <f>+VLOOKUP($L253,Data_Validation!$A:$D,1,0)</f>
        <v>5495</v>
      </c>
      <c r="U253" s="156" t="str">
        <f>+VLOOKUP($L253,Data_Validation!$A:$D,3,0)</f>
        <v>Service</v>
      </c>
      <c r="V253" s="156" t="str">
        <f>+VLOOKUP($L253,Data_Validation!$A:$D,4,0)</f>
        <v>Sous-traitement</v>
      </c>
      <c r="W253" s="156" t="str">
        <f>+VLOOKUP($L253,Data_Validation!$A:$E,5,0)</f>
        <v>$</v>
      </c>
      <c r="X253" s="156">
        <f>+VLOOKUP($L253,Data_Validation!$A:$F,6,0)</f>
        <v>0</v>
      </c>
    </row>
    <row r="254" spans="1:24" ht="15" hidden="1" customHeight="1">
      <c r="A254" s="1013" t="s">
        <v>2798</v>
      </c>
      <c r="B254" s="1013" t="s">
        <v>2799</v>
      </c>
      <c r="C254" s="1015">
        <v>21752.25</v>
      </c>
      <c r="D254" s="1015">
        <v>11026.85</v>
      </c>
      <c r="E254" s="1015">
        <v>32779.1</v>
      </c>
      <c r="F254" s="1013" t="s">
        <v>424</v>
      </c>
      <c r="G254" s="1013" t="s">
        <v>2070</v>
      </c>
      <c r="H254" s="150"/>
      <c r="I254" s="151"/>
      <c r="J254" s="151"/>
      <c r="K254" s="151"/>
      <c r="L254" s="153" t="str">
        <f t="shared" si="30"/>
        <v>5591</v>
      </c>
      <c r="M254" s="154" t="str">
        <f t="shared" si="31"/>
        <v>C/V - S-TRAIT. CARR.</v>
      </c>
      <c r="N254" s="155">
        <f>+IF(OR($Q254=Parametres!$G$2,$Q254=Parametres!$G$3),I254,C254)</f>
        <v>21752.25</v>
      </c>
      <c r="O254" s="155">
        <f>+IF(OR($Q254=Parametres!$G$2,$Q254=Parametres!$G$3),J254,D254)</f>
        <v>11026.85</v>
      </c>
      <c r="P254" s="155">
        <f>+IF(OR($Q254=Parametres!$G$2,$Q254=Parametres!$G$3),K254,E254)</f>
        <v>32779.1</v>
      </c>
      <c r="Q254" s="154" t="str">
        <f t="shared" si="32"/>
        <v>6-Coût des ventes</v>
      </c>
      <c r="R254" s="153" t="str">
        <f t="shared" si="33"/>
        <v>4591</v>
      </c>
      <c r="S254" s="154">
        <f t="shared" si="34"/>
        <v>0</v>
      </c>
      <c r="T254" s="156" t="str">
        <f>+VLOOKUP($L254,Data_Validation!$A:$D,1,0)</f>
        <v>5591</v>
      </c>
      <c r="U254" s="156" t="str">
        <f>+VLOOKUP($L254,Data_Validation!$A:$D,3,0)</f>
        <v>Carrosserie</v>
      </c>
      <c r="V254" s="156" t="str">
        <f>+VLOOKUP($L254,Data_Validation!$A:$D,4,0)</f>
        <v>M/O Sous-traitement</v>
      </c>
      <c r="W254" s="156" t="str">
        <f>+VLOOKUP($L254,Data_Validation!$A:$E,5,0)</f>
        <v>$</v>
      </c>
      <c r="X254" s="156">
        <f>+VLOOKUP($L254,Data_Validation!$A:$F,6,0)</f>
        <v>0</v>
      </c>
    </row>
    <row r="255" spans="1:24" ht="15" hidden="1" customHeight="1">
      <c r="A255" s="1013" t="s">
        <v>2808</v>
      </c>
      <c r="B255" s="1013" t="s">
        <v>2809</v>
      </c>
      <c r="C255" s="1015">
        <v>117284.08</v>
      </c>
      <c r="D255" s="1015">
        <v>63601.89</v>
      </c>
      <c r="E255" s="1015">
        <v>180885.97</v>
      </c>
      <c r="F255" s="1013" t="s">
        <v>424</v>
      </c>
      <c r="G255" s="1013" t="s">
        <v>2068</v>
      </c>
      <c r="H255" s="150"/>
      <c r="I255" s="151"/>
      <c r="J255" s="151"/>
      <c r="K255" s="151"/>
      <c r="L255" s="153" t="str">
        <f t="shared" si="30"/>
        <v>5593</v>
      </c>
      <c r="M255" s="154" t="str">
        <f t="shared" si="31"/>
        <v>C/V - S-TRAIT.GARANTIE CARROS.</v>
      </c>
      <c r="N255" s="155">
        <f>+IF(OR($Q255=Parametres!$G$2,$Q255=Parametres!$G$3),I255,C255)</f>
        <v>117284.08</v>
      </c>
      <c r="O255" s="155">
        <f>+IF(OR($Q255=Parametres!$G$2,$Q255=Parametres!$G$3),J255,D255)</f>
        <v>63601.89</v>
      </c>
      <c r="P255" s="155">
        <f>+IF(OR($Q255=Parametres!$G$2,$Q255=Parametres!$G$3),K255,E255)</f>
        <v>180885.97</v>
      </c>
      <c r="Q255" s="154" t="str">
        <f t="shared" si="32"/>
        <v>6-Coût des ventes</v>
      </c>
      <c r="R255" s="153" t="str">
        <f t="shared" si="33"/>
        <v>4593</v>
      </c>
      <c r="S255" s="154">
        <f t="shared" si="34"/>
        <v>0</v>
      </c>
      <c r="T255" s="156" t="str">
        <f>+VLOOKUP($L255,Data_Validation!$A:$D,1,0)</f>
        <v>5593</v>
      </c>
      <c r="U255" s="156" t="str">
        <f>+VLOOKUP($L255,Data_Validation!$A:$D,3,0)</f>
        <v>Carrosserie</v>
      </c>
      <c r="V255" s="156" t="str">
        <f>+VLOOKUP($L255,Data_Validation!$A:$D,4,0)</f>
        <v>M/O Sous-traitement</v>
      </c>
      <c r="W255" s="156" t="str">
        <f>+VLOOKUP($L255,Data_Validation!$A:$E,5,0)</f>
        <v>$</v>
      </c>
      <c r="X255" s="156">
        <f>+VLOOKUP($L255,Data_Validation!$A:$F,6,0)</f>
        <v>0</v>
      </c>
    </row>
    <row r="256" spans="1:24" ht="15.75" hidden="1" customHeight="1">
      <c r="A256" s="1013" t="s">
        <v>2767</v>
      </c>
      <c r="B256" s="1013" t="s">
        <v>2768</v>
      </c>
      <c r="C256" s="1015">
        <v>2750.22</v>
      </c>
      <c r="D256" s="1015">
        <v>5135.88</v>
      </c>
      <c r="E256" s="1015">
        <v>7886.1</v>
      </c>
      <c r="F256" s="1013" t="s">
        <v>424</v>
      </c>
      <c r="G256" s="1013" t="s">
        <v>2101</v>
      </c>
      <c r="H256" s="150"/>
      <c r="I256" s="157"/>
      <c r="J256" s="157"/>
      <c r="K256" s="157"/>
      <c r="L256" s="153" t="str">
        <f t="shared" si="30"/>
        <v>5595</v>
      </c>
      <c r="M256" s="154" t="str">
        <f t="shared" si="31"/>
        <v>C/V - S-TRAIT.INTERNE CARROS.</v>
      </c>
      <c r="N256" s="155">
        <f>+IF(OR($Q256=Parametres!$G$2,$Q256=Parametres!$G$3),I256,C256)</f>
        <v>2750.22</v>
      </c>
      <c r="O256" s="155">
        <f>+IF(OR($Q256=Parametres!$G$2,$Q256=Parametres!$G$3),J256,D256)</f>
        <v>5135.88</v>
      </c>
      <c r="P256" s="155">
        <f>+IF(OR($Q256=Parametres!$G$2,$Q256=Parametres!$G$3),K256,E256)</f>
        <v>7886.1</v>
      </c>
      <c r="Q256" s="154" t="str">
        <f t="shared" si="32"/>
        <v>6-Coût des ventes</v>
      </c>
      <c r="R256" s="153" t="str">
        <f t="shared" si="33"/>
        <v>4595</v>
      </c>
      <c r="S256" s="154">
        <f t="shared" si="34"/>
        <v>0</v>
      </c>
      <c r="T256" s="156" t="str">
        <f>+VLOOKUP($L256,Data_Validation!$A:$D,1,0)</f>
        <v>5595</v>
      </c>
      <c r="U256" s="156" t="str">
        <f>+VLOOKUP($L256,Data_Validation!$A:$D,3,0)</f>
        <v>Carrosserie</v>
      </c>
      <c r="V256" s="156" t="str">
        <f>+VLOOKUP($L256,Data_Validation!$A:$D,4,0)</f>
        <v>M/O Sous-traitement</v>
      </c>
      <c r="W256" s="156" t="str">
        <f>+VLOOKUP($L256,Data_Validation!$A:$E,5,0)</f>
        <v>$</v>
      </c>
      <c r="X256" s="156">
        <f>+VLOOKUP($L256,Data_Validation!$A:$F,6,0)</f>
        <v>0</v>
      </c>
    </row>
    <row r="257" spans="1:24" ht="15" hidden="1" customHeight="1">
      <c r="A257" s="1013" t="s">
        <v>2832</v>
      </c>
      <c r="B257" s="1013" t="s">
        <v>2833</v>
      </c>
      <c r="C257" s="1015">
        <v>58460.06</v>
      </c>
      <c r="D257" s="1015">
        <v>28894.880000000001</v>
      </c>
      <c r="E257" s="1015">
        <v>87354.94</v>
      </c>
      <c r="F257" s="1013" t="s">
        <v>424</v>
      </c>
      <c r="G257" s="1013" t="s">
        <v>2024</v>
      </c>
      <c r="H257" s="949"/>
      <c r="I257" s="948"/>
      <c r="J257" s="948"/>
      <c r="K257" s="948"/>
      <c r="L257" s="153" t="str">
        <f t="shared" si="30"/>
        <v>5701</v>
      </c>
      <c r="M257" s="154" t="str">
        <f t="shared" si="31"/>
        <v>C/V - PIECE/ACC B.R. CLIENT VW</v>
      </c>
      <c r="N257" s="155">
        <f>+IF(OR($Q257=Parametres!$G$2,$Q257=Parametres!$G$3),I257,C257)</f>
        <v>58460.06</v>
      </c>
      <c r="O257" s="155">
        <f>+IF(OR($Q257=Parametres!$G$2,$Q257=Parametres!$G$3),J257,D257)</f>
        <v>28894.880000000001</v>
      </c>
      <c r="P257" s="155">
        <f>+IF(OR($Q257=Parametres!$G$2,$Q257=Parametres!$G$3),K257,E257)</f>
        <v>87354.94</v>
      </c>
      <c r="Q257" s="154" t="str">
        <f t="shared" si="32"/>
        <v>6-Coût des ventes</v>
      </c>
      <c r="R257" s="153" t="str">
        <f t="shared" si="33"/>
        <v>4701</v>
      </c>
      <c r="S257" s="154">
        <f t="shared" si="34"/>
        <v>0</v>
      </c>
      <c r="T257" s="156" t="str">
        <f>+VLOOKUP($L257,Data_Validation!$A:$D,1,0)</f>
        <v>5701</v>
      </c>
      <c r="U257" s="156" t="str">
        <f>+VLOOKUP($L257,Data_Validation!$A:$D,3,0)</f>
        <v>Pièces</v>
      </c>
      <c r="V257" s="156" t="str">
        <f>+VLOOKUP($L257,Data_Validation!$A:$D,4,0)</f>
        <v>Pièces Ro Clients</v>
      </c>
      <c r="W257" s="156" t="str">
        <f>+VLOOKUP($L257,Data_Validation!$A:$E,5,0)</f>
        <v>$</v>
      </c>
      <c r="X257" s="156">
        <f>+VLOOKUP($L257,Data_Validation!$A:$F,6,0)</f>
        <v>0</v>
      </c>
    </row>
    <row r="258" spans="1:24" ht="15" hidden="1" customHeight="1">
      <c r="A258" s="1013" t="s">
        <v>2658</v>
      </c>
      <c r="B258" s="1013" t="s">
        <v>2705</v>
      </c>
      <c r="C258" s="1015">
        <v>292.99</v>
      </c>
      <c r="D258" s="1015">
        <v>317.67</v>
      </c>
      <c r="E258" s="1015">
        <v>610.66</v>
      </c>
      <c r="F258" s="1013" t="s">
        <v>424</v>
      </c>
      <c r="G258" s="1013" t="s">
        <v>2151</v>
      </c>
      <c r="H258" s="150"/>
      <c r="I258" s="157"/>
      <c r="J258" s="157"/>
      <c r="K258" s="157"/>
      <c r="L258" s="153" t="str">
        <f t="shared" ref="L258:L321" si="35">+B258</f>
        <v>5702</v>
      </c>
      <c r="M258" s="154" t="str">
        <f t="shared" ref="M258:M321" si="36">+A258</f>
        <v>C/V - SHOP SUPPLY VW</v>
      </c>
      <c r="N258" s="155">
        <f>+IF(OR($Q258=Parametres!$G$2,$Q258=Parametres!$G$3),I258,C258)</f>
        <v>292.99</v>
      </c>
      <c r="O258" s="155">
        <f>+IF(OR($Q258=Parametres!$G$2,$Q258=Parametres!$G$3),J258,D258)</f>
        <v>317.67</v>
      </c>
      <c r="P258" s="155">
        <f>+IF(OR($Q258=Parametres!$G$2,$Q258=Parametres!$G$3),K258,E258)</f>
        <v>610.66</v>
      </c>
      <c r="Q258" s="154" t="str">
        <f t="shared" ref="Q258:Q321" si="37">+F258</f>
        <v>6-Coût des ventes</v>
      </c>
      <c r="R258" s="153" t="str">
        <f t="shared" ref="R258:R321" si="38">+G258</f>
        <v>4702</v>
      </c>
      <c r="S258" s="154">
        <f t="shared" ref="S258:S321" si="39">+H258</f>
        <v>0</v>
      </c>
      <c r="T258" s="156" t="str">
        <f>+VLOOKUP($L258,Data_Validation!$A:$D,1,0)</f>
        <v>5702</v>
      </c>
      <c r="U258" s="156" t="str">
        <f>+VLOOKUP($L258,Data_Validation!$A:$D,3,0)</f>
        <v>Service</v>
      </c>
      <c r="V258" s="156" t="str">
        <f>+VLOOKUP($L258,Data_Validation!$A:$D,4,0)</f>
        <v>M/O Client</v>
      </c>
      <c r="W258" s="156" t="str">
        <f>+VLOOKUP($L258,Data_Validation!$A:$E,5,0)</f>
        <v>$</v>
      </c>
      <c r="X258" s="156">
        <f>+VLOOKUP($L258,Data_Validation!$A:$F,6,0)</f>
        <v>0</v>
      </c>
    </row>
    <row r="259" spans="1:24" ht="15" hidden="1" customHeight="1">
      <c r="A259" s="1013" t="s">
        <v>2814</v>
      </c>
      <c r="B259" s="1013" t="s">
        <v>2815</v>
      </c>
      <c r="C259" s="1015">
        <v>132232.24</v>
      </c>
      <c r="D259" s="1015">
        <v>36779.339999999997</v>
      </c>
      <c r="E259" s="1015">
        <v>169011.58</v>
      </c>
      <c r="F259" s="1013" t="s">
        <v>424</v>
      </c>
      <c r="G259" s="1013" t="s">
        <v>2044</v>
      </c>
      <c r="H259" s="150"/>
      <c r="I259" s="157"/>
      <c r="J259" s="157"/>
      <c r="K259" s="157"/>
      <c r="L259" s="153" t="str">
        <f t="shared" si="35"/>
        <v>5703</v>
      </c>
      <c r="M259" s="154" t="str">
        <f t="shared" si="36"/>
        <v>C/V - PIECE/ACC B.R. GARANTIE VW</v>
      </c>
      <c r="N259" s="155">
        <f>+IF(OR($Q259=Parametres!$G$2,$Q259=Parametres!$G$3),I259,C259)</f>
        <v>132232.24</v>
      </c>
      <c r="O259" s="155">
        <f>+IF(OR($Q259=Parametres!$G$2,$Q259=Parametres!$G$3),J259,D259)</f>
        <v>36779.339999999997</v>
      </c>
      <c r="P259" s="155">
        <f>+IF(OR($Q259=Parametres!$G$2,$Q259=Parametres!$G$3),K259,E259)</f>
        <v>169011.58</v>
      </c>
      <c r="Q259" s="154" t="str">
        <f t="shared" si="37"/>
        <v>6-Coût des ventes</v>
      </c>
      <c r="R259" s="153" t="str">
        <f t="shared" si="38"/>
        <v>4703</v>
      </c>
      <c r="S259" s="154">
        <f t="shared" si="39"/>
        <v>0</v>
      </c>
      <c r="T259" s="156" t="str">
        <f>+VLOOKUP($L259,Data_Validation!$A:$D,1,0)</f>
        <v>5703</v>
      </c>
      <c r="U259" s="156" t="str">
        <f>+VLOOKUP($L259,Data_Validation!$A:$D,3,0)</f>
        <v>Pièces</v>
      </c>
      <c r="V259" s="156" t="str">
        <f>+VLOOKUP($L259,Data_Validation!$A:$D,4,0)</f>
        <v>P/A Garantie</v>
      </c>
      <c r="W259" s="156" t="str">
        <f>+VLOOKUP($L259,Data_Validation!$A:$E,5,0)</f>
        <v>$</v>
      </c>
      <c r="X259" s="156">
        <f>+VLOOKUP($L259,Data_Validation!$A:$F,6,0)</f>
        <v>0</v>
      </c>
    </row>
    <row r="260" spans="1:24" ht="15" hidden="1" customHeight="1">
      <c r="A260" s="1013" t="s">
        <v>2811</v>
      </c>
      <c r="B260" s="1013" t="s">
        <v>2812</v>
      </c>
      <c r="C260" s="1015">
        <v>33093.47</v>
      </c>
      <c r="D260" s="1015">
        <v>35357.910000000003</v>
      </c>
      <c r="E260" s="1015">
        <v>68451.38</v>
      </c>
      <c r="F260" s="1013" t="s">
        <v>424</v>
      </c>
      <c r="G260" s="1013" t="s">
        <v>2048</v>
      </c>
      <c r="H260" s="150"/>
      <c r="I260" s="157"/>
      <c r="J260" s="157"/>
      <c r="K260" s="157"/>
      <c r="L260" s="153" t="str">
        <f t="shared" si="35"/>
        <v>5705</v>
      </c>
      <c r="M260" s="154" t="str">
        <f t="shared" si="36"/>
        <v>C/V - PIECE/ACC B.R. INTERNE VW</v>
      </c>
      <c r="N260" s="155">
        <f>+IF(OR($Q260=Parametres!$G$2,$Q260=Parametres!$G$3),I260,C260)</f>
        <v>33093.47</v>
      </c>
      <c r="O260" s="155">
        <f>+IF(OR($Q260=Parametres!$G$2,$Q260=Parametres!$G$3),J260,D260)</f>
        <v>35357.910000000003</v>
      </c>
      <c r="P260" s="155">
        <f>+IF(OR($Q260=Parametres!$G$2,$Q260=Parametres!$G$3),K260,E260)</f>
        <v>68451.38</v>
      </c>
      <c r="Q260" s="154" t="str">
        <f t="shared" si="37"/>
        <v>6-Coût des ventes</v>
      </c>
      <c r="R260" s="153" t="str">
        <f t="shared" si="38"/>
        <v>4705</v>
      </c>
      <c r="S260" s="154">
        <f t="shared" si="39"/>
        <v>0</v>
      </c>
      <c r="T260" s="156" t="str">
        <f>+VLOOKUP($L260,Data_Validation!$A:$D,1,0)</f>
        <v>5705</v>
      </c>
      <c r="U260" s="156" t="str">
        <f>+VLOOKUP($L260,Data_Validation!$A:$D,3,0)</f>
        <v>Pièces</v>
      </c>
      <c r="V260" s="156" t="str">
        <f>+VLOOKUP($L260,Data_Validation!$A:$D,4,0)</f>
        <v>Ventes Internes</v>
      </c>
      <c r="W260" s="156" t="str">
        <f>+VLOOKUP($L260,Data_Validation!$A:$E,5,0)</f>
        <v>$</v>
      </c>
      <c r="X260" s="156">
        <f>+VLOOKUP($L260,Data_Validation!$A:$F,6,0)</f>
        <v>0</v>
      </c>
    </row>
    <row r="261" spans="1:24" ht="15" hidden="1" customHeight="1">
      <c r="A261" s="1013" t="s">
        <v>2658</v>
      </c>
      <c r="B261" s="1013" t="s">
        <v>2659</v>
      </c>
      <c r="C261" s="1015">
        <v>882.02</v>
      </c>
      <c r="D261" s="1015">
        <v>380.6</v>
      </c>
      <c r="E261" s="1015">
        <v>1262.6199999999999</v>
      </c>
      <c r="F261" s="1013" t="s">
        <v>424</v>
      </c>
      <c r="G261" s="1013" t="s">
        <v>2169</v>
      </c>
      <c r="H261" s="150"/>
      <c r="I261" s="151"/>
      <c r="J261" s="151"/>
      <c r="K261" s="151"/>
      <c r="L261" s="153" t="str">
        <f t="shared" si="35"/>
        <v>5706</v>
      </c>
      <c r="M261" s="154" t="str">
        <f t="shared" si="36"/>
        <v>C/V - SHOP SUPPLY VW</v>
      </c>
      <c r="N261" s="155">
        <f>+IF(OR($Q261=Parametres!$G$2,$Q261=Parametres!$G$3),I261,C261)</f>
        <v>882.02</v>
      </c>
      <c r="O261" s="155">
        <f>+IF(OR($Q261=Parametres!$G$2,$Q261=Parametres!$G$3),J261,D261)</f>
        <v>380.6</v>
      </c>
      <c r="P261" s="155">
        <f>+IF(OR($Q261=Parametres!$G$2,$Q261=Parametres!$G$3),K261,E261)</f>
        <v>1262.6199999999999</v>
      </c>
      <c r="Q261" s="154" t="str">
        <f t="shared" si="37"/>
        <v>6-Coût des ventes</v>
      </c>
      <c r="R261" s="153" t="str">
        <f t="shared" si="38"/>
        <v>4706</v>
      </c>
      <c r="S261" s="154">
        <f t="shared" si="39"/>
        <v>0</v>
      </c>
      <c r="T261" s="156" t="str">
        <f>+VLOOKUP($L261,Data_Validation!$A:$D,1,0)</f>
        <v>5706</v>
      </c>
      <c r="U261" s="156" t="str">
        <f>+VLOOKUP($L261,Data_Validation!$A:$D,3,0)</f>
        <v>Service</v>
      </c>
      <c r="V261" s="156" t="str">
        <f>+VLOOKUP($L261,Data_Validation!$A:$D,4,0)</f>
        <v>M/O Interne</v>
      </c>
      <c r="W261" s="156" t="str">
        <f>+VLOOKUP($L261,Data_Validation!$A:$E,5,0)</f>
        <v>$</v>
      </c>
      <c r="X261" s="156">
        <f>+VLOOKUP($L261,Data_Validation!$A:$F,6,0)</f>
        <v>0</v>
      </c>
    </row>
    <row r="262" spans="1:24" ht="15.75" hidden="1" customHeight="1">
      <c r="A262" s="1013" t="s">
        <v>2460</v>
      </c>
      <c r="B262" s="1013" t="s">
        <v>2728</v>
      </c>
      <c r="C262" s="1015">
        <v>5377.94</v>
      </c>
      <c r="D262" s="1015">
        <v>3522.84</v>
      </c>
      <c r="E262" s="1015">
        <v>8900.7800000000007</v>
      </c>
      <c r="F262" s="1013" t="s">
        <v>424</v>
      </c>
      <c r="G262" s="1013" t="s">
        <v>2115</v>
      </c>
      <c r="H262" s="150"/>
      <c r="I262" s="157"/>
      <c r="J262" s="157"/>
      <c r="K262" s="157"/>
      <c r="L262" s="153" t="str">
        <f t="shared" si="35"/>
        <v>5711</v>
      </c>
      <c r="M262" s="154" t="str">
        <f t="shared" si="36"/>
        <v>C/V - AUTRE PIECE/ACC/CARR B.R. CLIENT</v>
      </c>
      <c r="N262" s="155">
        <f>+IF(OR($Q262=Parametres!$G$2,$Q262=Parametres!$G$3),I262,C262)</f>
        <v>5377.94</v>
      </c>
      <c r="O262" s="155">
        <f>+IF(OR($Q262=Parametres!$G$2,$Q262=Parametres!$G$3),J262,D262)</f>
        <v>3522.84</v>
      </c>
      <c r="P262" s="155">
        <f>+IF(OR($Q262=Parametres!$G$2,$Q262=Parametres!$G$3),K262,E262)</f>
        <v>8900.7800000000007</v>
      </c>
      <c r="Q262" s="154" t="str">
        <f t="shared" si="37"/>
        <v>6-Coût des ventes</v>
      </c>
      <c r="R262" s="153" t="str">
        <f t="shared" si="38"/>
        <v>4711</v>
      </c>
      <c r="S262" s="154">
        <f t="shared" si="39"/>
        <v>0</v>
      </c>
      <c r="T262" s="156" t="str">
        <f>+VLOOKUP($L262,Data_Validation!$A:$D,1,0)</f>
        <v>5711</v>
      </c>
      <c r="U262" s="156" t="str">
        <f>+VLOOKUP($L262,Data_Validation!$A:$D,3,0)</f>
        <v>Pièces</v>
      </c>
      <c r="V262" s="156" t="str">
        <f>+VLOOKUP($L262,Data_Validation!$A:$D,4,0)</f>
        <v>Pièces Ro Clients</v>
      </c>
      <c r="W262" s="156" t="str">
        <f>+VLOOKUP($L262,Data_Validation!$A:$E,5,0)</f>
        <v>$</v>
      </c>
      <c r="X262" s="156">
        <f>+VLOOKUP($L262,Data_Validation!$A:$F,6,0)</f>
        <v>0</v>
      </c>
    </row>
    <row r="263" spans="1:24" ht="15" hidden="1" customHeight="1">
      <c r="A263" s="1013" t="s">
        <v>2754</v>
      </c>
      <c r="B263" s="1013" t="s">
        <v>2755</v>
      </c>
      <c r="C263" s="1015">
        <v>7479.45</v>
      </c>
      <c r="D263" s="1015">
        <v>5987.69</v>
      </c>
      <c r="E263" s="1015">
        <v>13467.14</v>
      </c>
      <c r="F263" s="1013" t="s">
        <v>424</v>
      </c>
      <c r="G263" s="1013" t="s">
        <v>2108</v>
      </c>
      <c r="H263" s="949"/>
      <c r="I263" s="948"/>
      <c r="J263" s="948"/>
      <c r="K263" s="948"/>
      <c r="L263" s="153" t="str">
        <f t="shared" si="35"/>
        <v>5731</v>
      </c>
      <c r="M263" s="154" t="str">
        <f t="shared" si="36"/>
        <v>C/V - PIECES-BON REPAR.-PEINT/DEBOS</v>
      </c>
      <c r="N263" s="155">
        <f>+IF(OR($Q263=Parametres!$G$2,$Q263=Parametres!$G$3),I263,C263)</f>
        <v>7479.45</v>
      </c>
      <c r="O263" s="155">
        <f>+IF(OR($Q263=Parametres!$G$2,$Q263=Parametres!$G$3),J263,D263)</f>
        <v>5987.69</v>
      </c>
      <c r="P263" s="155">
        <f>+IF(OR($Q263=Parametres!$G$2,$Q263=Parametres!$G$3),K263,E263)</f>
        <v>13467.14</v>
      </c>
      <c r="Q263" s="154" t="str">
        <f t="shared" si="37"/>
        <v>6-Coût des ventes</v>
      </c>
      <c r="R263" s="153" t="str">
        <f t="shared" si="38"/>
        <v>4731</v>
      </c>
      <c r="S263" s="154">
        <f t="shared" si="39"/>
        <v>0</v>
      </c>
      <c r="T263" s="156" t="str">
        <f>+VLOOKUP($L263,Data_Validation!$A:$D,1,0)</f>
        <v>5731</v>
      </c>
      <c r="U263" s="156" t="str">
        <f>+VLOOKUP($L263,Data_Validation!$A:$D,3,0)</f>
        <v>Pièces</v>
      </c>
      <c r="V263" s="156" t="str">
        <f>+VLOOKUP($L263,Data_Validation!$A:$D,4,0)</f>
        <v>Pièces Ro Carrosserie</v>
      </c>
      <c r="W263" s="156" t="str">
        <f>+VLOOKUP($L263,Data_Validation!$A:$E,5,0)</f>
        <v>$</v>
      </c>
      <c r="X263" s="156">
        <f>+VLOOKUP($L263,Data_Validation!$A:$F,6,0)</f>
        <v>0</v>
      </c>
    </row>
    <row r="264" spans="1:24" ht="15" hidden="1" customHeight="1">
      <c r="A264" s="1013" t="s">
        <v>2787</v>
      </c>
      <c r="B264" s="1013" t="s">
        <v>2788</v>
      </c>
      <c r="C264" s="1015">
        <v>67729.64</v>
      </c>
      <c r="D264" s="1015">
        <v>20043.23</v>
      </c>
      <c r="E264" s="1015">
        <v>87772.87</v>
      </c>
      <c r="F264" s="1013" t="s">
        <v>424</v>
      </c>
      <c r="G264" s="1013" t="s">
        <v>2091</v>
      </c>
      <c r="H264" s="949"/>
      <c r="I264" s="948"/>
      <c r="J264" s="948"/>
      <c r="K264" s="948"/>
      <c r="L264" s="153" t="str">
        <f t="shared" si="35"/>
        <v>5733</v>
      </c>
      <c r="M264" s="154" t="str">
        <f t="shared" si="36"/>
        <v>C/V - P&amp;A B.T. GAR.CARR.VW</v>
      </c>
      <c r="N264" s="155">
        <f>+IF(OR($Q264=Parametres!$G$2,$Q264=Parametres!$G$3),I264,C264)</f>
        <v>67729.64</v>
      </c>
      <c r="O264" s="155">
        <f>+IF(OR($Q264=Parametres!$G$2,$Q264=Parametres!$G$3),J264,D264)</f>
        <v>20043.23</v>
      </c>
      <c r="P264" s="155">
        <f>+IF(OR($Q264=Parametres!$G$2,$Q264=Parametres!$G$3),K264,E264)</f>
        <v>87772.87</v>
      </c>
      <c r="Q264" s="154" t="str">
        <f t="shared" si="37"/>
        <v>6-Coût des ventes</v>
      </c>
      <c r="R264" s="153" t="str">
        <f t="shared" si="38"/>
        <v>4733</v>
      </c>
      <c r="S264" s="154">
        <f t="shared" si="39"/>
        <v>0</v>
      </c>
      <c r="T264" s="156" t="str">
        <f>+VLOOKUP($L264,Data_Validation!$A:$D,1,0)</f>
        <v>5733</v>
      </c>
      <c r="U264" s="156" t="str">
        <f>+VLOOKUP($L264,Data_Validation!$A:$D,3,0)</f>
        <v>Pièces</v>
      </c>
      <c r="V264" s="156" t="str">
        <f>+VLOOKUP($L264,Data_Validation!$A:$D,4,0)</f>
        <v>Pièces Ro Carrosserie</v>
      </c>
      <c r="W264" s="156" t="str">
        <f>+VLOOKUP($L264,Data_Validation!$A:$E,5,0)</f>
        <v>$</v>
      </c>
      <c r="X264" s="156">
        <f>+VLOOKUP($L264,Data_Validation!$A:$F,6,0)</f>
        <v>0</v>
      </c>
    </row>
    <row r="265" spans="1:24" ht="15" hidden="1" customHeight="1">
      <c r="A265" s="1013" t="s">
        <v>2668</v>
      </c>
      <c r="B265" s="1013" t="s">
        <v>2669</v>
      </c>
      <c r="C265" s="1015">
        <v>73.099999999999994</v>
      </c>
      <c r="D265" s="1015">
        <v>715.29</v>
      </c>
      <c r="E265" s="1015">
        <v>788.39</v>
      </c>
      <c r="F265" s="1013" t="s">
        <v>424</v>
      </c>
      <c r="G265" s="1013" t="s">
        <v>2166</v>
      </c>
      <c r="H265" s="949"/>
      <c r="I265" s="948"/>
      <c r="J265" s="948"/>
      <c r="K265" s="948"/>
      <c r="L265" s="153" t="str">
        <f t="shared" si="35"/>
        <v>5735</v>
      </c>
      <c r="M265" s="154" t="str">
        <f t="shared" si="36"/>
        <v>C/V - P&amp;A B.T.INTERNE CARR.VW</v>
      </c>
      <c r="N265" s="155">
        <f>+IF(OR($Q265=Parametres!$G$2,$Q265=Parametres!$G$3),I265,C265)</f>
        <v>73.099999999999994</v>
      </c>
      <c r="O265" s="155">
        <f>+IF(OR($Q265=Parametres!$G$2,$Q265=Parametres!$G$3),J265,D265)</f>
        <v>715.29</v>
      </c>
      <c r="P265" s="155">
        <f>+IF(OR($Q265=Parametres!$G$2,$Q265=Parametres!$G$3),K265,E265)</f>
        <v>788.39</v>
      </c>
      <c r="Q265" s="154" t="str">
        <f t="shared" si="37"/>
        <v>6-Coût des ventes</v>
      </c>
      <c r="R265" s="153" t="str">
        <f t="shared" si="38"/>
        <v>4735</v>
      </c>
      <c r="S265" s="154">
        <f t="shared" si="39"/>
        <v>0</v>
      </c>
      <c r="T265" s="156" t="str">
        <f>+VLOOKUP($L265,Data_Validation!$A:$D,1,0)</f>
        <v>5735</v>
      </c>
      <c r="U265" s="156" t="str">
        <f>+VLOOKUP($L265,Data_Validation!$A:$D,3,0)</f>
        <v>Pièces</v>
      </c>
      <c r="V265" s="156" t="str">
        <f>+VLOOKUP($L265,Data_Validation!$A:$D,4,0)</f>
        <v>Pièces Ro Carrosserie</v>
      </c>
      <c r="W265" s="156" t="str">
        <f>+VLOOKUP($L265,Data_Validation!$A:$E,5,0)</f>
        <v>$</v>
      </c>
      <c r="X265" s="156">
        <f>+VLOOKUP($L265,Data_Validation!$A:$F,6,0)</f>
        <v>0</v>
      </c>
    </row>
    <row r="266" spans="1:24" ht="15" hidden="1" customHeight="1">
      <c r="A266" s="1013" t="s">
        <v>2794</v>
      </c>
      <c r="B266" s="1013" t="s">
        <v>2795</v>
      </c>
      <c r="C266" s="1015">
        <v>13916.61</v>
      </c>
      <c r="D266" s="1015">
        <v>9407.0300000000007</v>
      </c>
      <c r="E266" s="1015">
        <v>23323.64</v>
      </c>
      <c r="F266" s="1013" t="s">
        <v>424</v>
      </c>
      <c r="G266" s="1013" t="s">
        <v>2083</v>
      </c>
      <c r="H266" s="150"/>
      <c r="I266" s="157"/>
      <c r="J266" s="157"/>
      <c r="K266" s="157"/>
      <c r="L266" s="153" t="str">
        <f t="shared" si="35"/>
        <v>5761</v>
      </c>
      <c r="M266" s="154" t="str">
        <f t="shared" si="36"/>
        <v>C/V - P&amp;A VW COMPTOIR - DETAIL</v>
      </c>
      <c r="N266" s="155">
        <f>+IF(OR($Q266=Parametres!$G$2,$Q266=Parametres!$G$3),I266,C266)</f>
        <v>13916.61</v>
      </c>
      <c r="O266" s="155">
        <f>+IF(OR($Q266=Parametres!$G$2,$Q266=Parametres!$G$3),J266,D266)</f>
        <v>9407.0300000000007</v>
      </c>
      <c r="P266" s="155">
        <f>+IF(OR($Q266=Parametres!$G$2,$Q266=Parametres!$G$3),K266,E266)</f>
        <v>23323.64</v>
      </c>
      <c r="Q266" s="154" t="str">
        <f t="shared" si="37"/>
        <v>6-Coût des ventes</v>
      </c>
      <c r="R266" s="153" t="str">
        <f t="shared" si="38"/>
        <v>4761</v>
      </c>
      <c r="S266" s="154">
        <f t="shared" si="39"/>
        <v>0</v>
      </c>
      <c r="T266" s="156" t="str">
        <f>+VLOOKUP($L266,Data_Validation!$A:$D,1,0)</f>
        <v>5761</v>
      </c>
      <c r="U266" s="156" t="str">
        <f>+VLOOKUP($L266,Data_Validation!$A:$D,3,0)</f>
        <v>Pièces</v>
      </c>
      <c r="V266" s="156" t="str">
        <f>+VLOOKUP($L266,Data_Validation!$A:$D,4,0)</f>
        <v>Ventes Détails</v>
      </c>
      <c r="W266" s="156" t="str">
        <f>+VLOOKUP($L266,Data_Validation!$A:$E,5,0)</f>
        <v>$</v>
      </c>
      <c r="X266" s="156">
        <f>+VLOOKUP($L266,Data_Validation!$A:$F,6,0)</f>
        <v>0</v>
      </c>
    </row>
    <row r="267" spans="1:24" ht="15" hidden="1" customHeight="1">
      <c r="A267" s="1013" t="s">
        <v>2816</v>
      </c>
      <c r="B267" s="1013" t="s">
        <v>2817</v>
      </c>
      <c r="C267" s="1015">
        <v>62085.120000000003</v>
      </c>
      <c r="D267" s="1015">
        <v>42479.98</v>
      </c>
      <c r="E267" s="1015">
        <v>104565.1</v>
      </c>
      <c r="F267" s="1013" t="s">
        <v>424</v>
      </c>
      <c r="G267" s="1013" t="s">
        <v>2046</v>
      </c>
      <c r="H267" s="150"/>
      <c r="I267" s="157"/>
      <c r="J267" s="157"/>
      <c r="K267" s="157"/>
      <c r="L267" s="153" t="str">
        <f t="shared" si="35"/>
        <v>5763</v>
      </c>
      <c r="M267" s="154" t="str">
        <f t="shared" si="36"/>
        <v>C/V - P&amp;A VW COMPTOIR GROS - ECHANGE</v>
      </c>
      <c r="N267" s="155">
        <f>+IF(OR($Q267=Parametres!$G$2,$Q267=Parametres!$G$3),I267,C267)</f>
        <v>62085.120000000003</v>
      </c>
      <c r="O267" s="155">
        <f>+IF(OR($Q267=Parametres!$G$2,$Q267=Parametres!$G$3),J267,D267)</f>
        <v>42479.98</v>
      </c>
      <c r="P267" s="155">
        <f>+IF(OR($Q267=Parametres!$G$2,$Q267=Parametres!$G$3),K267,E267)</f>
        <v>104565.1</v>
      </c>
      <c r="Q267" s="154" t="str">
        <f t="shared" si="37"/>
        <v>6-Coût des ventes</v>
      </c>
      <c r="R267" s="153" t="str">
        <f t="shared" si="38"/>
        <v>4763</v>
      </c>
      <c r="S267" s="154">
        <f t="shared" si="39"/>
        <v>0</v>
      </c>
      <c r="T267" s="156" t="str">
        <f>+VLOOKUP($L267,Data_Validation!$A:$D,1,0)</f>
        <v>5763</v>
      </c>
      <c r="U267" s="156" t="str">
        <f>+VLOOKUP($L267,Data_Validation!$A:$D,3,0)</f>
        <v>Pièces</v>
      </c>
      <c r="V267" s="156" t="str">
        <f>+VLOOKUP($L267,Data_Validation!$A:$D,4,0)</f>
        <v>Ventes de Gros</v>
      </c>
      <c r="W267" s="156" t="str">
        <f>+VLOOKUP($L267,Data_Validation!$A:$E,5,0)</f>
        <v>$</v>
      </c>
      <c r="X267" s="156">
        <f>+VLOOKUP($L267,Data_Validation!$A:$F,6,0)</f>
        <v>0</v>
      </c>
    </row>
    <row r="268" spans="1:24" ht="15" hidden="1" customHeight="1">
      <c r="A268" s="1013" t="s">
        <v>2820</v>
      </c>
      <c r="B268" s="1013" t="s">
        <v>2821</v>
      </c>
      <c r="C268" s="1015">
        <v>34778.74</v>
      </c>
      <c r="D268" s="1015">
        <v>23085.17</v>
      </c>
      <c r="E268" s="1015">
        <v>57863.91</v>
      </c>
      <c r="F268" s="1013" t="s">
        <v>424</v>
      </c>
      <c r="G268" s="1013" t="s">
        <v>2035</v>
      </c>
      <c r="H268" s="949"/>
      <c r="I268" s="948"/>
      <c r="J268" s="948"/>
      <c r="K268" s="948"/>
      <c r="L268" s="153" t="str">
        <f t="shared" si="35"/>
        <v>5781</v>
      </c>
      <c r="M268" s="154" t="str">
        <f t="shared" si="36"/>
        <v>COUT PNEUS</v>
      </c>
      <c r="N268" s="155">
        <f>+IF(OR($Q268=Parametres!$G$2,$Q268=Parametres!$G$3),I268,C268)</f>
        <v>34778.74</v>
      </c>
      <c r="O268" s="155">
        <f>+IF(OR($Q268=Parametres!$G$2,$Q268=Parametres!$G$3),J268,D268)</f>
        <v>23085.17</v>
      </c>
      <c r="P268" s="155">
        <f>+IF(OR($Q268=Parametres!$G$2,$Q268=Parametres!$G$3),K268,E268)</f>
        <v>57863.91</v>
      </c>
      <c r="Q268" s="154" t="str">
        <f t="shared" si="37"/>
        <v>6-Coût des ventes</v>
      </c>
      <c r="R268" s="153" t="str">
        <f t="shared" si="38"/>
        <v>4781</v>
      </c>
      <c r="S268" s="154">
        <f t="shared" si="39"/>
        <v>0</v>
      </c>
      <c r="T268" s="156" t="str">
        <f>+VLOOKUP($L268,Data_Validation!$A:$D,1,0)</f>
        <v>5781</v>
      </c>
      <c r="U268" s="156" t="str">
        <f>+VLOOKUP($L268,Data_Validation!$A:$D,3,0)</f>
        <v>Pièces</v>
      </c>
      <c r="V268" s="156" t="str">
        <f>+VLOOKUP($L268,Data_Validation!$A:$D,4,0)</f>
        <v>Ventes Pneus</v>
      </c>
      <c r="W268" s="156" t="str">
        <f>+VLOOKUP($L268,Data_Validation!$A:$E,5,0)</f>
        <v>$</v>
      </c>
      <c r="X268" s="156">
        <f>+VLOOKUP($L268,Data_Validation!$A:$F,6,0)</f>
        <v>0</v>
      </c>
    </row>
    <row r="269" spans="1:24" ht="15" hidden="1" customHeight="1">
      <c r="A269" s="1013" t="s">
        <v>2729</v>
      </c>
      <c r="B269" s="1013" t="s">
        <v>2730</v>
      </c>
      <c r="C269" s="1015">
        <v>123.54</v>
      </c>
      <c r="D269" s="1015">
        <v>0</v>
      </c>
      <c r="E269" s="1015">
        <v>123.54</v>
      </c>
      <c r="F269" s="1013" t="s">
        <v>424</v>
      </c>
      <c r="G269" s="1013" t="s">
        <v>2035</v>
      </c>
      <c r="H269" s="150"/>
      <c r="I269" s="157"/>
      <c r="J269" s="157"/>
      <c r="K269" s="157"/>
      <c r="L269" s="153" t="str">
        <f t="shared" si="35"/>
        <v>5785</v>
      </c>
      <c r="M269" s="154" t="str">
        <f t="shared" si="36"/>
        <v>C/V - VW PNEUS</v>
      </c>
      <c r="N269" s="155">
        <f>+IF(OR($Q269=Parametres!$G$2,$Q269=Parametres!$G$3),I269,C269)</f>
        <v>123.54</v>
      </c>
      <c r="O269" s="155">
        <f>+IF(OR($Q269=Parametres!$G$2,$Q269=Parametres!$G$3),J269,D269)</f>
        <v>0</v>
      </c>
      <c r="P269" s="155">
        <f>+IF(OR($Q269=Parametres!$G$2,$Q269=Parametres!$G$3),K269,E269)</f>
        <v>123.54</v>
      </c>
      <c r="Q269" s="154" t="str">
        <f t="shared" si="37"/>
        <v>6-Coût des ventes</v>
      </c>
      <c r="R269" s="153" t="str">
        <f t="shared" si="38"/>
        <v>4781</v>
      </c>
      <c r="S269" s="154">
        <f t="shared" si="39"/>
        <v>0</v>
      </c>
      <c r="T269" s="156" t="str">
        <f>+VLOOKUP($L269,Data_Validation!$A:$D,1,0)</f>
        <v>5785</v>
      </c>
      <c r="U269" s="156" t="str">
        <f>+VLOOKUP($L269,Data_Validation!$A:$D,3,0)</f>
        <v>Pièces</v>
      </c>
      <c r="V269" s="156" t="str">
        <f>+VLOOKUP($L269,Data_Validation!$A:$D,4,0)</f>
        <v>Ventes Pneus</v>
      </c>
      <c r="W269" s="156" t="str">
        <f>+VLOOKUP($L269,Data_Validation!$A:$E,5,0)</f>
        <v>$</v>
      </c>
      <c r="X269" s="156">
        <f>+VLOOKUP($L269,Data_Validation!$A:$F,6,0)</f>
        <v>0</v>
      </c>
    </row>
    <row r="270" spans="1:24" ht="15" hidden="1" customHeight="1">
      <c r="A270" s="1013" t="s">
        <v>2135</v>
      </c>
      <c r="B270" s="1013" t="s">
        <v>2136</v>
      </c>
      <c r="C270" s="1015">
        <v>677.86</v>
      </c>
      <c r="D270" s="1015">
        <v>-740.62</v>
      </c>
      <c r="E270" s="1015">
        <v>-62.76</v>
      </c>
      <c r="F270" s="1013" t="s">
        <v>424</v>
      </c>
      <c r="G270" s="1013" t="s">
        <v>2137</v>
      </c>
      <c r="H270" s="150"/>
      <c r="I270" s="151"/>
      <c r="J270" s="151"/>
      <c r="K270" s="151"/>
      <c r="L270" s="153" t="str">
        <f t="shared" si="35"/>
        <v>5796</v>
      </c>
      <c r="M270" s="154" t="str">
        <f t="shared" si="36"/>
        <v>C/V - BONI / ESCPTE PI VW</v>
      </c>
      <c r="N270" s="155">
        <f>+IF(OR($Q270=Parametres!$G$2,$Q270=Parametres!$G$3),I270,C270)</f>
        <v>677.86</v>
      </c>
      <c r="O270" s="155">
        <f>+IF(OR($Q270=Parametres!$G$2,$Q270=Parametres!$G$3),J270,D270)</f>
        <v>-740.62</v>
      </c>
      <c r="P270" s="155">
        <f>+IF(OR($Q270=Parametres!$G$2,$Q270=Parametres!$G$3),K270,E270)</f>
        <v>-62.76</v>
      </c>
      <c r="Q270" s="154" t="str">
        <f t="shared" si="37"/>
        <v>6-Coût des ventes</v>
      </c>
      <c r="R270" s="153" t="str">
        <f t="shared" si="38"/>
        <v>5792</v>
      </c>
      <c r="S270" s="154">
        <f t="shared" si="39"/>
        <v>0</v>
      </c>
      <c r="T270" s="156" t="str">
        <f>+VLOOKUP($L270,Data_Validation!$A:$D,1,0)</f>
        <v>5796</v>
      </c>
      <c r="U270" s="156" t="str">
        <f>+VLOOKUP($L270,Data_Validation!$A:$D,3,0)</f>
        <v>Pièces</v>
      </c>
      <c r="V270" s="156" t="str">
        <f>+VLOOKUP($L270,Data_Validation!$A:$D,4,0)</f>
        <v>Escomptes</v>
      </c>
      <c r="W270" s="156" t="str">
        <f>+VLOOKUP($L270,Data_Validation!$A:$E,5,0)</f>
        <v>$</v>
      </c>
      <c r="X270" s="156">
        <f>+VLOOKUP($L270,Data_Validation!$A:$F,6,0)</f>
        <v>0</v>
      </c>
    </row>
    <row r="271" spans="1:24" ht="15" hidden="1" customHeight="1">
      <c r="A271" s="1013" t="s">
        <v>1523</v>
      </c>
      <c r="B271" s="1013" t="s">
        <v>2781</v>
      </c>
      <c r="C271" s="1015">
        <v>47637.16</v>
      </c>
      <c r="D271" s="1015">
        <v>41980.82</v>
      </c>
      <c r="E271" s="1015">
        <v>89617.98</v>
      </c>
      <c r="F271" s="1013" t="s">
        <v>401</v>
      </c>
      <c r="G271" s="1013" t="s">
        <v>2781</v>
      </c>
      <c r="H271" s="949"/>
      <c r="I271" s="948"/>
      <c r="J271" s="948"/>
      <c r="K271" s="948"/>
      <c r="L271" s="153" t="str">
        <f t="shared" si="35"/>
        <v>6101</v>
      </c>
      <c r="M271" s="154" t="str">
        <f t="shared" si="36"/>
        <v>COMMISSION VENDEUR NEUFS</v>
      </c>
      <c r="N271" s="155">
        <f>+IF(OR($Q271=Parametres!$G$2,$Q271=Parametres!$G$3),I271,C271)</f>
        <v>47637.16</v>
      </c>
      <c r="O271" s="155">
        <f>+IF(OR($Q271=Parametres!$G$2,$Q271=Parametres!$G$3),J271,D271)</f>
        <v>41980.82</v>
      </c>
      <c r="P271" s="155">
        <f>+IF(OR($Q271=Parametres!$G$2,$Q271=Parametres!$G$3),K271,E271)</f>
        <v>89617.98</v>
      </c>
      <c r="Q271" s="154" t="str">
        <f t="shared" si="37"/>
        <v>7-Dépenses</v>
      </c>
      <c r="R271" s="153" t="str">
        <f t="shared" si="38"/>
        <v>6101</v>
      </c>
      <c r="S271" s="154">
        <f t="shared" si="39"/>
        <v>0</v>
      </c>
      <c r="T271" s="156" t="str">
        <f>+VLOOKUP($L271,Data_Validation!$A:$D,1,0)</f>
        <v>6101</v>
      </c>
      <c r="U271" s="156" t="str">
        <f>+VLOOKUP($L271,Data_Validation!$A:$D,3,0)</f>
        <v>Véhicules neufs</v>
      </c>
      <c r="V271" s="156" t="str">
        <f>+VLOOKUP($L271,Data_Validation!$A:$D,4,0)</f>
        <v>Comm. vendeurs</v>
      </c>
      <c r="W271" s="156" t="str">
        <f>+VLOOKUP($L271,Data_Validation!$A:$E,5,0)</f>
        <v>$</v>
      </c>
      <c r="X271" s="156">
        <f>+VLOOKUP($L271,Data_Validation!$A:$F,6,0)</f>
        <v>0</v>
      </c>
    </row>
    <row r="272" spans="1:24" ht="15.75" hidden="1" customHeight="1">
      <c r="A272" s="1013" t="s">
        <v>1442</v>
      </c>
      <c r="B272" s="1013" t="s">
        <v>2770</v>
      </c>
      <c r="C272" s="1015">
        <v>14347.96</v>
      </c>
      <c r="D272" s="1015">
        <v>15873.98</v>
      </c>
      <c r="E272" s="1015">
        <v>30221.94</v>
      </c>
      <c r="F272" s="1013" t="s">
        <v>401</v>
      </c>
      <c r="G272" s="1013" t="s">
        <v>2770</v>
      </c>
      <c r="H272" s="949"/>
      <c r="I272" s="948"/>
      <c r="J272" s="948"/>
      <c r="K272" s="948"/>
      <c r="L272" s="153" t="str">
        <f t="shared" si="35"/>
        <v>6102</v>
      </c>
      <c r="M272" s="154" t="str">
        <f t="shared" si="36"/>
        <v>RENUMERATION F &amp; I</v>
      </c>
      <c r="N272" s="155">
        <f>+IF(OR($Q272=Parametres!$G$2,$Q272=Parametres!$G$3),I272,C272)</f>
        <v>14347.96</v>
      </c>
      <c r="O272" s="155">
        <f>+IF(OR($Q272=Parametres!$G$2,$Q272=Parametres!$G$3),J272,D272)</f>
        <v>15873.98</v>
      </c>
      <c r="P272" s="155">
        <f>+IF(OR($Q272=Parametres!$G$2,$Q272=Parametres!$G$3),K272,E272)</f>
        <v>30221.94</v>
      </c>
      <c r="Q272" s="154" t="str">
        <f t="shared" si="37"/>
        <v>7-Dépenses</v>
      </c>
      <c r="R272" s="153" t="str">
        <f t="shared" si="38"/>
        <v>6102</v>
      </c>
      <c r="S272" s="154">
        <f t="shared" si="39"/>
        <v>0</v>
      </c>
      <c r="T272" s="156" t="str">
        <f>+VLOOKUP($L272,Data_Validation!$A:$D,1,0)</f>
        <v>6102</v>
      </c>
      <c r="U272" s="156" t="str">
        <f>+VLOOKUP($L272,Data_Validation!$A:$D,3,0)</f>
        <v>Véhicules neufs</v>
      </c>
      <c r="V272" s="156" t="str">
        <f>+VLOOKUP($L272,Data_Validation!$A:$D,4,0)</f>
        <v>Comm. F&amp;I</v>
      </c>
      <c r="W272" s="156" t="str">
        <f>+VLOOKUP($L272,Data_Validation!$A:$E,5,0)</f>
        <v>$</v>
      </c>
      <c r="X272" s="156">
        <f>+VLOOKUP($L272,Data_Validation!$A:$F,6,0)</f>
        <v>0</v>
      </c>
    </row>
    <row r="273" spans="1:24" ht="15" customHeight="1">
      <c r="A273" s="1013" t="s">
        <v>399</v>
      </c>
      <c r="B273" s="1013" t="s">
        <v>2706</v>
      </c>
      <c r="C273" s="1015">
        <v>487.59</v>
      </c>
      <c r="D273" s="1015">
        <v>0</v>
      </c>
      <c r="E273" s="1015">
        <v>487.59</v>
      </c>
      <c r="F273" s="1013" t="s">
        <v>401</v>
      </c>
      <c r="G273" s="1013" t="s">
        <v>2706</v>
      </c>
      <c r="H273" s="949"/>
      <c r="I273" s="948"/>
      <c r="J273" s="948"/>
      <c r="K273" s="948"/>
      <c r="L273" s="153" t="str">
        <f t="shared" si="35"/>
        <v>6103</v>
      </c>
      <c r="M273" s="154" t="str">
        <f t="shared" si="36"/>
        <v>RELAT. A LA CLIENTELE &amp; AJUST.</v>
      </c>
      <c r="N273" s="155">
        <f>+IF(OR($Q273=Parametres!$G$2,$Q273=Parametres!$G$3),I273,C273)</f>
        <v>487.59</v>
      </c>
      <c r="O273" s="155">
        <f>+IF(OR($Q273=Parametres!$G$2,$Q273=Parametres!$G$3),J273,D273)</f>
        <v>0</v>
      </c>
      <c r="P273" s="155">
        <f>+IF(OR($Q273=Parametres!$G$2,$Q273=Parametres!$G$3),K273,E273)</f>
        <v>487.59</v>
      </c>
      <c r="Q273" s="154" t="str">
        <f t="shared" si="37"/>
        <v>7-Dépenses</v>
      </c>
      <c r="R273" s="153" t="str">
        <f t="shared" si="38"/>
        <v>6103</v>
      </c>
      <c r="S273" s="154">
        <f t="shared" si="39"/>
        <v>0</v>
      </c>
      <c r="T273" s="156" t="str">
        <f>+VLOOKUP($L273,Data_Validation!$A:$D,1,0)</f>
        <v>6103</v>
      </c>
      <c r="U273" s="156" t="str">
        <f>+VLOOKUP($L273,Data_Validation!$A:$D,3,0)</f>
        <v>Véhicules neufs</v>
      </c>
      <c r="V273" s="156" t="str">
        <f>+VLOOKUP($L273,Data_Validation!$A:$D,4,0)</f>
        <v>Service gratuit 1</v>
      </c>
      <c r="W273" s="156" t="str">
        <f>+VLOOKUP($L273,Data_Validation!$A:$E,5,0)</f>
        <v>$</v>
      </c>
      <c r="X273" s="156">
        <f>+VLOOKUP($L273,Data_Validation!$A:$F,6,0)</f>
        <v>0</v>
      </c>
    </row>
    <row r="274" spans="1:24" ht="15" hidden="1" customHeight="1">
      <c r="A274" s="1013" t="s">
        <v>2757</v>
      </c>
      <c r="B274" s="1013" t="s">
        <v>2759</v>
      </c>
      <c r="C274" s="1015">
        <v>1241.5</v>
      </c>
      <c r="D274" s="1015">
        <v>40</v>
      </c>
      <c r="E274" s="1015">
        <v>1281.5</v>
      </c>
      <c r="F274" s="1013" t="s">
        <v>401</v>
      </c>
      <c r="G274" s="1013" t="s">
        <v>2759</v>
      </c>
      <c r="H274" s="150"/>
      <c r="I274" s="157"/>
      <c r="J274" s="157"/>
      <c r="K274" s="157"/>
      <c r="L274" s="153" t="str">
        <f t="shared" si="35"/>
        <v>6106</v>
      </c>
      <c r="M274" s="154" t="str">
        <f t="shared" si="36"/>
        <v>ENTRETIEN DES STOCKS</v>
      </c>
      <c r="N274" s="155">
        <f>+IF(OR($Q274=Parametres!$G$2,$Q274=Parametres!$G$3),I274,C274)</f>
        <v>1241.5</v>
      </c>
      <c r="O274" s="155">
        <f>+IF(OR($Q274=Parametres!$G$2,$Q274=Parametres!$G$3),J274,D274)</f>
        <v>40</v>
      </c>
      <c r="P274" s="155">
        <f>+IF(OR($Q274=Parametres!$G$2,$Q274=Parametres!$G$3),K274,E274)</f>
        <v>1281.5</v>
      </c>
      <c r="Q274" s="154" t="str">
        <f t="shared" si="37"/>
        <v>7-Dépenses</v>
      </c>
      <c r="R274" s="153" t="str">
        <f t="shared" si="38"/>
        <v>6106</v>
      </c>
      <c r="S274" s="154">
        <f t="shared" si="39"/>
        <v>0</v>
      </c>
      <c r="T274" s="156" t="str">
        <f>+VLOOKUP($L274,Data_Validation!$A:$D,1,0)</f>
        <v>6106</v>
      </c>
      <c r="U274" s="156" t="str">
        <f>+VLOOKUP($L274,Data_Validation!$A:$D,3,0)</f>
        <v>Véhicules neufs</v>
      </c>
      <c r="V274" s="156" t="str">
        <f>+VLOOKUP($L274,Data_Validation!$A:$D,4,0)</f>
        <v>Entretien stock</v>
      </c>
      <c r="W274" s="156" t="str">
        <f>+VLOOKUP($L274,Data_Validation!$A:$E,5,0)</f>
        <v>$</v>
      </c>
      <c r="X274" s="156">
        <f>+VLOOKUP($L274,Data_Validation!$A:$F,6,0)</f>
        <v>0</v>
      </c>
    </row>
    <row r="275" spans="1:24" ht="15" hidden="1" customHeight="1">
      <c r="A275" s="1013" t="s">
        <v>938</v>
      </c>
      <c r="B275" s="1013" t="s">
        <v>2612</v>
      </c>
      <c r="C275" s="1015">
        <v>23269.9</v>
      </c>
      <c r="D275" s="1015">
        <v>13421.4</v>
      </c>
      <c r="E275" s="1015">
        <v>36691.300000000003</v>
      </c>
      <c r="F275" s="1013" t="s">
        <v>401</v>
      </c>
      <c r="G275" s="1013" t="s">
        <v>2612</v>
      </c>
      <c r="H275" s="150"/>
      <c r="I275" s="151"/>
      <c r="J275" s="151"/>
      <c r="K275" s="151"/>
      <c r="L275" s="153" t="str">
        <f t="shared" si="35"/>
        <v>6107</v>
      </c>
      <c r="M275" s="154" t="str">
        <f t="shared" si="36"/>
        <v>INTERET-PLAN DE FINANCEMENT</v>
      </c>
      <c r="N275" s="155">
        <f>+IF(OR($Q275=Parametres!$G$2,$Q275=Parametres!$G$3),I275,C275)</f>
        <v>23269.9</v>
      </c>
      <c r="O275" s="155">
        <f>+IF(OR($Q275=Parametres!$G$2,$Q275=Parametres!$G$3),J275,D275)</f>
        <v>13421.4</v>
      </c>
      <c r="P275" s="155">
        <f>+IF(OR($Q275=Parametres!$G$2,$Q275=Parametres!$G$3),K275,E275)</f>
        <v>36691.300000000003</v>
      </c>
      <c r="Q275" s="154" t="str">
        <f t="shared" si="37"/>
        <v>7-Dépenses</v>
      </c>
      <c r="R275" s="153" t="str">
        <f t="shared" si="38"/>
        <v>6107</v>
      </c>
      <c r="S275" s="154">
        <f t="shared" si="39"/>
        <v>0</v>
      </c>
      <c r="T275" s="156" t="str">
        <f>+VLOOKUP($L275,Data_Validation!$A:$D,1,0)</f>
        <v>6107</v>
      </c>
      <c r="U275" s="156" t="str">
        <f>+VLOOKUP($L275,Data_Validation!$A:$D,3,0)</f>
        <v>Véhicules neufs</v>
      </c>
      <c r="V275" s="156" t="str">
        <f>+VLOOKUP($L275,Data_Validation!$A:$D,4,0)</f>
        <v>Intérêt de gros</v>
      </c>
      <c r="W275" s="156" t="str">
        <f>+VLOOKUP($L275,Data_Validation!$A:$E,5,0)</f>
        <v>$</v>
      </c>
      <c r="X275" s="156">
        <f>+VLOOKUP($L275,Data_Validation!$A:$F,6,0)</f>
        <v>0</v>
      </c>
    </row>
    <row r="276" spans="1:24" ht="15" hidden="1" customHeight="1">
      <c r="A276" s="1013" t="s">
        <v>1407</v>
      </c>
      <c r="B276" s="1013" t="s">
        <v>2696</v>
      </c>
      <c r="C276" s="1015">
        <v>11630.41</v>
      </c>
      <c r="D276" s="1015">
        <v>10574.37</v>
      </c>
      <c r="E276" s="1015">
        <v>22204.78</v>
      </c>
      <c r="F276" s="1013" t="s">
        <v>401</v>
      </c>
      <c r="G276" s="1013" t="s">
        <v>2696</v>
      </c>
      <c r="H276" s="150"/>
      <c r="I276" s="157"/>
      <c r="J276" s="157"/>
      <c r="K276" s="157"/>
      <c r="L276" s="153" t="str">
        <f t="shared" si="35"/>
        <v>6108</v>
      </c>
      <c r="M276" s="154" t="str">
        <f t="shared" si="36"/>
        <v>FRAIS DE LIVRAISON</v>
      </c>
      <c r="N276" s="155">
        <f>+IF(OR($Q276=Parametres!$G$2,$Q276=Parametres!$G$3),I276,C276)</f>
        <v>11630.41</v>
      </c>
      <c r="O276" s="155">
        <f>+IF(OR($Q276=Parametres!$G$2,$Q276=Parametres!$G$3),J276,D276)</f>
        <v>10574.37</v>
      </c>
      <c r="P276" s="155">
        <f>+IF(OR($Q276=Parametres!$G$2,$Q276=Parametres!$G$3),K276,E276)</f>
        <v>22204.78</v>
      </c>
      <c r="Q276" s="154" t="str">
        <f t="shared" si="37"/>
        <v>7-Dépenses</v>
      </c>
      <c r="R276" s="153" t="str">
        <f t="shared" si="38"/>
        <v>6108</v>
      </c>
      <c r="S276" s="154">
        <f t="shared" si="39"/>
        <v>0</v>
      </c>
      <c r="T276" s="156" t="str">
        <f>+VLOOKUP($L276,Data_Validation!$A:$D,1,0)</f>
        <v>6108</v>
      </c>
      <c r="U276" s="156" t="str">
        <f>+VLOOKUP($L276,Data_Validation!$A:$D,3,0)</f>
        <v>Véhicules neufs</v>
      </c>
      <c r="V276" s="156" t="str">
        <f>+VLOOKUP($L276,Data_Validation!$A:$D,4,0)</f>
        <v>Frais de livraison</v>
      </c>
      <c r="W276" s="156" t="str">
        <f>+VLOOKUP($L276,Data_Validation!$A:$E,5,0)</f>
        <v>$</v>
      </c>
      <c r="X276" s="156">
        <f>+VLOOKUP($L276,Data_Validation!$A:$F,6,0)</f>
        <v>0</v>
      </c>
    </row>
    <row r="277" spans="1:24" ht="15" hidden="1" customHeight="1">
      <c r="A277" s="1013" t="s">
        <v>1374</v>
      </c>
      <c r="B277" s="1013" t="s">
        <v>2113</v>
      </c>
      <c r="C277" s="1015">
        <v>23553.05</v>
      </c>
      <c r="D277" s="1015">
        <v>15375.89</v>
      </c>
      <c r="E277" s="1015">
        <v>38928.94</v>
      </c>
      <c r="F277" s="1013" t="s">
        <v>401</v>
      </c>
      <c r="G277" s="1013" t="s">
        <v>2113</v>
      </c>
      <c r="H277" s="150"/>
      <c r="I277" s="157"/>
      <c r="J277" s="157"/>
      <c r="K277" s="157"/>
      <c r="L277" s="153" t="str">
        <f t="shared" si="35"/>
        <v>6114</v>
      </c>
      <c r="M277" s="154" t="str">
        <f t="shared" si="36"/>
        <v>PUBLICITE</v>
      </c>
      <c r="N277" s="155">
        <f>+IF(OR($Q277=Parametres!$G$2,$Q277=Parametres!$G$3),I277,C277)</f>
        <v>23553.05</v>
      </c>
      <c r="O277" s="155">
        <f>+IF(OR($Q277=Parametres!$G$2,$Q277=Parametres!$G$3),J277,D277)</f>
        <v>15375.89</v>
      </c>
      <c r="P277" s="155">
        <f>+IF(OR($Q277=Parametres!$G$2,$Q277=Parametres!$G$3),K277,E277)</f>
        <v>38928.94</v>
      </c>
      <c r="Q277" s="154" t="str">
        <f t="shared" si="37"/>
        <v>7-Dépenses</v>
      </c>
      <c r="R277" s="153" t="str">
        <f t="shared" si="38"/>
        <v>6114</v>
      </c>
      <c r="S277" s="154">
        <f t="shared" si="39"/>
        <v>0</v>
      </c>
      <c r="T277" s="156" t="str">
        <f>+VLOOKUP($L277,Data_Validation!$A:$D,1,0)</f>
        <v>6114</v>
      </c>
      <c r="U277" s="156" t="str">
        <f>+VLOOKUP($L277,Data_Validation!$A:$D,3,0)</f>
        <v>Véhicules neufs</v>
      </c>
      <c r="V277" s="156" t="str">
        <f>+VLOOKUP($L277,Data_Validation!$A:$D,4,0)</f>
        <v>Publicité 1</v>
      </c>
      <c r="W277" s="156" t="str">
        <f>+VLOOKUP($L277,Data_Validation!$A:$E,5,0)</f>
        <v>$</v>
      </c>
      <c r="X277" s="156">
        <f>+VLOOKUP($L277,Data_Validation!$A:$F,6,0)</f>
        <v>0</v>
      </c>
    </row>
    <row r="278" spans="1:24" ht="15" hidden="1" customHeight="1">
      <c r="A278" s="1013" t="s">
        <v>2111</v>
      </c>
      <c r="B278" s="1013" t="s">
        <v>2112</v>
      </c>
      <c r="C278" s="1015">
        <v>-7100</v>
      </c>
      <c r="D278" s="1015">
        <v>-7800</v>
      </c>
      <c r="E278" s="1015">
        <v>-14900</v>
      </c>
      <c r="F278" s="1013" t="s">
        <v>401</v>
      </c>
      <c r="G278" s="1013" t="s">
        <v>2113</v>
      </c>
      <c r="H278" s="949"/>
      <c r="I278" s="949"/>
      <c r="J278" s="949"/>
      <c r="K278" s="949"/>
      <c r="L278" s="153" t="str">
        <f t="shared" si="35"/>
        <v>6115</v>
      </c>
      <c r="M278" s="154" t="str">
        <f t="shared" si="36"/>
        <v>CREDIT PUBLICITE NEUF</v>
      </c>
      <c r="N278" s="155">
        <f>+IF(OR($Q278=Parametres!$G$2,$Q278=Parametres!$G$3),I278,C278)</f>
        <v>-7100</v>
      </c>
      <c r="O278" s="575">
        <f>+IF(OR($Q278=Parametres!$G$2,$Q278=Parametres!$G$3),J278,D278)</f>
        <v>-7800</v>
      </c>
      <c r="P278" s="155">
        <f>+IF(OR($Q278=Parametres!$G$2,$Q278=Parametres!$G$3),K278,E278)</f>
        <v>-14900</v>
      </c>
      <c r="Q278" s="154" t="str">
        <f t="shared" si="37"/>
        <v>7-Dépenses</v>
      </c>
      <c r="R278" s="153" t="str">
        <f t="shared" si="38"/>
        <v>6114</v>
      </c>
      <c r="S278" s="154">
        <f t="shared" si="39"/>
        <v>0</v>
      </c>
      <c r="T278" s="156" t="str">
        <f>+VLOOKUP($L278,Data_Validation!$A:$D,1,0)</f>
        <v>6115</v>
      </c>
      <c r="U278" s="156" t="str">
        <f>+VLOOKUP($L278,Data_Validation!$A:$D,3,0)</f>
        <v>Véhicules neufs</v>
      </c>
      <c r="V278" s="156" t="str">
        <f>+VLOOKUP($L278,Data_Validation!$A:$D,4,0)</f>
        <v>Publicité 1</v>
      </c>
      <c r="W278" s="156" t="str">
        <f>+VLOOKUP($L278,Data_Validation!$A:$E,5,0)</f>
        <v>$</v>
      </c>
      <c r="X278" s="156">
        <f>+VLOOKUP($L278,Data_Validation!$A:$F,6,0)</f>
        <v>0</v>
      </c>
    </row>
    <row r="279" spans="1:24" ht="15.75" hidden="1" customHeight="1">
      <c r="A279" s="1013" t="s">
        <v>1259</v>
      </c>
      <c r="B279" s="1013" t="s">
        <v>2648</v>
      </c>
      <c r="C279" s="1015">
        <v>1866.66</v>
      </c>
      <c r="D279" s="1015">
        <v>933.33</v>
      </c>
      <c r="E279" s="1015">
        <v>2799.99</v>
      </c>
      <c r="F279" s="1013" t="s">
        <v>401</v>
      </c>
      <c r="G279" s="1013" t="s">
        <v>2648</v>
      </c>
      <c r="H279" s="150"/>
      <c r="I279" s="157"/>
      <c r="J279" s="157"/>
      <c r="K279" s="157"/>
      <c r="L279" s="153" t="str">
        <f t="shared" si="35"/>
        <v>6121</v>
      </c>
      <c r="M279" s="154" t="str">
        <f t="shared" si="36"/>
        <v>SALAIRES - PROPRIETAIRES</v>
      </c>
      <c r="N279" s="155">
        <f>+IF(OR($Q279=Parametres!$G$2,$Q279=Parametres!$G$3),I279,C279)</f>
        <v>1866.66</v>
      </c>
      <c r="O279" s="155">
        <f>+IF(OR($Q279=Parametres!$G$2,$Q279=Parametres!$G$3),J279,D279)</f>
        <v>933.33</v>
      </c>
      <c r="P279" s="155">
        <f>+IF(OR($Q279=Parametres!$G$2,$Q279=Parametres!$G$3),K279,E279)</f>
        <v>2799.99</v>
      </c>
      <c r="Q279" s="154" t="str">
        <f t="shared" si="37"/>
        <v>7-Dépenses</v>
      </c>
      <c r="R279" s="153" t="str">
        <f t="shared" si="38"/>
        <v>6121</v>
      </c>
      <c r="S279" s="154">
        <f t="shared" si="39"/>
        <v>0</v>
      </c>
      <c r="T279" s="156" t="str">
        <f>+VLOOKUP($L279,Data_Validation!$A:$D,1,0)</f>
        <v>6121</v>
      </c>
      <c r="U279" s="156" t="str">
        <f>+VLOOKUP($L279,Data_Validation!$A:$D,3,0)</f>
        <v>Véhicules neufs</v>
      </c>
      <c r="V279" s="156" t="str">
        <f>+VLOOKUP($L279,Data_Validation!$A:$D,4,0)</f>
        <v>Salaires propriétaire</v>
      </c>
      <c r="W279" s="156" t="str">
        <f>+VLOOKUP($L279,Data_Validation!$A:$E,5,0)</f>
        <v>$</v>
      </c>
      <c r="X279" s="156">
        <f>+VLOOKUP($L279,Data_Validation!$A:$F,6,0)</f>
        <v>0</v>
      </c>
    </row>
    <row r="280" spans="1:24" ht="15" hidden="1" customHeight="1">
      <c r="A280" s="1013" t="s">
        <v>2624</v>
      </c>
      <c r="B280" s="1013" t="s">
        <v>2626</v>
      </c>
      <c r="C280" s="1015">
        <v>27409.56</v>
      </c>
      <c r="D280" s="1015">
        <v>33399.279999999999</v>
      </c>
      <c r="E280" s="1015">
        <v>60808.84</v>
      </c>
      <c r="F280" s="1013" t="s">
        <v>401</v>
      </c>
      <c r="G280" s="1013" t="s">
        <v>2626</v>
      </c>
      <c r="H280" s="150"/>
      <c r="I280" s="157"/>
      <c r="J280" s="157"/>
      <c r="K280" s="157"/>
      <c r="L280" s="153" t="str">
        <f t="shared" si="35"/>
        <v>6122</v>
      </c>
      <c r="M280" s="154" t="str">
        <f t="shared" si="36"/>
        <v>SAL SUPERVISION / GERANT</v>
      </c>
      <c r="N280" s="155">
        <f>+IF(OR($Q280=Parametres!$G$2,$Q280=Parametres!$G$3),I280,C280)</f>
        <v>27409.56</v>
      </c>
      <c r="O280" s="155">
        <f>+IF(OR($Q280=Parametres!$G$2,$Q280=Parametres!$G$3),J280,D280)</f>
        <v>33399.279999999999</v>
      </c>
      <c r="P280" s="155">
        <f>+IF(OR($Q280=Parametres!$G$2,$Q280=Parametres!$G$3),K280,E280)</f>
        <v>60808.84</v>
      </c>
      <c r="Q280" s="154" t="str">
        <f t="shared" si="37"/>
        <v>7-Dépenses</v>
      </c>
      <c r="R280" s="153" t="str">
        <f t="shared" si="38"/>
        <v>6122</v>
      </c>
      <c r="S280" s="154">
        <f t="shared" si="39"/>
        <v>0</v>
      </c>
      <c r="T280" s="156" t="str">
        <f>+VLOOKUP($L280,Data_Validation!$A:$D,1,0)</f>
        <v>6122</v>
      </c>
      <c r="U280" s="156" t="str">
        <f>+VLOOKUP($L280,Data_Validation!$A:$D,3,0)</f>
        <v>Véhicules neufs</v>
      </c>
      <c r="V280" s="156" t="str">
        <f>+VLOOKUP($L280,Data_Validation!$A:$D,4,0)</f>
        <v>Salaires cadres</v>
      </c>
      <c r="W280" s="156" t="str">
        <f>+VLOOKUP($L280,Data_Validation!$A:$E,5,0)</f>
        <v>$</v>
      </c>
      <c r="X280" s="156">
        <f>+VLOOKUP($L280,Data_Validation!$A:$F,6,0)</f>
        <v>0</v>
      </c>
    </row>
    <row r="281" spans="1:24" ht="15" hidden="1" customHeight="1">
      <c r="A281" s="1013" t="s">
        <v>1342</v>
      </c>
      <c r="B281" s="1013" t="s">
        <v>2679</v>
      </c>
      <c r="C281" s="1015">
        <v>12710.15</v>
      </c>
      <c r="D281" s="1015">
        <v>9351.0400000000009</v>
      </c>
      <c r="E281" s="1015">
        <v>22061.19</v>
      </c>
      <c r="F281" s="1013" t="s">
        <v>401</v>
      </c>
      <c r="G281" s="1013" t="s">
        <v>2679</v>
      </c>
      <c r="H281" s="949"/>
      <c r="I281" s="948"/>
      <c r="J281" s="948"/>
      <c r="K281" s="948"/>
      <c r="L281" s="153" t="str">
        <f t="shared" si="35"/>
        <v>6123</v>
      </c>
      <c r="M281" s="154" t="str">
        <f t="shared" si="36"/>
        <v>SAL. &amp; RENUM. - CLERICAL</v>
      </c>
      <c r="N281" s="155">
        <f>+IF(OR($Q281=Parametres!$G$2,$Q281=Parametres!$G$3),I281,C281)</f>
        <v>12710.15</v>
      </c>
      <c r="O281" s="155">
        <f>+IF(OR($Q281=Parametres!$G$2,$Q281=Parametres!$G$3),J281,D281)</f>
        <v>9351.0400000000009</v>
      </c>
      <c r="P281" s="155">
        <f>+IF(OR($Q281=Parametres!$G$2,$Q281=Parametres!$G$3),K281,E281)</f>
        <v>22061.19</v>
      </c>
      <c r="Q281" s="154" t="str">
        <f t="shared" si="37"/>
        <v>7-Dépenses</v>
      </c>
      <c r="R281" s="153" t="str">
        <f t="shared" si="38"/>
        <v>6123</v>
      </c>
      <c r="S281" s="154">
        <f t="shared" si="39"/>
        <v>0</v>
      </c>
      <c r="T281" s="156" t="str">
        <f>+VLOOKUP($L281,Data_Validation!$A:$D,1,0)</f>
        <v>6123</v>
      </c>
      <c r="U281" s="156" t="str">
        <f>+VLOOKUP($L281,Data_Validation!$A:$D,3,0)</f>
        <v>Véhicules neufs</v>
      </c>
      <c r="V281" s="156" t="str">
        <f>+VLOOKUP($L281,Data_Validation!$A:$D,4,0)</f>
        <v>Salaires commis</v>
      </c>
      <c r="W281" s="156" t="str">
        <f>+VLOOKUP($L281,Data_Validation!$A:$E,5,0)</f>
        <v>$</v>
      </c>
      <c r="X281" s="156">
        <f>+VLOOKUP($L281,Data_Validation!$A:$F,6,0)</f>
        <v>0</v>
      </c>
    </row>
    <row r="282" spans="1:24" ht="15" hidden="1" customHeight="1">
      <c r="A282" s="1013" t="s">
        <v>1249</v>
      </c>
      <c r="B282" s="1013" t="s">
        <v>2735</v>
      </c>
      <c r="C282" s="1015">
        <v>11094.76</v>
      </c>
      <c r="D282" s="1015">
        <v>7584.35</v>
      </c>
      <c r="E282" s="1015">
        <v>18679.11</v>
      </c>
      <c r="F282" s="1013" t="s">
        <v>401</v>
      </c>
      <c r="G282" s="1013" t="s">
        <v>2735</v>
      </c>
      <c r="H282" s="150"/>
      <c r="I282" s="151"/>
      <c r="J282" s="151"/>
      <c r="K282" s="151"/>
      <c r="L282" s="153" t="str">
        <f t="shared" si="35"/>
        <v>6124</v>
      </c>
      <c r="M282" s="154" t="str">
        <f t="shared" si="36"/>
        <v>SALAIRES &amp; RENUM. - AUTRES</v>
      </c>
      <c r="N282" s="155">
        <f>+IF(OR($Q282=Parametres!$G$2,$Q282=Parametres!$G$3),I282,C282)</f>
        <v>11094.76</v>
      </c>
      <c r="O282" s="155">
        <f>+IF(OR($Q282=Parametres!$G$2,$Q282=Parametres!$G$3),J282,D282)</f>
        <v>7584.35</v>
      </c>
      <c r="P282" s="155">
        <f>+IF(OR($Q282=Parametres!$G$2,$Q282=Parametres!$G$3),K282,E282)</f>
        <v>18679.11</v>
      </c>
      <c r="Q282" s="154" t="str">
        <f t="shared" si="37"/>
        <v>7-Dépenses</v>
      </c>
      <c r="R282" s="153" t="str">
        <f t="shared" si="38"/>
        <v>6124</v>
      </c>
      <c r="S282" s="154">
        <f t="shared" si="39"/>
        <v>0</v>
      </c>
      <c r="T282" s="156" t="str">
        <f>+VLOOKUP($L282,Data_Validation!$A:$D,1,0)</f>
        <v>6124</v>
      </c>
      <c r="U282" s="156" t="str">
        <f>+VLOOKUP($L282,Data_Validation!$A:$D,3,0)</f>
        <v>Véhicules neufs</v>
      </c>
      <c r="V282" s="156" t="str">
        <f>+VLOOKUP($L282,Data_Validation!$A:$D,4,0)</f>
        <v>Salaires autres</v>
      </c>
      <c r="W282" s="156" t="str">
        <f>+VLOOKUP($L282,Data_Validation!$A:$E,5,0)</f>
        <v>$</v>
      </c>
      <c r="X282" s="156">
        <f>+VLOOKUP($L282,Data_Validation!$A:$F,6,0)</f>
        <v>0</v>
      </c>
    </row>
    <row r="283" spans="1:24" ht="15.75" hidden="1" customHeight="1">
      <c r="A283" s="1013" t="s">
        <v>1445</v>
      </c>
      <c r="B283" s="1013" t="s">
        <v>2641</v>
      </c>
      <c r="C283" s="1015">
        <v>18229.28</v>
      </c>
      <c r="D283" s="1015">
        <v>9708.4</v>
      </c>
      <c r="E283" s="1015">
        <v>27937.68</v>
      </c>
      <c r="F283" s="1013" t="s">
        <v>401</v>
      </c>
      <c r="G283" s="1013" t="s">
        <v>2641</v>
      </c>
      <c r="H283" s="949"/>
      <c r="I283" s="948"/>
      <c r="J283" s="948"/>
      <c r="K283" s="948"/>
      <c r="L283" s="153" t="str">
        <f t="shared" si="35"/>
        <v>6129</v>
      </c>
      <c r="M283" s="154" t="str">
        <f t="shared" si="36"/>
        <v>ABS., VACANCE &amp; SAL. JOURS FER</v>
      </c>
      <c r="N283" s="155">
        <f>+IF(OR($Q283=Parametres!$G$2,$Q283=Parametres!$G$3),I283,C283)</f>
        <v>18229.28</v>
      </c>
      <c r="O283" s="155">
        <f>+IF(OR($Q283=Parametres!$G$2,$Q283=Parametres!$G$3),J283,D283)</f>
        <v>9708.4</v>
      </c>
      <c r="P283" s="155">
        <f>+IF(OR($Q283=Parametres!$G$2,$Q283=Parametres!$G$3),K283,E283)</f>
        <v>27937.68</v>
      </c>
      <c r="Q283" s="154" t="str">
        <f t="shared" si="37"/>
        <v>7-Dépenses</v>
      </c>
      <c r="R283" s="153" t="str">
        <f t="shared" si="38"/>
        <v>6129</v>
      </c>
      <c r="S283" s="154">
        <f t="shared" si="39"/>
        <v>0</v>
      </c>
      <c r="T283" s="156" t="str">
        <f>+VLOOKUP($L283,Data_Validation!$A:$D,1,0)</f>
        <v>6129</v>
      </c>
      <c r="U283" s="156" t="str">
        <f>+VLOOKUP($L283,Data_Validation!$A:$D,3,0)</f>
        <v>Véhicules neufs</v>
      </c>
      <c r="V283" s="156" t="str">
        <f>+VLOOKUP($L283,Data_Validation!$A:$D,4,0)</f>
        <v>Salaires en absences</v>
      </c>
      <c r="W283" s="156" t="str">
        <f>+VLOOKUP($L283,Data_Validation!$A:$E,5,0)</f>
        <v>$</v>
      </c>
      <c r="X283" s="156">
        <f>+VLOOKUP($L283,Data_Validation!$A:$F,6,0)</f>
        <v>0</v>
      </c>
    </row>
    <row r="284" spans="1:24" ht="15" hidden="1" customHeight="1">
      <c r="A284" s="1013" t="s">
        <v>1252</v>
      </c>
      <c r="B284" s="1013" t="s">
        <v>2586</v>
      </c>
      <c r="C284" s="1015">
        <v>2918.05</v>
      </c>
      <c r="D284" s="1015">
        <v>10660.71</v>
      </c>
      <c r="E284" s="1015">
        <v>13578.76</v>
      </c>
      <c r="F284" s="1013" t="s">
        <v>401</v>
      </c>
      <c r="G284" s="1013" t="s">
        <v>2586</v>
      </c>
      <c r="H284" s="150"/>
      <c r="I284" s="157"/>
      <c r="J284" s="157"/>
      <c r="K284" s="157"/>
      <c r="L284" s="153" t="str">
        <f t="shared" si="35"/>
        <v>6131</v>
      </c>
      <c r="M284" s="154" t="str">
        <f t="shared" si="36"/>
        <v>CSST</v>
      </c>
      <c r="N284" s="155">
        <f>+IF(OR($Q284=Parametres!$G$2,$Q284=Parametres!$G$3),I284,C284)</f>
        <v>2918.05</v>
      </c>
      <c r="O284" s="155">
        <f>+IF(OR($Q284=Parametres!$G$2,$Q284=Parametres!$G$3),J284,D284)</f>
        <v>10660.71</v>
      </c>
      <c r="P284" s="155">
        <f>+IF(OR($Q284=Parametres!$G$2,$Q284=Parametres!$G$3),K284,E284)</f>
        <v>13578.76</v>
      </c>
      <c r="Q284" s="154" t="str">
        <f t="shared" si="37"/>
        <v>7-Dépenses</v>
      </c>
      <c r="R284" s="153" t="str">
        <f t="shared" si="38"/>
        <v>6131</v>
      </c>
      <c r="S284" s="154">
        <f t="shared" si="39"/>
        <v>0</v>
      </c>
      <c r="T284" s="156" t="str">
        <f>+VLOOKUP($L284,Data_Validation!$A:$D,1,0)</f>
        <v>6131</v>
      </c>
      <c r="U284" s="156" t="str">
        <f>+VLOOKUP($L284,Data_Validation!$A:$D,3,0)</f>
        <v>Véhicules neufs</v>
      </c>
      <c r="V284" s="156" t="str">
        <f>+VLOOKUP($L284,Data_Validation!$A:$D,4,0)</f>
        <v>Csst</v>
      </c>
      <c r="W284" s="156" t="str">
        <f>+VLOOKUP($L284,Data_Validation!$A:$E,5,0)</f>
        <v>$</v>
      </c>
      <c r="X284" s="156">
        <f>+VLOOKUP($L284,Data_Validation!$A:$F,6,0)</f>
        <v>0</v>
      </c>
    </row>
    <row r="285" spans="1:24" ht="15" hidden="1" customHeight="1">
      <c r="A285" s="1013" t="s">
        <v>1283</v>
      </c>
      <c r="B285" s="1013" t="s">
        <v>2685</v>
      </c>
      <c r="C285" s="1015">
        <v>28179.94</v>
      </c>
      <c r="D285" s="1015">
        <v>-707.4</v>
      </c>
      <c r="E285" s="1015">
        <v>27472.54</v>
      </c>
      <c r="F285" s="1013" t="s">
        <v>401</v>
      </c>
      <c r="G285" s="1013" t="s">
        <v>2685</v>
      </c>
      <c r="H285" s="150"/>
      <c r="I285" s="151"/>
      <c r="J285" s="151"/>
      <c r="K285" s="151"/>
      <c r="L285" s="153" t="str">
        <f t="shared" si="35"/>
        <v>6132</v>
      </c>
      <c r="M285" s="154" t="str">
        <f t="shared" si="36"/>
        <v>RRQ RAMQ AC</v>
      </c>
      <c r="N285" s="155">
        <f>+IF(OR($Q285=Parametres!$G$2,$Q285=Parametres!$G$3),I285,C285)</f>
        <v>28179.94</v>
      </c>
      <c r="O285" s="155">
        <f>+IF(OR($Q285=Parametres!$G$2,$Q285=Parametres!$G$3),J285,D285)</f>
        <v>-707.4</v>
      </c>
      <c r="P285" s="155">
        <f>+IF(OR($Q285=Parametres!$G$2,$Q285=Parametres!$G$3),K285,E285)</f>
        <v>27472.54</v>
      </c>
      <c r="Q285" s="154" t="str">
        <f t="shared" si="37"/>
        <v>7-Dépenses</v>
      </c>
      <c r="R285" s="153" t="str">
        <f t="shared" si="38"/>
        <v>6132</v>
      </c>
      <c r="S285" s="154">
        <f t="shared" si="39"/>
        <v>0</v>
      </c>
      <c r="T285" s="156" t="str">
        <f>+VLOOKUP($L285,Data_Validation!$A:$D,1,0)</f>
        <v>6132</v>
      </c>
      <c r="U285" s="156" t="str">
        <f>+VLOOKUP($L285,Data_Validation!$A:$D,3,0)</f>
        <v>Véhicules neufs</v>
      </c>
      <c r="V285" s="156" t="str">
        <f>+VLOOKUP($L285,Data_Validation!$A:$D,4,0)</f>
        <v>Déduction à la source</v>
      </c>
      <c r="W285" s="156" t="str">
        <f>+VLOOKUP($L285,Data_Validation!$A:$E,5,0)</f>
        <v>$</v>
      </c>
      <c r="X285" s="156">
        <f>+VLOOKUP($L285,Data_Validation!$A:$F,6,0)</f>
        <v>0</v>
      </c>
    </row>
    <row r="286" spans="1:24" ht="15" hidden="1" customHeight="1">
      <c r="A286" s="1013" t="s">
        <v>1414</v>
      </c>
      <c r="B286" s="1013" t="s">
        <v>2694</v>
      </c>
      <c r="C286" s="1015">
        <v>11518.03</v>
      </c>
      <c r="D286" s="1015">
        <v>8170.62</v>
      </c>
      <c r="E286" s="1015">
        <v>19688.650000000001</v>
      </c>
      <c r="F286" s="1013" t="s">
        <v>401</v>
      </c>
      <c r="G286" s="1013" t="s">
        <v>2694</v>
      </c>
      <c r="H286" s="150"/>
      <c r="I286" s="151"/>
      <c r="J286" s="151"/>
      <c r="K286" s="151"/>
      <c r="L286" s="153" t="str">
        <f t="shared" si="35"/>
        <v>6139</v>
      </c>
      <c r="M286" s="154" t="str">
        <f t="shared" si="36"/>
        <v>ASSURANCE GROUPS</v>
      </c>
      <c r="N286" s="155">
        <f>+IF(OR($Q286=Parametres!$G$2,$Q286=Parametres!$G$3),I286,C286)</f>
        <v>11518.03</v>
      </c>
      <c r="O286" s="155">
        <f>+IF(OR($Q286=Parametres!$G$2,$Q286=Parametres!$G$3),J286,D286)</f>
        <v>8170.62</v>
      </c>
      <c r="P286" s="155">
        <f>+IF(OR($Q286=Parametres!$G$2,$Q286=Parametres!$G$3),K286,E286)</f>
        <v>19688.650000000001</v>
      </c>
      <c r="Q286" s="154" t="str">
        <f t="shared" si="37"/>
        <v>7-Dépenses</v>
      </c>
      <c r="R286" s="153" t="str">
        <f t="shared" si="38"/>
        <v>6139</v>
      </c>
      <c r="S286" s="154">
        <f t="shared" si="39"/>
        <v>0</v>
      </c>
      <c r="T286" s="156" t="str">
        <f>+VLOOKUP($L286,Data_Validation!$A:$D,1,0)</f>
        <v>6139</v>
      </c>
      <c r="U286" s="156" t="str">
        <f>+VLOOKUP($L286,Data_Validation!$A:$D,3,0)</f>
        <v>Véhicules neufs</v>
      </c>
      <c r="V286" s="156" t="str">
        <f>+VLOOKUP($L286,Data_Validation!$A:$D,4,0)</f>
        <v>Bénéfices marginaux</v>
      </c>
      <c r="W286" s="156" t="str">
        <f>+VLOOKUP($L286,Data_Validation!$A:$E,5,0)</f>
        <v>$</v>
      </c>
      <c r="X286" s="156">
        <f>+VLOOKUP($L286,Data_Validation!$A:$F,6,0)</f>
        <v>0</v>
      </c>
    </row>
    <row r="287" spans="1:24" ht="15.75" hidden="1" customHeight="1">
      <c r="A287" s="1013" t="s">
        <v>934</v>
      </c>
      <c r="B287" s="1013" t="s">
        <v>2561</v>
      </c>
      <c r="C287" s="1015">
        <v>1046.6600000000001</v>
      </c>
      <c r="D287" s="1015">
        <v>523.33000000000004</v>
      </c>
      <c r="E287" s="1015">
        <v>1569.99</v>
      </c>
      <c r="F287" s="1013" t="s">
        <v>401</v>
      </c>
      <c r="G287" s="1013" t="s">
        <v>2561</v>
      </c>
      <c r="H287" s="150"/>
      <c r="I287" s="157"/>
      <c r="J287" s="157"/>
      <c r="K287" s="157"/>
      <c r="L287" s="153" t="str">
        <f t="shared" si="35"/>
        <v>6144</v>
      </c>
      <c r="M287" s="154" t="str">
        <f t="shared" si="36"/>
        <v>FORMATION</v>
      </c>
      <c r="N287" s="155">
        <f>+IF(OR($Q287=Parametres!$G$2,$Q287=Parametres!$G$3),I287,C287)</f>
        <v>1046.6600000000001</v>
      </c>
      <c r="O287" s="155">
        <f>+IF(OR($Q287=Parametres!$G$2,$Q287=Parametres!$G$3),J287,D287)</f>
        <v>523.33000000000004</v>
      </c>
      <c r="P287" s="155">
        <f>+IF(OR($Q287=Parametres!$G$2,$Q287=Parametres!$G$3),K287,E287)</f>
        <v>1569.99</v>
      </c>
      <c r="Q287" s="154" t="str">
        <f t="shared" si="37"/>
        <v>7-Dépenses</v>
      </c>
      <c r="R287" s="153" t="str">
        <f t="shared" si="38"/>
        <v>6144</v>
      </c>
      <c r="S287" s="154">
        <f t="shared" si="39"/>
        <v>0</v>
      </c>
      <c r="T287" s="156" t="str">
        <f>+VLOOKUP($L287,Data_Validation!$A:$D,1,0)</f>
        <v>6144</v>
      </c>
      <c r="U287" s="156" t="str">
        <f>+VLOOKUP($L287,Data_Validation!$A:$D,3,0)</f>
        <v>Véhicules neufs</v>
      </c>
      <c r="V287" s="156" t="str">
        <f>+VLOOKUP($L287,Data_Validation!$A:$D,4,0)</f>
        <v>Formation</v>
      </c>
      <c r="W287" s="156" t="str">
        <f>+VLOOKUP($L287,Data_Validation!$A:$E,5,0)</f>
        <v>$</v>
      </c>
      <c r="X287" s="156">
        <f>+VLOOKUP($L287,Data_Validation!$A:$F,6,0)</f>
        <v>0</v>
      </c>
    </row>
    <row r="288" spans="1:24" ht="15" hidden="1" customHeight="1">
      <c r="A288" s="1013" t="s">
        <v>1186</v>
      </c>
      <c r="B288" s="1013" t="s">
        <v>2632</v>
      </c>
      <c r="C288" s="1015">
        <v>10424.42</v>
      </c>
      <c r="D288" s="1015">
        <v>5758.38</v>
      </c>
      <c r="E288" s="1015">
        <v>16182.8</v>
      </c>
      <c r="F288" s="1013" t="s">
        <v>401</v>
      </c>
      <c r="G288" s="1013" t="s">
        <v>2632</v>
      </c>
      <c r="H288" s="949"/>
      <c r="I288" s="948"/>
      <c r="J288" s="948"/>
      <c r="K288" s="948"/>
      <c r="L288" s="153" t="str">
        <f t="shared" si="35"/>
        <v>6145</v>
      </c>
      <c r="M288" s="154" t="str">
        <f t="shared" si="36"/>
        <v>VEHICULE DE COMPAGNIE - DEPENS</v>
      </c>
      <c r="N288" s="155">
        <f>+IF(OR($Q288=Parametres!$G$2,$Q288=Parametres!$G$3),I288,C288)</f>
        <v>10424.42</v>
      </c>
      <c r="O288" s="155">
        <f>+IF(OR($Q288=Parametres!$G$2,$Q288=Parametres!$G$3),J288,D288)</f>
        <v>5758.38</v>
      </c>
      <c r="P288" s="155">
        <f>+IF(OR($Q288=Parametres!$G$2,$Q288=Parametres!$G$3),K288,E288)</f>
        <v>16182.8</v>
      </c>
      <c r="Q288" s="154" t="str">
        <f t="shared" si="37"/>
        <v>7-Dépenses</v>
      </c>
      <c r="R288" s="153" t="str">
        <f t="shared" si="38"/>
        <v>6145</v>
      </c>
      <c r="S288" s="154">
        <f t="shared" si="39"/>
        <v>0</v>
      </c>
      <c r="T288" s="156" t="str">
        <f>+VLOOKUP($L288,Data_Validation!$A:$D,1,0)</f>
        <v>6145</v>
      </c>
      <c r="U288" s="156" t="str">
        <f>+VLOOKUP($L288,Data_Validation!$A:$D,3,0)</f>
        <v>Véhicules neufs</v>
      </c>
      <c r="V288" s="156" t="str">
        <f>+VLOOKUP($L288,Data_Validation!$A:$D,4,0)</f>
        <v>Frais véhicules de cie</v>
      </c>
      <c r="W288" s="156" t="str">
        <f>+VLOOKUP($L288,Data_Validation!$A:$E,5,0)</f>
        <v>$</v>
      </c>
      <c r="X288" s="156">
        <f>+VLOOKUP($L288,Data_Validation!$A:$F,6,0)</f>
        <v>0</v>
      </c>
    </row>
    <row r="289" spans="1:24" ht="15" hidden="1" customHeight="1">
      <c r="A289" s="1013" t="s">
        <v>1180</v>
      </c>
      <c r="B289" s="1013" t="s">
        <v>2581</v>
      </c>
      <c r="C289" s="1015">
        <v>143.96</v>
      </c>
      <c r="D289" s="1015">
        <v>136.35</v>
      </c>
      <c r="E289" s="1015">
        <v>280.31</v>
      </c>
      <c r="F289" s="1013" t="s">
        <v>401</v>
      </c>
      <c r="G289" s="1013" t="s">
        <v>2581</v>
      </c>
      <c r="H289" s="949"/>
      <c r="I289" s="948"/>
      <c r="J289" s="948"/>
      <c r="K289" s="948"/>
      <c r="L289" s="153" t="str">
        <f t="shared" si="35"/>
        <v>6147</v>
      </c>
      <c r="M289" s="154" t="str">
        <f t="shared" si="36"/>
        <v>FRET/EXPRESS/TRANS. PAR CAMION</v>
      </c>
      <c r="N289" s="155">
        <f>+IF(OR($Q289=Parametres!$G$2,$Q289=Parametres!$G$3),I289,C289)</f>
        <v>143.96</v>
      </c>
      <c r="O289" s="155">
        <f>+IF(OR($Q289=Parametres!$G$2,$Q289=Parametres!$G$3),J289,D289)</f>
        <v>136.35</v>
      </c>
      <c r="P289" s="155">
        <f>+IF(OR($Q289=Parametres!$G$2,$Q289=Parametres!$G$3),K289,E289)</f>
        <v>280.31</v>
      </c>
      <c r="Q289" s="154" t="str">
        <f t="shared" si="37"/>
        <v>7-Dépenses</v>
      </c>
      <c r="R289" s="153" t="str">
        <f t="shared" si="38"/>
        <v>6147</v>
      </c>
      <c r="S289" s="154">
        <f t="shared" si="39"/>
        <v>0</v>
      </c>
      <c r="T289" s="156" t="str">
        <f>+VLOOKUP($L289,Data_Validation!$A:$D,1,0)</f>
        <v>6147</v>
      </c>
      <c r="U289" s="156" t="str">
        <f>+VLOOKUP($L289,Data_Validation!$A:$D,3,0)</f>
        <v>Véhicules neufs</v>
      </c>
      <c r="V289" s="156" t="str">
        <f>+VLOOKUP($L289,Data_Validation!$A:$D,4,0)</f>
        <v>Frais postaux</v>
      </c>
      <c r="W289" s="156" t="str">
        <f>+VLOOKUP($L289,Data_Validation!$A:$E,5,0)</f>
        <v>$</v>
      </c>
      <c r="X289" s="156">
        <f>+VLOOKUP($L289,Data_Validation!$A:$F,6,0)</f>
        <v>0</v>
      </c>
    </row>
    <row r="290" spans="1:24" ht="15" hidden="1" customHeight="1">
      <c r="A290" s="1013" t="s">
        <v>1286</v>
      </c>
      <c r="B290" s="1013" t="s">
        <v>2702</v>
      </c>
      <c r="C290" s="1015">
        <v>12166.29</v>
      </c>
      <c r="D290" s="1015">
        <v>5346.08</v>
      </c>
      <c r="E290" s="1015">
        <v>17512.37</v>
      </c>
      <c r="F290" s="1013" t="s">
        <v>401</v>
      </c>
      <c r="G290" s="1013" t="s">
        <v>2702</v>
      </c>
      <c r="H290" s="150"/>
      <c r="I290" s="157"/>
      <c r="J290" s="157"/>
      <c r="K290" s="157"/>
      <c r="L290" s="153" t="str">
        <f t="shared" si="35"/>
        <v>6151</v>
      </c>
      <c r="M290" s="154" t="str">
        <f t="shared" si="36"/>
        <v>DEP. DU TRAITEMENT DES DONNEES</v>
      </c>
      <c r="N290" s="155">
        <f>+IF(OR($Q290=Parametres!$G$2,$Q290=Parametres!$G$3),I290,C290)</f>
        <v>12166.29</v>
      </c>
      <c r="O290" s="155">
        <f>+IF(OR($Q290=Parametres!$G$2,$Q290=Parametres!$G$3),J290,D290)</f>
        <v>5346.08</v>
      </c>
      <c r="P290" s="155">
        <f>+IF(OR($Q290=Parametres!$G$2,$Q290=Parametres!$G$3),K290,E290)</f>
        <v>17512.37</v>
      </c>
      <c r="Q290" s="154" t="str">
        <f t="shared" si="37"/>
        <v>7-Dépenses</v>
      </c>
      <c r="R290" s="153" t="str">
        <f t="shared" si="38"/>
        <v>6151</v>
      </c>
      <c r="S290" s="154">
        <f t="shared" si="39"/>
        <v>0</v>
      </c>
      <c r="T290" s="156" t="str">
        <f>+VLOOKUP($L290,Data_Validation!$A:$D,1,0)</f>
        <v>6151</v>
      </c>
      <c r="U290" s="156" t="str">
        <f>+VLOOKUP($L290,Data_Validation!$A:$D,3,0)</f>
        <v>Véhicules neufs</v>
      </c>
      <c r="V290" s="156" t="str">
        <f>+VLOOKUP($L290,Data_Validation!$A:$D,4,0)</f>
        <v>Informatique</v>
      </c>
      <c r="W290" s="156" t="str">
        <f>+VLOOKUP($L290,Data_Validation!$A:$E,5,0)</f>
        <v>$</v>
      </c>
      <c r="X290" s="156">
        <f>+VLOOKUP($L290,Data_Validation!$A:$F,6,0)</f>
        <v>0</v>
      </c>
    </row>
    <row r="291" spans="1:24" ht="15.75" hidden="1" customHeight="1">
      <c r="A291" s="1013" t="s">
        <v>1206</v>
      </c>
      <c r="B291" s="1013" t="s">
        <v>2588</v>
      </c>
      <c r="C291" s="1015">
        <v>923.81</v>
      </c>
      <c r="D291" s="1015">
        <v>500.69</v>
      </c>
      <c r="E291" s="1015">
        <v>1424.5</v>
      </c>
      <c r="F291" s="1013" t="s">
        <v>401</v>
      </c>
      <c r="G291" s="1013" t="s">
        <v>2588</v>
      </c>
      <c r="H291" s="150"/>
      <c r="I291" s="157"/>
      <c r="J291" s="157"/>
      <c r="K291" s="157"/>
      <c r="L291" s="153" t="str">
        <f t="shared" si="35"/>
        <v>6152</v>
      </c>
      <c r="M291" s="154" t="str">
        <f t="shared" si="36"/>
        <v>PAPETERIE</v>
      </c>
      <c r="N291" s="155">
        <f>+IF(OR($Q291=Parametres!$G$2,$Q291=Parametres!$G$3),I291,C291)</f>
        <v>923.81</v>
      </c>
      <c r="O291" s="155">
        <f>+IF(OR($Q291=Parametres!$G$2,$Q291=Parametres!$G$3),J291,D291)</f>
        <v>500.69</v>
      </c>
      <c r="P291" s="155">
        <f>+IF(OR($Q291=Parametres!$G$2,$Q291=Parametres!$G$3),K291,E291)</f>
        <v>1424.5</v>
      </c>
      <c r="Q291" s="154" t="str">
        <f t="shared" si="37"/>
        <v>7-Dépenses</v>
      </c>
      <c r="R291" s="153" t="str">
        <f t="shared" si="38"/>
        <v>6152</v>
      </c>
      <c r="S291" s="154">
        <f t="shared" si="39"/>
        <v>0</v>
      </c>
      <c r="T291" s="156" t="str">
        <f>+VLOOKUP($L291,Data_Validation!$A:$D,1,0)</f>
        <v>6152</v>
      </c>
      <c r="U291" s="156" t="str">
        <f>+VLOOKUP($L291,Data_Validation!$A:$D,3,0)</f>
        <v>Véhicules neufs</v>
      </c>
      <c r="V291" s="156" t="str">
        <f>+VLOOKUP($L291,Data_Validation!$A:$D,4,0)</f>
        <v>Papeterie</v>
      </c>
      <c r="W291" s="156" t="str">
        <f>+VLOOKUP($L291,Data_Validation!$A:$E,5,0)</f>
        <v>$</v>
      </c>
      <c r="X291" s="156">
        <f>+VLOOKUP($L291,Data_Validation!$A:$F,6,0)</f>
        <v>0</v>
      </c>
    </row>
    <row r="292" spans="1:24" ht="15" hidden="1" customHeight="1">
      <c r="A292" s="1013" t="s">
        <v>1154</v>
      </c>
      <c r="B292" s="1013" t="s">
        <v>2592</v>
      </c>
      <c r="C292" s="1015">
        <v>918.94</v>
      </c>
      <c r="D292" s="1015">
        <v>238.05</v>
      </c>
      <c r="E292" s="1015">
        <v>1156.99</v>
      </c>
      <c r="F292" s="1013" t="s">
        <v>401</v>
      </c>
      <c r="G292" s="1013" t="s">
        <v>2592</v>
      </c>
      <c r="H292" s="150"/>
      <c r="I292" s="152"/>
      <c r="J292" s="152"/>
      <c r="K292" s="152"/>
      <c r="L292" s="153" t="str">
        <f t="shared" si="35"/>
        <v>6153</v>
      </c>
      <c r="M292" s="154" t="str">
        <f t="shared" si="36"/>
        <v>TELEPHONE ET TELEX</v>
      </c>
      <c r="N292" s="155">
        <f>+IF(OR($Q292=Parametres!$G$2,$Q292=Parametres!$G$3),I292,C292)</f>
        <v>918.94</v>
      </c>
      <c r="O292" s="155">
        <f>+IF(OR($Q292=Parametres!$G$2,$Q292=Parametres!$G$3),J292,D292)</f>
        <v>238.05</v>
      </c>
      <c r="P292" s="155">
        <f>+IF(OR($Q292=Parametres!$G$2,$Q292=Parametres!$G$3),K292,E292)</f>
        <v>1156.99</v>
      </c>
      <c r="Q292" s="154" t="str">
        <f t="shared" si="37"/>
        <v>7-Dépenses</v>
      </c>
      <c r="R292" s="153" t="str">
        <f t="shared" si="38"/>
        <v>6153</v>
      </c>
      <c r="S292" s="154">
        <f t="shared" si="39"/>
        <v>0</v>
      </c>
      <c r="T292" s="156" t="str">
        <f>+VLOOKUP($L292,Data_Validation!$A:$D,1,0)</f>
        <v>6153</v>
      </c>
      <c r="U292" s="156" t="str">
        <f>+VLOOKUP($L292,Data_Validation!$A:$D,3,0)</f>
        <v>Véhicules neufs</v>
      </c>
      <c r="V292" s="156" t="str">
        <f>+VLOOKUP($L292,Data_Validation!$A:$D,4,0)</f>
        <v>Téléphone</v>
      </c>
      <c r="W292" s="156" t="str">
        <f>+VLOOKUP($L292,Data_Validation!$A:$E,5,0)</f>
        <v>$</v>
      </c>
      <c r="X292" s="156">
        <f>+VLOOKUP($L292,Data_Validation!$A:$F,6,0)</f>
        <v>0</v>
      </c>
    </row>
    <row r="293" spans="1:24" ht="15" hidden="1" customHeight="1">
      <c r="A293" s="1013" t="s">
        <v>1237</v>
      </c>
      <c r="B293" s="1013" t="s">
        <v>2637</v>
      </c>
      <c r="C293" s="1015">
        <v>638.42999999999995</v>
      </c>
      <c r="D293" s="1015">
        <v>3441.41</v>
      </c>
      <c r="E293" s="1015">
        <v>4079.84</v>
      </c>
      <c r="F293" s="1013" t="s">
        <v>401</v>
      </c>
      <c r="G293" s="1013" t="s">
        <v>2637</v>
      </c>
      <c r="H293" s="150"/>
      <c r="I293" s="157"/>
      <c r="J293" s="157"/>
      <c r="K293" s="157"/>
      <c r="L293" s="153" t="str">
        <f t="shared" si="35"/>
        <v>6155</v>
      </c>
      <c r="M293" s="154" t="str">
        <f t="shared" si="36"/>
        <v>DEPENSES DIVERS</v>
      </c>
      <c r="N293" s="155">
        <f>+IF(OR($Q293=Parametres!$G$2,$Q293=Parametres!$G$3),I293,C293)</f>
        <v>638.42999999999995</v>
      </c>
      <c r="O293" s="155">
        <f>+IF(OR($Q293=Parametres!$G$2,$Q293=Parametres!$G$3),J293,D293)</f>
        <v>3441.41</v>
      </c>
      <c r="P293" s="155">
        <f>+IF(OR($Q293=Parametres!$G$2,$Q293=Parametres!$G$3),K293,E293)</f>
        <v>4079.84</v>
      </c>
      <c r="Q293" s="154" t="str">
        <f t="shared" si="37"/>
        <v>7-Dépenses</v>
      </c>
      <c r="R293" s="153" t="str">
        <f t="shared" si="38"/>
        <v>6155</v>
      </c>
      <c r="S293" s="154">
        <f t="shared" si="39"/>
        <v>0</v>
      </c>
      <c r="T293" s="156" t="str">
        <f>+VLOOKUP($L293,Data_Validation!$A:$D,1,0)</f>
        <v>6155</v>
      </c>
      <c r="U293" s="156" t="str">
        <f>+VLOOKUP($L293,Data_Validation!$A:$D,3,0)</f>
        <v>Véhicules neufs</v>
      </c>
      <c r="V293" s="156" t="str">
        <f>+VLOOKUP($L293,Data_Validation!$A:$D,4,0)</f>
        <v>Divers</v>
      </c>
      <c r="W293" s="156" t="str">
        <f>+VLOOKUP($L293,Data_Validation!$A:$E,5,0)</f>
        <v>$</v>
      </c>
      <c r="X293" s="156">
        <f>+VLOOKUP($L293,Data_Validation!$A:$F,6,0)</f>
        <v>0</v>
      </c>
    </row>
    <row r="294" spans="1:24" ht="15" hidden="1" customHeight="1">
      <c r="A294" s="1013" t="s">
        <v>1315</v>
      </c>
      <c r="B294" s="1013" t="s">
        <v>2470</v>
      </c>
      <c r="C294" s="1015">
        <v>171.02</v>
      </c>
      <c r="D294" s="1015">
        <v>587.39</v>
      </c>
      <c r="E294" s="1015">
        <v>758.41</v>
      </c>
      <c r="F294" s="1013" t="s">
        <v>401</v>
      </c>
      <c r="G294" s="1013" t="s">
        <v>2470</v>
      </c>
      <c r="H294" s="150"/>
      <c r="I294" s="151"/>
      <c r="J294" s="151"/>
      <c r="K294" s="151"/>
      <c r="L294" s="153" t="str">
        <f t="shared" si="35"/>
        <v>6156</v>
      </c>
      <c r="M294" s="154" t="str">
        <f t="shared" si="36"/>
        <v>FRAIS REPRESENTATION - NEUF</v>
      </c>
      <c r="N294" s="155">
        <f>+IF(OR($Q294=Parametres!$G$2,$Q294=Parametres!$G$3),I294,C294)</f>
        <v>171.02</v>
      </c>
      <c r="O294" s="155">
        <f>+IF(OR($Q294=Parametres!$G$2,$Q294=Parametres!$G$3),J294,D294)</f>
        <v>587.39</v>
      </c>
      <c r="P294" s="155">
        <f>+IF(OR($Q294=Parametres!$G$2,$Q294=Parametres!$G$3),K294,E294)</f>
        <v>758.41</v>
      </c>
      <c r="Q294" s="154" t="str">
        <f t="shared" si="37"/>
        <v>7-Dépenses</v>
      </c>
      <c r="R294" s="153" t="str">
        <f t="shared" si="38"/>
        <v>6156</v>
      </c>
      <c r="S294" s="154">
        <f t="shared" si="39"/>
        <v>0</v>
      </c>
      <c r="T294" s="156" t="str">
        <f>+VLOOKUP($L294,Data_Validation!$A:$D,1,0)</f>
        <v>6156</v>
      </c>
      <c r="U294" s="156" t="str">
        <f>+VLOOKUP($L294,Data_Validation!$A:$D,3,0)</f>
        <v>Véhicules neufs</v>
      </c>
      <c r="V294" s="156" t="str">
        <f>+VLOOKUP($L294,Data_Validation!$A:$D,4,0)</f>
        <v>Frais de déplacement</v>
      </c>
      <c r="W294" s="156" t="str">
        <f>+VLOOKUP($L294,Data_Validation!$A:$E,5,0)</f>
        <v>$</v>
      </c>
      <c r="X294" s="156">
        <f>+VLOOKUP($L294,Data_Validation!$A:$F,6,0)</f>
        <v>0</v>
      </c>
    </row>
    <row r="295" spans="1:24" ht="15" hidden="1" customHeight="1">
      <c r="A295" s="1013" t="s">
        <v>1308</v>
      </c>
      <c r="B295" s="1013" t="s">
        <v>2662</v>
      </c>
      <c r="C295" s="1015">
        <v>15300.33</v>
      </c>
      <c r="D295" s="1015">
        <v>6231.54</v>
      </c>
      <c r="E295" s="1015">
        <v>21531.87</v>
      </c>
      <c r="F295" s="1013" t="s">
        <v>401</v>
      </c>
      <c r="G295" s="1013" t="s">
        <v>2662</v>
      </c>
      <c r="H295" s="150"/>
      <c r="I295" s="157"/>
      <c r="J295" s="157"/>
      <c r="K295" s="157"/>
      <c r="L295" s="153" t="str">
        <f t="shared" si="35"/>
        <v>6159</v>
      </c>
      <c r="M295" s="154" t="str">
        <f t="shared" si="36"/>
        <v>SERVICE EXTERIEUR</v>
      </c>
      <c r="N295" s="155">
        <f>+IF(OR($Q295=Parametres!$G$2,$Q295=Parametres!$G$3),I295,C295)</f>
        <v>15300.33</v>
      </c>
      <c r="O295" s="155">
        <f>+IF(OR($Q295=Parametres!$G$2,$Q295=Parametres!$G$3),J295,D295)</f>
        <v>6231.54</v>
      </c>
      <c r="P295" s="155">
        <f>+IF(OR($Q295=Parametres!$G$2,$Q295=Parametres!$G$3),K295,E295)</f>
        <v>21531.87</v>
      </c>
      <c r="Q295" s="154" t="str">
        <f t="shared" si="37"/>
        <v>7-Dépenses</v>
      </c>
      <c r="R295" s="153" t="str">
        <f t="shared" si="38"/>
        <v>6159</v>
      </c>
      <c r="S295" s="154">
        <f t="shared" si="39"/>
        <v>0</v>
      </c>
      <c r="T295" s="156" t="str">
        <f>+VLOOKUP($L295,Data_Validation!$A:$D,1,0)</f>
        <v>6159</v>
      </c>
      <c r="U295" s="156" t="str">
        <f>+VLOOKUP($L295,Data_Validation!$A:$D,3,0)</f>
        <v>Véhicules neufs</v>
      </c>
      <c r="V295" s="156" t="str">
        <f>+VLOOKUP($L295,Data_Validation!$A:$D,4,0)</f>
        <v>Services extérieurs</v>
      </c>
      <c r="W295" s="156" t="str">
        <f>+VLOOKUP($L295,Data_Validation!$A:$E,5,0)</f>
        <v>$</v>
      </c>
      <c r="X295" s="156">
        <f>+VLOOKUP($L295,Data_Validation!$A:$F,6,0)</f>
        <v>0</v>
      </c>
    </row>
    <row r="296" spans="1:24" ht="15" hidden="1" customHeight="1">
      <c r="A296" s="1013" t="s">
        <v>1333</v>
      </c>
      <c r="B296" s="1013" t="s">
        <v>2653</v>
      </c>
      <c r="C296" s="1015">
        <v>5866.88</v>
      </c>
      <c r="D296" s="1015">
        <v>2933.44</v>
      </c>
      <c r="E296" s="1015">
        <v>8800.32</v>
      </c>
      <c r="F296" s="1013" t="s">
        <v>401</v>
      </c>
      <c r="G296" s="1013" t="s">
        <v>2653</v>
      </c>
      <c r="H296" s="150"/>
      <c r="I296" s="157"/>
      <c r="J296" s="157"/>
      <c r="K296" s="157"/>
      <c r="L296" s="153" t="str">
        <f t="shared" si="35"/>
        <v>6161</v>
      </c>
      <c r="M296" s="154" t="str">
        <f t="shared" si="36"/>
        <v>DEPRECIATION EQUIP. &amp; FIXTURES</v>
      </c>
      <c r="N296" s="155">
        <f>+IF(OR($Q296=Parametres!$G$2,$Q296=Parametres!$G$3),I296,C296)</f>
        <v>5866.88</v>
      </c>
      <c r="O296" s="155">
        <f>+IF(OR($Q296=Parametres!$G$2,$Q296=Parametres!$G$3),J296,D296)</f>
        <v>2933.44</v>
      </c>
      <c r="P296" s="155">
        <f>+IF(OR($Q296=Parametres!$G$2,$Q296=Parametres!$G$3),K296,E296)</f>
        <v>8800.32</v>
      </c>
      <c r="Q296" s="154" t="str">
        <f t="shared" si="37"/>
        <v>7-Dépenses</v>
      </c>
      <c r="R296" s="153" t="str">
        <f t="shared" si="38"/>
        <v>6161</v>
      </c>
      <c r="S296" s="154">
        <f t="shared" si="39"/>
        <v>0</v>
      </c>
      <c r="T296" s="156" t="str">
        <f>+VLOOKUP($L296,Data_Validation!$A:$D,1,0)</f>
        <v>6161</v>
      </c>
      <c r="U296" s="156" t="str">
        <f>+VLOOKUP($L296,Data_Validation!$A:$D,3,0)</f>
        <v>Véhicules neufs</v>
      </c>
      <c r="V296" s="156" t="str">
        <f>+VLOOKUP($L296,Data_Validation!$A:$D,4,0)</f>
        <v>Amortissement</v>
      </c>
      <c r="W296" s="156" t="str">
        <f>+VLOOKUP($L296,Data_Validation!$A:$E,5,0)</f>
        <v>$</v>
      </c>
      <c r="X296" s="156">
        <f>+VLOOKUP($L296,Data_Validation!$A:$F,6,0)</f>
        <v>0</v>
      </c>
    </row>
    <row r="297" spans="1:24" ht="15.75" hidden="1" customHeight="1">
      <c r="A297" s="1013" t="s">
        <v>1332</v>
      </c>
      <c r="B297" s="1013" t="s">
        <v>2604</v>
      </c>
      <c r="C297" s="1015">
        <v>1756.3</v>
      </c>
      <c r="D297" s="1015">
        <v>1219.1500000000001</v>
      </c>
      <c r="E297" s="1015">
        <v>2975.45</v>
      </c>
      <c r="F297" s="1013" t="s">
        <v>401</v>
      </c>
      <c r="G297" s="1013" t="s">
        <v>2604</v>
      </c>
      <c r="H297" s="150"/>
      <c r="I297" s="151"/>
      <c r="J297" s="151"/>
      <c r="K297" s="151"/>
      <c r="L297" s="153" t="str">
        <f t="shared" si="35"/>
        <v>6181</v>
      </c>
      <c r="M297" s="154" t="str">
        <f t="shared" si="36"/>
        <v>ELECTRICITE CHAUFFAGE</v>
      </c>
      <c r="N297" s="155">
        <f>+IF(OR($Q297=Parametres!$G$2,$Q297=Parametres!$G$3),I297,C297)</f>
        <v>1756.3</v>
      </c>
      <c r="O297" s="155">
        <f>+IF(OR($Q297=Parametres!$G$2,$Q297=Parametres!$G$3),J297,D297)</f>
        <v>1219.1500000000001</v>
      </c>
      <c r="P297" s="155">
        <f>+IF(OR($Q297=Parametres!$G$2,$Q297=Parametres!$G$3),K297,E297)</f>
        <v>2975.45</v>
      </c>
      <c r="Q297" s="154" t="str">
        <f t="shared" si="37"/>
        <v>7-Dépenses</v>
      </c>
      <c r="R297" s="153" t="str">
        <f t="shared" si="38"/>
        <v>6181</v>
      </c>
      <c r="S297" s="154">
        <f t="shared" si="39"/>
        <v>0</v>
      </c>
      <c r="T297" s="156" t="str">
        <f>+VLOOKUP($L297,Data_Validation!$A:$D,1,0)</f>
        <v>6181</v>
      </c>
      <c r="U297" s="156" t="str">
        <f>+VLOOKUP($L297,Data_Validation!$A:$D,3,0)</f>
        <v>Véhicules neufs</v>
      </c>
      <c r="V297" s="156" t="str">
        <f>+VLOOKUP($L297,Data_Validation!$A:$D,4,0)</f>
        <v>Chauffage, éclairage</v>
      </c>
      <c r="W297" s="156" t="str">
        <f>+VLOOKUP($L297,Data_Validation!$A:$E,5,0)</f>
        <v>$</v>
      </c>
      <c r="X297" s="156">
        <f>+VLOOKUP($L297,Data_Validation!$A:$F,6,0)</f>
        <v>0</v>
      </c>
    </row>
    <row r="298" spans="1:24" ht="15" hidden="1" customHeight="1">
      <c r="A298" s="1013" t="s">
        <v>1469</v>
      </c>
      <c r="B298" s="1013" t="s">
        <v>2709</v>
      </c>
      <c r="C298" s="1015">
        <v>16640</v>
      </c>
      <c r="D298" s="1015">
        <v>8320</v>
      </c>
      <c r="E298" s="1015">
        <v>24960</v>
      </c>
      <c r="F298" s="1013" t="s">
        <v>401</v>
      </c>
      <c r="G298" s="1013" t="s">
        <v>2709</v>
      </c>
      <c r="H298" s="150"/>
      <c r="I298" s="151"/>
      <c r="J298" s="151"/>
      <c r="K298" s="151"/>
      <c r="L298" s="153" t="str">
        <f t="shared" si="35"/>
        <v>6182</v>
      </c>
      <c r="M298" s="154" t="str">
        <f t="shared" si="36"/>
        <v>LOYER NEUFS</v>
      </c>
      <c r="N298" s="155">
        <f>+IF(OR($Q298=Parametres!$G$2,$Q298=Parametres!$G$3),I298,C298)</f>
        <v>16640</v>
      </c>
      <c r="O298" s="155">
        <f>+IF(OR($Q298=Parametres!$G$2,$Q298=Parametres!$G$3),J298,D298)</f>
        <v>8320</v>
      </c>
      <c r="P298" s="155">
        <f>+IF(OR($Q298=Parametres!$G$2,$Q298=Parametres!$G$3),K298,E298)</f>
        <v>24960</v>
      </c>
      <c r="Q298" s="154" t="str">
        <f t="shared" si="37"/>
        <v>7-Dépenses</v>
      </c>
      <c r="R298" s="153" t="str">
        <f t="shared" si="38"/>
        <v>6182</v>
      </c>
      <c r="S298" s="154">
        <f t="shared" si="39"/>
        <v>0</v>
      </c>
      <c r="T298" s="156" t="str">
        <f>+VLOOKUP($L298,Data_Validation!$A:$D,1,0)</f>
        <v>6182</v>
      </c>
      <c r="U298" s="156" t="str">
        <f>+VLOOKUP($L298,Data_Validation!$A:$D,3,0)</f>
        <v>Véhicules neufs</v>
      </c>
      <c r="V298" s="156" t="str">
        <f>+VLOOKUP($L298,Data_Validation!$A:$D,4,0)</f>
        <v>Loyer</v>
      </c>
      <c r="W298" s="156" t="str">
        <f>+VLOOKUP($L298,Data_Validation!$A:$E,5,0)</f>
        <v>$</v>
      </c>
      <c r="X298" s="156">
        <f>+VLOOKUP($L298,Data_Validation!$A:$F,6,0)</f>
        <v>0</v>
      </c>
    </row>
    <row r="299" spans="1:24" ht="15" hidden="1" customHeight="1">
      <c r="A299" s="1013" t="s">
        <v>1366</v>
      </c>
      <c r="B299" s="1013" t="s">
        <v>2594</v>
      </c>
      <c r="C299" s="1015">
        <v>2373.1999999999998</v>
      </c>
      <c r="D299" s="1015">
        <v>1186.5999999999999</v>
      </c>
      <c r="E299" s="1015">
        <v>3559.8</v>
      </c>
      <c r="F299" s="1013" t="s">
        <v>401</v>
      </c>
      <c r="G299" s="1013" t="s">
        <v>2594</v>
      </c>
      <c r="H299" s="949"/>
      <c r="I299" s="949"/>
      <c r="J299" s="949"/>
      <c r="K299" s="949"/>
      <c r="L299" s="153" t="str">
        <f t="shared" si="35"/>
        <v>6186</v>
      </c>
      <c r="M299" s="154" t="str">
        <f t="shared" si="36"/>
        <v>ASSURANCE BATIMENT</v>
      </c>
      <c r="N299" s="155">
        <f>+IF(OR($Q299=Parametres!$G$2,$Q299=Parametres!$G$3),I299,C299)</f>
        <v>2373.1999999999998</v>
      </c>
      <c r="O299" s="155">
        <f>+IF(OR($Q299=Parametres!$G$2,$Q299=Parametres!$G$3),J299,D299)</f>
        <v>1186.5999999999999</v>
      </c>
      <c r="P299" s="155">
        <f>+IF(OR($Q299=Parametres!$G$2,$Q299=Parametres!$G$3),K299,E299)</f>
        <v>3559.8</v>
      </c>
      <c r="Q299" s="154" t="str">
        <f t="shared" si="37"/>
        <v>7-Dépenses</v>
      </c>
      <c r="R299" s="153" t="str">
        <f t="shared" si="38"/>
        <v>6186</v>
      </c>
      <c r="S299" s="154">
        <f t="shared" si="39"/>
        <v>0</v>
      </c>
      <c r="T299" s="156" t="str">
        <f>+VLOOKUP($L299,Data_Validation!$A:$D,1,0)</f>
        <v>6186</v>
      </c>
      <c r="U299" s="156" t="str">
        <f>+VLOOKUP($L299,Data_Validation!$A:$D,3,0)</f>
        <v>Véhicules neufs</v>
      </c>
      <c r="V299" s="156" t="str">
        <f>+VLOOKUP($L299,Data_Validation!$A:$D,4,0)</f>
        <v>Assurances</v>
      </c>
      <c r="W299" s="156" t="str">
        <f>+VLOOKUP($L299,Data_Validation!$A:$E,5,0)</f>
        <v>$</v>
      </c>
      <c r="X299" s="156">
        <f>+VLOOKUP($L299,Data_Validation!$A:$F,6,0)</f>
        <v>0</v>
      </c>
    </row>
    <row r="300" spans="1:24" ht="15" hidden="1" customHeight="1">
      <c r="A300" s="1013" t="s">
        <v>1362</v>
      </c>
      <c r="B300" s="1013" t="s">
        <v>2614</v>
      </c>
      <c r="C300" s="1015">
        <v>3078.4</v>
      </c>
      <c r="D300" s="1015">
        <v>1539.2</v>
      </c>
      <c r="E300" s="1015">
        <v>4617.6000000000004</v>
      </c>
      <c r="F300" s="1013" t="s">
        <v>401</v>
      </c>
      <c r="G300" s="1013" t="s">
        <v>2614</v>
      </c>
      <c r="H300" s="150"/>
      <c r="I300" s="152"/>
      <c r="J300" s="152"/>
      <c r="K300" s="152"/>
      <c r="L300" s="153" t="str">
        <f t="shared" si="35"/>
        <v>6187</v>
      </c>
      <c r="M300" s="154" t="str">
        <f t="shared" si="36"/>
        <v>TAXE SUR PROPRIETE</v>
      </c>
      <c r="N300" s="155">
        <f>+IF(OR($Q300=Parametres!$G$2,$Q300=Parametres!$G$3),I300,C300)</f>
        <v>3078.4</v>
      </c>
      <c r="O300" s="155">
        <f>+IF(OR($Q300=Parametres!$G$2,$Q300=Parametres!$G$3),J300,D300)</f>
        <v>1539.2</v>
      </c>
      <c r="P300" s="155">
        <f>+IF(OR($Q300=Parametres!$G$2,$Q300=Parametres!$G$3),K300,E300)</f>
        <v>4617.6000000000004</v>
      </c>
      <c r="Q300" s="154" t="str">
        <f t="shared" si="37"/>
        <v>7-Dépenses</v>
      </c>
      <c r="R300" s="153" t="str">
        <f t="shared" si="38"/>
        <v>6187</v>
      </c>
      <c r="S300" s="154">
        <f t="shared" si="39"/>
        <v>0</v>
      </c>
      <c r="T300" s="156" t="str">
        <f>+VLOOKUP($L300,Data_Validation!$A:$D,1,0)</f>
        <v>6187</v>
      </c>
      <c r="U300" s="156" t="str">
        <f>+VLOOKUP($L300,Data_Validation!$A:$D,3,0)</f>
        <v>Véhicules neufs</v>
      </c>
      <c r="V300" s="156" t="str">
        <f>+VLOOKUP($L300,Data_Validation!$A:$D,4,0)</f>
        <v>Taxes foncières</v>
      </c>
      <c r="W300" s="156" t="str">
        <f>+VLOOKUP($L300,Data_Validation!$A:$E,5,0)</f>
        <v>$</v>
      </c>
      <c r="X300" s="156">
        <f>+VLOOKUP($L300,Data_Validation!$A:$F,6,0)</f>
        <v>0</v>
      </c>
    </row>
    <row r="301" spans="1:24" ht="15.75" hidden="1" customHeight="1">
      <c r="A301" s="1013" t="s">
        <v>1296</v>
      </c>
      <c r="B301" s="1013" t="s">
        <v>2597</v>
      </c>
      <c r="C301" s="1015">
        <v>2048</v>
      </c>
      <c r="D301" s="1015">
        <v>1024</v>
      </c>
      <c r="E301" s="1015">
        <v>3072</v>
      </c>
      <c r="F301" s="1013" t="s">
        <v>401</v>
      </c>
      <c r="G301" s="1013" t="s">
        <v>2597</v>
      </c>
      <c r="H301" s="150"/>
      <c r="I301" s="157"/>
      <c r="J301" s="157"/>
      <c r="K301" s="157"/>
      <c r="L301" s="153" t="str">
        <f t="shared" si="35"/>
        <v>6193</v>
      </c>
      <c r="M301" s="154" t="str">
        <f t="shared" si="36"/>
        <v>TAXES AUTRES PERMIS LICENCE</v>
      </c>
      <c r="N301" s="155">
        <f>+IF(OR($Q301=Parametres!$G$2,$Q301=Parametres!$G$3),I301,C301)</f>
        <v>2048</v>
      </c>
      <c r="O301" s="155">
        <f>+IF(OR($Q301=Parametres!$G$2,$Q301=Parametres!$G$3),J301,D301)</f>
        <v>1024</v>
      </c>
      <c r="P301" s="155">
        <f>+IF(OR($Q301=Parametres!$G$2,$Q301=Parametres!$G$3),K301,E301)</f>
        <v>3072</v>
      </c>
      <c r="Q301" s="154" t="str">
        <f t="shared" si="37"/>
        <v>7-Dépenses</v>
      </c>
      <c r="R301" s="153" t="str">
        <f t="shared" si="38"/>
        <v>6193</v>
      </c>
      <c r="S301" s="154">
        <f t="shared" si="39"/>
        <v>0</v>
      </c>
      <c r="T301" s="156" t="str">
        <f>+VLOOKUP($L301,Data_Validation!$A:$D,1,0)</f>
        <v>6193</v>
      </c>
      <c r="U301" s="156" t="str">
        <f>+VLOOKUP($L301,Data_Validation!$A:$D,3,0)</f>
        <v>Véhicules neufs</v>
      </c>
      <c r="V301" s="156" t="str">
        <f>+VLOOKUP($L301,Data_Validation!$A:$D,4,0)</f>
        <v>Taxes d`affaires</v>
      </c>
      <c r="W301" s="156" t="str">
        <f>+VLOOKUP($L301,Data_Validation!$A:$E,5,0)</f>
        <v>$</v>
      </c>
      <c r="X301" s="156">
        <f>+VLOOKUP($L301,Data_Validation!$A:$F,6,0)</f>
        <v>0</v>
      </c>
    </row>
    <row r="302" spans="1:24" ht="15" hidden="1" customHeight="1">
      <c r="A302" s="1013" t="s">
        <v>1395</v>
      </c>
      <c r="B302" s="1013" t="s">
        <v>2635</v>
      </c>
      <c r="C302" s="1015">
        <v>3978.94</v>
      </c>
      <c r="D302" s="1015">
        <v>1989.47</v>
      </c>
      <c r="E302" s="1015">
        <v>5968.41</v>
      </c>
      <c r="F302" s="1013" t="s">
        <v>401</v>
      </c>
      <c r="G302" s="1013" t="s">
        <v>2635</v>
      </c>
      <c r="H302" s="150"/>
      <c r="I302" s="151"/>
      <c r="J302" s="151"/>
      <c r="K302" s="151"/>
      <c r="L302" s="153" t="str">
        <f t="shared" si="35"/>
        <v>6194</v>
      </c>
      <c r="M302" s="154" t="str">
        <f t="shared" si="36"/>
        <v>HONORAIRES PROFESSIONNELS</v>
      </c>
      <c r="N302" s="155">
        <f>+IF(OR($Q302=Parametres!$G$2,$Q302=Parametres!$G$3),I302,C302)</f>
        <v>3978.94</v>
      </c>
      <c r="O302" s="155">
        <f>+IF(OR($Q302=Parametres!$G$2,$Q302=Parametres!$G$3),J302,D302)</f>
        <v>1989.47</v>
      </c>
      <c r="P302" s="155">
        <f>+IF(OR($Q302=Parametres!$G$2,$Q302=Parametres!$G$3),K302,E302)</f>
        <v>5968.41</v>
      </c>
      <c r="Q302" s="154" t="str">
        <f t="shared" si="37"/>
        <v>7-Dépenses</v>
      </c>
      <c r="R302" s="153" t="str">
        <f t="shared" si="38"/>
        <v>6194</v>
      </c>
      <c r="S302" s="154">
        <f t="shared" si="39"/>
        <v>0</v>
      </c>
      <c r="T302" s="156" t="str">
        <f>+VLOOKUP($L302,Data_Validation!$A:$D,1,0)</f>
        <v>6194</v>
      </c>
      <c r="U302" s="156" t="str">
        <f>+VLOOKUP($L302,Data_Validation!$A:$D,3,0)</f>
        <v>Véhicules neufs</v>
      </c>
      <c r="V302" s="156" t="str">
        <f>+VLOOKUP($L302,Data_Validation!$A:$D,4,0)</f>
        <v>Honoraires</v>
      </c>
      <c r="W302" s="156" t="str">
        <f>+VLOOKUP($L302,Data_Validation!$A:$E,5,0)</f>
        <v>$</v>
      </c>
      <c r="X302" s="156">
        <f>+VLOOKUP($L302,Data_Validation!$A:$F,6,0)</f>
        <v>0</v>
      </c>
    </row>
    <row r="303" spans="1:24" ht="15" hidden="1" customHeight="1">
      <c r="A303" s="1013" t="s">
        <v>1483</v>
      </c>
      <c r="B303" s="1013" t="s">
        <v>2780</v>
      </c>
      <c r="C303" s="1015">
        <v>19369.91</v>
      </c>
      <c r="D303" s="1015">
        <v>19590.259999999998</v>
      </c>
      <c r="E303" s="1015">
        <v>38960.17</v>
      </c>
      <c r="F303" s="1013" t="s">
        <v>401</v>
      </c>
      <c r="G303" s="1013" t="s">
        <v>2781</v>
      </c>
      <c r="H303" s="150"/>
      <c r="I303" s="157"/>
      <c r="J303" s="157"/>
      <c r="K303" s="157"/>
      <c r="L303" s="153" t="str">
        <f t="shared" si="35"/>
        <v>6201</v>
      </c>
      <c r="M303" s="154" t="str">
        <f t="shared" si="36"/>
        <v>COMMISSION USAGES</v>
      </c>
      <c r="N303" s="155">
        <f>+IF(OR($Q303=Parametres!$G$2,$Q303=Parametres!$G$3),I303,C303)</f>
        <v>19369.91</v>
      </c>
      <c r="O303" s="155">
        <f>+IF(OR($Q303=Parametres!$G$2,$Q303=Parametres!$G$3),J303,D303)</f>
        <v>19590.259999999998</v>
      </c>
      <c r="P303" s="155">
        <f>+IF(OR($Q303=Parametres!$G$2,$Q303=Parametres!$G$3),K303,E303)</f>
        <v>38960.17</v>
      </c>
      <c r="Q303" s="154" t="str">
        <f t="shared" si="37"/>
        <v>7-Dépenses</v>
      </c>
      <c r="R303" s="153" t="str">
        <f t="shared" si="38"/>
        <v>6101</v>
      </c>
      <c r="S303" s="154">
        <f t="shared" si="39"/>
        <v>0</v>
      </c>
      <c r="T303" s="156" t="str">
        <f>+VLOOKUP($L303,Data_Validation!$A:$D,1,0)</f>
        <v>6201</v>
      </c>
      <c r="U303" s="156" t="str">
        <f>+VLOOKUP($L303,Data_Validation!$A:$D,3,0)</f>
        <v>Véhicules usagés</v>
      </c>
      <c r="V303" s="156" t="str">
        <f>+VLOOKUP($L303,Data_Validation!$A:$D,4,0)</f>
        <v>Comm. vendeurs</v>
      </c>
      <c r="W303" s="156" t="str">
        <f>+VLOOKUP($L303,Data_Validation!$A:$E,5,0)</f>
        <v>$</v>
      </c>
      <c r="X303" s="156">
        <f>+VLOOKUP($L303,Data_Validation!$A:$F,6,0)</f>
        <v>0</v>
      </c>
    </row>
    <row r="304" spans="1:24" ht="15" hidden="1" customHeight="1">
      <c r="A304" s="1013" t="s">
        <v>1442</v>
      </c>
      <c r="B304" s="1013" t="s">
        <v>2769</v>
      </c>
      <c r="C304" s="1015">
        <v>21113.68</v>
      </c>
      <c r="D304" s="1015">
        <v>22319.200000000001</v>
      </c>
      <c r="E304" s="1015">
        <v>43432.88</v>
      </c>
      <c r="F304" s="1013" t="s">
        <v>401</v>
      </c>
      <c r="G304" s="1013" t="s">
        <v>2770</v>
      </c>
      <c r="H304" s="150"/>
      <c r="I304" s="157"/>
      <c r="J304" s="157"/>
      <c r="K304" s="157"/>
      <c r="L304" s="153" t="str">
        <f t="shared" si="35"/>
        <v>6202</v>
      </c>
      <c r="M304" s="154" t="str">
        <f t="shared" si="36"/>
        <v>RENUMERATION F &amp; I</v>
      </c>
      <c r="N304" s="155">
        <f>+IF(OR($Q304=Parametres!$G$2,$Q304=Parametres!$G$3),I304,C304)</f>
        <v>21113.68</v>
      </c>
      <c r="O304" s="155">
        <f>+IF(OR($Q304=Parametres!$G$2,$Q304=Parametres!$G$3),J304,D304)</f>
        <v>22319.200000000001</v>
      </c>
      <c r="P304" s="155">
        <f>+IF(OR($Q304=Parametres!$G$2,$Q304=Parametres!$G$3),K304,E304)</f>
        <v>43432.88</v>
      </c>
      <c r="Q304" s="154" t="str">
        <f t="shared" si="37"/>
        <v>7-Dépenses</v>
      </c>
      <c r="R304" s="153" t="str">
        <f t="shared" si="38"/>
        <v>6102</v>
      </c>
      <c r="S304" s="154">
        <f t="shared" si="39"/>
        <v>0</v>
      </c>
      <c r="T304" s="156" t="str">
        <f>+VLOOKUP($L304,Data_Validation!$A:$D,1,0)</f>
        <v>6202</v>
      </c>
      <c r="U304" s="156" t="str">
        <f>+VLOOKUP($L304,Data_Validation!$A:$D,3,0)</f>
        <v>Véhicules usagés</v>
      </c>
      <c r="V304" s="156" t="str">
        <f>+VLOOKUP($L304,Data_Validation!$A:$D,4,0)</f>
        <v>Comm. F&amp;I</v>
      </c>
      <c r="W304" s="156" t="str">
        <f>+VLOOKUP($L304,Data_Validation!$A:$E,5,0)</f>
        <v>$</v>
      </c>
      <c r="X304" s="156">
        <f>+VLOOKUP($L304,Data_Validation!$A:$F,6,0)</f>
        <v>0</v>
      </c>
    </row>
    <row r="305" spans="1:24" ht="15.75" customHeight="1">
      <c r="A305" s="1013" t="s">
        <v>1230</v>
      </c>
      <c r="B305" s="1013" t="s">
        <v>2751</v>
      </c>
      <c r="C305" s="1015">
        <v>2535.9299999999998</v>
      </c>
      <c r="D305" s="1015">
        <v>0</v>
      </c>
      <c r="E305" s="1015">
        <v>2535.9299999999998</v>
      </c>
      <c r="F305" s="1013" t="s">
        <v>401</v>
      </c>
      <c r="G305" s="1013" t="s">
        <v>2706</v>
      </c>
      <c r="H305" s="150"/>
      <c r="I305" s="157"/>
      <c r="J305" s="157"/>
      <c r="K305" s="157"/>
      <c r="L305" s="153" t="str">
        <f t="shared" si="35"/>
        <v>6203</v>
      </c>
      <c r="M305" s="154" t="str">
        <f t="shared" si="36"/>
        <v>RELAT. A LA CLIENTELLE &amp; AJUST</v>
      </c>
      <c r="N305" s="155">
        <f>+IF(OR($Q305=Parametres!$G$2,$Q305=Parametres!$G$3),I305,C305)</f>
        <v>2535.9299999999998</v>
      </c>
      <c r="O305" s="155">
        <f>+IF(OR($Q305=Parametres!$G$2,$Q305=Parametres!$G$3),J305,D305)</f>
        <v>0</v>
      </c>
      <c r="P305" s="155">
        <f>+IF(OR($Q305=Parametres!$G$2,$Q305=Parametres!$G$3),K305,E305)</f>
        <v>2535.9299999999998</v>
      </c>
      <c r="Q305" s="154" t="str">
        <f t="shared" si="37"/>
        <v>7-Dépenses</v>
      </c>
      <c r="R305" s="153" t="str">
        <f t="shared" si="38"/>
        <v>6103</v>
      </c>
      <c r="S305" s="154">
        <f t="shared" si="39"/>
        <v>0</v>
      </c>
      <c r="T305" s="156" t="str">
        <f>+VLOOKUP($L305,Data_Validation!$A:$D,1,0)</f>
        <v>6203</v>
      </c>
      <c r="U305" s="156" t="str">
        <f>+VLOOKUP($L305,Data_Validation!$A:$D,3,0)</f>
        <v>Véhicules usagés</v>
      </c>
      <c r="V305" s="156" t="str">
        <f>+VLOOKUP($L305,Data_Validation!$A:$D,4,0)</f>
        <v>Service gratuit 1</v>
      </c>
      <c r="W305" s="156" t="str">
        <f>+VLOOKUP($L305,Data_Validation!$A:$E,5,0)</f>
        <v>$</v>
      </c>
      <c r="X305" s="156">
        <f>+VLOOKUP($L305,Data_Validation!$A:$F,6,0)</f>
        <v>0</v>
      </c>
    </row>
    <row r="306" spans="1:24" ht="15" hidden="1" customHeight="1">
      <c r="A306" s="1013" t="s">
        <v>2757</v>
      </c>
      <c r="B306" s="1013" t="s">
        <v>2758</v>
      </c>
      <c r="C306" s="1015">
        <v>4588.25</v>
      </c>
      <c r="D306" s="1015">
        <v>2817.25</v>
      </c>
      <c r="E306" s="1015">
        <v>7405.5</v>
      </c>
      <c r="F306" s="1013" t="s">
        <v>401</v>
      </c>
      <c r="G306" s="1013" t="s">
        <v>2759</v>
      </c>
      <c r="H306" s="150"/>
      <c r="I306" s="151"/>
      <c r="J306" s="151"/>
      <c r="K306" s="151"/>
      <c r="L306" s="153" t="str">
        <f t="shared" si="35"/>
        <v>6206</v>
      </c>
      <c r="M306" s="154" t="str">
        <f t="shared" si="36"/>
        <v>ENTRETIEN DES STOCKS</v>
      </c>
      <c r="N306" s="155">
        <f>+IF(OR($Q306=Parametres!$G$2,$Q306=Parametres!$G$3),I306,C306)</f>
        <v>4588.25</v>
      </c>
      <c r="O306" s="155">
        <f>+IF(OR($Q306=Parametres!$G$2,$Q306=Parametres!$G$3),J306,D306)</f>
        <v>2817.25</v>
      </c>
      <c r="P306" s="155">
        <f>+IF(OR($Q306=Parametres!$G$2,$Q306=Parametres!$G$3),K306,E306)</f>
        <v>7405.5</v>
      </c>
      <c r="Q306" s="154" t="str">
        <f t="shared" si="37"/>
        <v>7-Dépenses</v>
      </c>
      <c r="R306" s="153" t="str">
        <f t="shared" si="38"/>
        <v>6106</v>
      </c>
      <c r="S306" s="154">
        <f t="shared" si="39"/>
        <v>0</v>
      </c>
      <c r="T306" s="156" t="str">
        <f>+VLOOKUP($L306,Data_Validation!$A:$D,1,0)</f>
        <v>6206</v>
      </c>
      <c r="U306" s="156" t="str">
        <f>+VLOOKUP($L306,Data_Validation!$A:$D,3,0)</f>
        <v>Véhicules usagés</v>
      </c>
      <c r="V306" s="156" t="str">
        <f>+VLOOKUP($L306,Data_Validation!$A:$D,4,0)</f>
        <v>Entretien stock</v>
      </c>
      <c r="W306" s="156" t="str">
        <f>+VLOOKUP($L306,Data_Validation!$A:$E,5,0)</f>
        <v>$</v>
      </c>
      <c r="X306" s="156">
        <f>+VLOOKUP($L306,Data_Validation!$A:$F,6,0)</f>
        <v>0</v>
      </c>
    </row>
    <row r="307" spans="1:24" ht="15" hidden="1" customHeight="1">
      <c r="A307" s="1013" t="s">
        <v>938</v>
      </c>
      <c r="B307" s="1013" t="s">
        <v>2611</v>
      </c>
      <c r="C307" s="1015">
        <v>1160.1600000000001</v>
      </c>
      <c r="D307" s="1015">
        <v>628.89</v>
      </c>
      <c r="E307" s="1015">
        <v>1789.05</v>
      </c>
      <c r="F307" s="1013" t="s">
        <v>401</v>
      </c>
      <c r="G307" s="1013" t="s">
        <v>2612</v>
      </c>
      <c r="H307" s="949"/>
      <c r="I307" s="949"/>
      <c r="J307" s="949"/>
      <c r="K307" s="949"/>
      <c r="L307" s="153" t="str">
        <f t="shared" si="35"/>
        <v>6207</v>
      </c>
      <c r="M307" s="154" t="str">
        <f t="shared" si="36"/>
        <v>INTERET-PLAN DE FINANCEMENT</v>
      </c>
      <c r="N307" s="155">
        <f>+IF(OR($Q307=Parametres!$G$2,$Q307=Parametres!$G$3),I307,C307)</f>
        <v>1160.1600000000001</v>
      </c>
      <c r="O307" s="155">
        <f>+IF(OR($Q307=Parametres!$G$2,$Q307=Parametres!$G$3),J307,D307)</f>
        <v>628.89</v>
      </c>
      <c r="P307" s="155">
        <f>+IF(OR($Q307=Parametres!$G$2,$Q307=Parametres!$G$3),K307,E307)</f>
        <v>1789.05</v>
      </c>
      <c r="Q307" s="154" t="str">
        <f t="shared" si="37"/>
        <v>7-Dépenses</v>
      </c>
      <c r="R307" s="153" t="str">
        <f t="shared" si="38"/>
        <v>6107</v>
      </c>
      <c r="S307" s="154">
        <f t="shared" si="39"/>
        <v>0</v>
      </c>
      <c r="T307" s="156" t="str">
        <f>+VLOOKUP($L307,Data_Validation!$A:$D,1,0)</f>
        <v>6207</v>
      </c>
      <c r="U307" s="156" t="str">
        <f>+VLOOKUP($L307,Data_Validation!$A:$D,3,0)</f>
        <v>Véhicules usagés</v>
      </c>
      <c r="V307" s="156" t="str">
        <f>+VLOOKUP($L307,Data_Validation!$A:$D,4,0)</f>
        <v>Intérêt de gros</v>
      </c>
      <c r="W307" s="156" t="str">
        <f>+VLOOKUP($L307,Data_Validation!$A:$E,5,0)</f>
        <v>$</v>
      </c>
      <c r="X307" s="156">
        <f>+VLOOKUP($L307,Data_Validation!$A:$F,6,0)</f>
        <v>0</v>
      </c>
    </row>
    <row r="308" spans="1:24" ht="15" hidden="1" customHeight="1">
      <c r="A308" s="1013" t="s">
        <v>1407</v>
      </c>
      <c r="B308" s="1013" t="s">
        <v>2695</v>
      </c>
      <c r="C308" s="1015">
        <v>2448.89</v>
      </c>
      <c r="D308" s="1015">
        <v>2212.5300000000002</v>
      </c>
      <c r="E308" s="1015">
        <v>4661.42</v>
      </c>
      <c r="F308" s="1013" t="s">
        <v>401</v>
      </c>
      <c r="G308" s="1013" t="s">
        <v>2696</v>
      </c>
      <c r="H308" s="150"/>
      <c r="I308" s="157"/>
      <c r="J308" s="157"/>
      <c r="K308" s="157"/>
      <c r="L308" s="153" t="str">
        <f t="shared" si="35"/>
        <v>6208</v>
      </c>
      <c r="M308" s="154" t="str">
        <f t="shared" si="36"/>
        <v>FRAIS DE LIVRAISON</v>
      </c>
      <c r="N308" s="155">
        <f>+IF(OR($Q308=Parametres!$G$2,$Q308=Parametres!$G$3),I308,C308)</f>
        <v>2448.89</v>
      </c>
      <c r="O308" s="577">
        <f>+IF(OR($Q308=Parametres!$G$2,$Q308=Parametres!$G$3),J308,D308)</f>
        <v>2212.5300000000002</v>
      </c>
      <c r="P308" s="155">
        <f>+IF(OR($Q308=Parametres!$G$2,$Q308=Parametres!$G$3),K308,E308)</f>
        <v>4661.42</v>
      </c>
      <c r="Q308" s="154" t="str">
        <f t="shared" si="37"/>
        <v>7-Dépenses</v>
      </c>
      <c r="R308" s="153" t="str">
        <f t="shared" si="38"/>
        <v>6108</v>
      </c>
      <c r="S308" s="154">
        <f t="shared" si="39"/>
        <v>0</v>
      </c>
      <c r="T308" s="156" t="str">
        <f>+VLOOKUP($L308,Data_Validation!$A:$D,1,0)</f>
        <v>6208</v>
      </c>
      <c r="U308" s="156" t="str">
        <f>+VLOOKUP($L308,Data_Validation!$A:$D,3,0)</f>
        <v>Véhicules usagés</v>
      </c>
      <c r="V308" s="156" t="str">
        <f>+VLOOKUP($L308,Data_Validation!$A:$D,4,0)</f>
        <v>Frais de livraison</v>
      </c>
      <c r="W308" s="156" t="str">
        <f>+VLOOKUP($L308,Data_Validation!$A:$E,5,0)</f>
        <v>$</v>
      </c>
      <c r="X308" s="156">
        <f>+VLOOKUP($L308,Data_Validation!$A:$F,6,0)</f>
        <v>0</v>
      </c>
    </row>
    <row r="309" spans="1:24" ht="15.75" hidden="1" customHeight="1">
      <c r="A309" s="1013" t="s">
        <v>1374</v>
      </c>
      <c r="B309" s="1013" t="s">
        <v>2774</v>
      </c>
      <c r="C309" s="1015">
        <v>15154.11</v>
      </c>
      <c r="D309" s="1015">
        <v>7543.89</v>
      </c>
      <c r="E309" s="1015">
        <v>22698</v>
      </c>
      <c r="F309" s="1013" t="s">
        <v>401</v>
      </c>
      <c r="G309" s="1013" t="s">
        <v>2113</v>
      </c>
      <c r="H309" s="949"/>
      <c r="I309" s="948"/>
      <c r="J309" s="948"/>
      <c r="K309" s="948"/>
      <c r="L309" s="153" t="str">
        <f t="shared" si="35"/>
        <v>6214</v>
      </c>
      <c r="M309" s="154" t="str">
        <f t="shared" si="36"/>
        <v>PUBLICITE</v>
      </c>
      <c r="N309" s="155">
        <f>+IF(OR($Q309=Parametres!$G$2,$Q309=Parametres!$G$3),I309,C309)</f>
        <v>15154.11</v>
      </c>
      <c r="O309" s="575">
        <f>+IF(OR($Q309=Parametres!$G$2,$Q309=Parametres!$G$3),J309,D309)</f>
        <v>7543.89</v>
      </c>
      <c r="P309" s="155">
        <f>+IF(OR($Q309=Parametres!$G$2,$Q309=Parametres!$G$3),K309,E309)</f>
        <v>22698</v>
      </c>
      <c r="Q309" s="154" t="str">
        <f t="shared" si="37"/>
        <v>7-Dépenses</v>
      </c>
      <c r="R309" s="153" t="str">
        <f t="shared" si="38"/>
        <v>6114</v>
      </c>
      <c r="S309" s="154">
        <f t="shared" si="39"/>
        <v>0</v>
      </c>
      <c r="T309" s="156" t="str">
        <f>+VLOOKUP($L309,Data_Validation!$A:$D,1,0)</f>
        <v>6214</v>
      </c>
      <c r="U309" s="156" t="str">
        <f>+VLOOKUP($L309,Data_Validation!$A:$D,3,0)</f>
        <v>Véhicules usagés</v>
      </c>
      <c r="V309" s="156" t="str">
        <f>+VLOOKUP($L309,Data_Validation!$A:$D,4,0)</f>
        <v>Publicité 1</v>
      </c>
      <c r="W309" s="156" t="str">
        <f>+VLOOKUP($L309,Data_Validation!$A:$E,5,0)</f>
        <v>$</v>
      </c>
      <c r="X309" s="156">
        <f>+VLOOKUP($L309,Data_Validation!$A:$F,6,0)</f>
        <v>0</v>
      </c>
    </row>
    <row r="310" spans="1:24" ht="15" hidden="1" customHeight="1">
      <c r="A310" s="1013" t="s">
        <v>2148</v>
      </c>
      <c r="B310" s="1013" t="s">
        <v>2149</v>
      </c>
      <c r="C310" s="1015">
        <v>-4400</v>
      </c>
      <c r="D310" s="1015">
        <v>-4200</v>
      </c>
      <c r="E310" s="1015">
        <v>-8600</v>
      </c>
      <c r="F310" s="1013" t="s">
        <v>401</v>
      </c>
      <c r="G310" s="1013" t="s">
        <v>2113</v>
      </c>
      <c r="H310" s="150"/>
      <c r="I310" s="157"/>
      <c r="J310" s="157"/>
      <c r="K310" s="157"/>
      <c r="L310" s="153" t="str">
        <f t="shared" si="35"/>
        <v>6215</v>
      </c>
      <c r="M310" s="154" t="str">
        <f t="shared" si="36"/>
        <v>CREDIT PUBLICITE USAGES</v>
      </c>
      <c r="N310" s="155">
        <f>+IF(OR($Q310=Parametres!$G$2,$Q310=Parametres!$G$3),I310,C310)</f>
        <v>-4400</v>
      </c>
      <c r="O310" s="155">
        <f>+IF(OR($Q310=Parametres!$G$2,$Q310=Parametres!$G$3),J310,D310)</f>
        <v>-4200</v>
      </c>
      <c r="P310" s="155">
        <f>+IF(OR($Q310=Parametres!$G$2,$Q310=Parametres!$G$3),K310,E310)</f>
        <v>-8600</v>
      </c>
      <c r="Q310" s="154" t="str">
        <f t="shared" si="37"/>
        <v>7-Dépenses</v>
      </c>
      <c r="R310" s="153" t="str">
        <f t="shared" si="38"/>
        <v>6114</v>
      </c>
      <c r="S310" s="154">
        <f t="shared" si="39"/>
        <v>0</v>
      </c>
      <c r="T310" s="156" t="str">
        <f>+VLOOKUP($L310,Data_Validation!$A:$D,1,0)</f>
        <v>6215</v>
      </c>
      <c r="U310" s="156" t="str">
        <f>+VLOOKUP($L310,Data_Validation!$A:$D,3,0)</f>
        <v>Véhicules usagés</v>
      </c>
      <c r="V310" s="156" t="str">
        <f>+VLOOKUP($L310,Data_Validation!$A:$D,4,0)</f>
        <v>Publicité 1</v>
      </c>
      <c r="W310" s="156" t="str">
        <f>+VLOOKUP($L310,Data_Validation!$A:$E,5,0)</f>
        <v>$</v>
      </c>
      <c r="X310" s="156">
        <f>+VLOOKUP($L310,Data_Validation!$A:$F,6,0)</f>
        <v>0</v>
      </c>
    </row>
    <row r="311" spans="1:24" ht="15" hidden="1" customHeight="1">
      <c r="A311" s="1013" t="s">
        <v>1259</v>
      </c>
      <c r="B311" s="1013" t="s">
        <v>2674</v>
      </c>
      <c r="C311" s="1015">
        <v>700</v>
      </c>
      <c r="D311" s="1015">
        <v>350</v>
      </c>
      <c r="E311" s="1015">
        <v>1050</v>
      </c>
      <c r="F311" s="1013" t="s">
        <v>401</v>
      </c>
      <c r="G311" s="1013" t="s">
        <v>2648</v>
      </c>
      <c r="H311" s="150"/>
      <c r="I311" s="157"/>
      <c r="J311" s="157"/>
      <c r="K311" s="157"/>
      <c r="L311" s="153" t="str">
        <f t="shared" si="35"/>
        <v>6221</v>
      </c>
      <c r="M311" s="154" t="str">
        <f t="shared" si="36"/>
        <v>SALAIRES - PROPRIETAIRES</v>
      </c>
      <c r="N311" s="155">
        <f>+IF(OR($Q311=Parametres!$G$2,$Q311=Parametres!$G$3),I311,C311)</f>
        <v>700</v>
      </c>
      <c r="O311" s="155">
        <f>+IF(OR($Q311=Parametres!$G$2,$Q311=Parametres!$G$3),J311,D311)</f>
        <v>350</v>
      </c>
      <c r="P311" s="155">
        <f>+IF(OR($Q311=Parametres!$G$2,$Q311=Parametres!$G$3),K311,E311)</f>
        <v>1050</v>
      </c>
      <c r="Q311" s="154" t="str">
        <f t="shared" si="37"/>
        <v>7-Dépenses</v>
      </c>
      <c r="R311" s="153" t="str">
        <f t="shared" si="38"/>
        <v>6121</v>
      </c>
      <c r="S311" s="154">
        <f t="shared" si="39"/>
        <v>0</v>
      </c>
      <c r="T311" s="156" t="str">
        <f>+VLOOKUP($L311,Data_Validation!$A:$D,1,0)</f>
        <v>6221</v>
      </c>
      <c r="U311" s="156" t="str">
        <f>+VLOOKUP($L311,Data_Validation!$A:$D,3,0)</f>
        <v>Véhicules usagés</v>
      </c>
      <c r="V311" s="156" t="str">
        <f>+VLOOKUP($L311,Data_Validation!$A:$D,4,0)</f>
        <v>Salaires propriétaire</v>
      </c>
      <c r="W311" s="156" t="str">
        <f>+VLOOKUP($L311,Data_Validation!$A:$E,5,0)</f>
        <v>$</v>
      </c>
      <c r="X311" s="156">
        <f>+VLOOKUP($L311,Data_Validation!$A:$F,6,0)</f>
        <v>0</v>
      </c>
    </row>
    <row r="312" spans="1:24" ht="15" hidden="1" customHeight="1">
      <c r="A312" s="1013" t="s">
        <v>2624</v>
      </c>
      <c r="B312" s="1013" t="s">
        <v>2748</v>
      </c>
      <c r="C312" s="1015">
        <v>20393.400000000001</v>
      </c>
      <c r="D312" s="1015">
        <v>12452.87</v>
      </c>
      <c r="E312" s="1015">
        <v>32846.269999999997</v>
      </c>
      <c r="F312" s="1013" t="s">
        <v>401</v>
      </c>
      <c r="G312" s="1013" t="s">
        <v>2626</v>
      </c>
      <c r="H312" s="150"/>
      <c r="I312" s="151"/>
      <c r="J312" s="151"/>
      <c r="K312" s="151"/>
      <c r="L312" s="153" t="str">
        <f t="shared" si="35"/>
        <v>6222</v>
      </c>
      <c r="M312" s="154" t="str">
        <f t="shared" si="36"/>
        <v>SAL SUPERVISION / GERANT</v>
      </c>
      <c r="N312" s="155">
        <f>+IF(OR($Q312=Parametres!$G$2,$Q312=Parametres!$G$3),I312,C312)</f>
        <v>20393.400000000001</v>
      </c>
      <c r="O312" s="155">
        <f>+IF(OR($Q312=Parametres!$G$2,$Q312=Parametres!$G$3),J312,D312)</f>
        <v>12452.87</v>
      </c>
      <c r="P312" s="155">
        <f>+IF(OR($Q312=Parametres!$G$2,$Q312=Parametres!$G$3),K312,E312)</f>
        <v>32846.269999999997</v>
      </c>
      <c r="Q312" s="154" t="str">
        <f t="shared" si="37"/>
        <v>7-Dépenses</v>
      </c>
      <c r="R312" s="153" t="str">
        <f t="shared" si="38"/>
        <v>6122</v>
      </c>
      <c r="S312" s="154">
        <f t="shared" si="39"/>
        <v>0</v>
      </c>
      <c r="T312" s="156" t="str">
        <f>+VLOOKUP($L312,Data_Validation!$A:$D,1,0)</f>
        <v>6222</v>
      </c>
      <c r="U312" s="156" t="str">
        <f>+VLOOKUP($L312,Data_Validation!$A:$D,3,0)</f>
        <v>Véhicules usagés</v>
      </c>
      <c r="V312" s="156" t="str">
        <f>+VLOOKUP($L312,Data_Validation!$A:$D,4,0)</f>
        <v>Salaires cadres</v>
      </c>
      <c r="W312" s="156" t="str">
        <f>+VLOOKUP($L312,Data_Validation!$A:$E,5,0)</f>
        <v>$</v>
      </c>
      <c r="X312" s="156">
        <f>+VLOOKUP($L312,Data_Validation!$A:$F,6,0)</f>
        <v>0</v>
      </c>
    </row>
    <row r="313" spans="1:24" ht="15" hidden="1" customHeight="1">
      <c r="A313" s="1013" t="s">
        <v>1342</v>
      </c>
      <c r="B313" s="1013" t="s">
        <v>2707</v>
      </c>
      <c r="C313" s="1015">
        <v>3678.44</v>
      </c>
      <c r="D313" s="1015">
        <v>2078.0100000000002</v>
      </c>
      <c r="E313" s="1015">
        <v>5756.45</v>
      </c>
      <c r="F313" s="1013" t="s">
        <v>401</v>
      </c>
      <c r="G313" s="1013" t="s">
        <v>2679</v>
      </c>
      <c r="H313" s="150"/>
      <c r="I313" s="152"/>
      <c r="J313" s="152"/>
      <c r="K313" s="152"/>
      <c r="L313" s="153" t="str">
        <f t="shared" si="35"/>
        <v>6223</v>
      </c>
      <c r="M313" s="154" t="str">
        <f t="shared" si="36"/>
        <v>SAL. &amp; RENUM. - CLERICAL</v>
      </c>
      <c r="N313" s="155">
        <f>+IF(OR($Q313=Parametres!$G$2,$Q313=Parametres!$G$3),I313,C313)</f>
        <v>3678.44</v>
      </c>
      <c r="O313" s="155">
        <f>+IF(OR($Q313=Parametres!$G$2,$Q313=Parametres!$G$3),J313,D313)</f>
        <v>2078.0100000000002</v>
      </c>
      <c r="P313" s="155">
        <f>+IF(OR($Q313=Parametres!$G$2,$Q313=Parametres!$G$3),K313,E313)</f>
        <v>5756.45</v>
      </c>
      <c r="Q313" s="154" t="str">
        <f t="shared" si="37"/>
        <v>7-Dépenses</v>
      </c>
      <c r="R313" s="153" t="str">
        <f t="shared" si="38"/>
        <v>6123</v>
      </c>
      <c r="S313" s="154">
        <f t="shared" si="39"/>
        <v>0</v>
      </c>
      <c r="T313" s="156" t="str">
        <f>+VLOOKUP($L313,Data_Validation!$A:$D,1,0)</f>
        <v>6223</v>
      </c>
      <c r="U313" s="156" t="str">
        <f>+VLOOKUP($L313,Data_Validation!$A:$D,3,0)</f>
        <v>Véhicules usagés</v>
      </c>
      <c r="V313" s="156" t="str">
        <f>+VLOOKUP($L313,Data_Validation!$A:$D,4,0)</f>
        <v>Salaires commis</v>
      </c>
      <c r="W313" s="156" t="str">
        <f>+VLOOKUP($L313,Data_Validation!$A:$E,5,0)</f>
        <v>$</v>
      </c>
      <c r="X313" s="156">
        <f>+VLOOKUP($L313,Data_Validation!$A:$F,6,0)</f>
        <v>0</v>
      </c>
    </row>
    <row r="314" spans="1:24" ht="15" hidden="1" customHeight="1">
      <c r="A314" s="1013" t="s">
        <v>1412</v>
      </c>
      <c r="B314" s="1013" t="s">
        <v>2776</v>
      </c>
      <c r="C314" s="1015">
        <v>12025.94</v>
      </c>
      <c r="D314" s="1015">
        <v>6845.89</v>
      </c>
      <c r="E314" s="1015">
        <v>18871.830000000002</v>
      </c>
      <c r="F314" s="1013" t="s">
        <v>401</v>
      </c>
      <c r="G314" s="1013" t="s">
        <v>2735</v>
      </c>
      <c r="H314" s="150"/>
      <c r="I314" s="157"/>
      <c r="J314" s="157"/>
      <c r="K314" s="157"/>
      <c r="L314" s="153" t="str">
        <f t="shared" si="35"/>
        <v>6224</v>
      </c>
      <c r="M314" s="154" t="str">
        <f t="shared" si="36"/>
        <v>SALAIRE &amp; RENUM. - AUTRES</v>
      </c>
      <c r="N314" s="155">
        <f>+IF(OR($Q314=Parametres!$G$2,$Q314=Parametres!$G$3),I314,C314)</f>
        <v>12025.94</v>
      </c>
      <c r="O314" s="155">
        <f>+IF(OR($Q314=Parametres!$G$2,$Q314=Parametres!$G$3),J314,D314)</f>
        <v>6845.89</v>
      </c>
      <c r="P314" s="155">
        <f>+IF(OR($Q314=Parametres!$G$2,$Q314=Parametres!$G$3),K314,E314)</f>
        <v>18871.830000000002</v>
      </c>
      <c r="Q314" s="154" t="str">
        <f t="shared" si="37"/>
        <v>7-Dépenses</v>
      </c>
      <c r="R314" s="153" t="str">
        <f t="shared" si="38"/>
        <v>6124</v>
      </c>
      <c r="S314" s="154">
        <f t="shared" si="39"/>
        <v>0</v>
      </c>
      <c r="T314" s="156" t="str">
        <f>+VLOOKUP($L314,Data_Validation!$A:$D,1,0)</f>
        <v>6224</v>
      </c>
      <c r="U314" s="156" t="str">
        <f>+VLOOKUP($L314,Data_Validation!$A:$D,3,0)</f>
        <v>Véhicules usagés</v>
      </c>
      <c r="V314" s="156" t="str">
        <f>+VLOOKUP($L314,Data_Validation!$A:$D,4,0)</f>
        <v>Salaires autres</v>
      </c>
      <c r="W314" s="156" t="str">
        <f>+VLOOKUP($L314,Data_Validation!$A:$E,5,0)</f>
        <v>$</v>
      </c>
      <c r="X314" s="156">
        <f>+VLOOKUP($L314,Data_Validation!$A:$F,6,0)</f>
        <v>0</v>
      </c>
    </row>
    <row r="315" spans="1:24" ht="15" hidden="1" customHeight="1">
      <c r="A315" s="1013" t="s">
        <v>1211</v>
      </c>
      <c r="B315" s="1013" t="s">
        <v>2712</v>
      </c>
      <c r="C315" s="1015">
        <v>5692.88</v>
      </c>
      <c r="D315" s="1015">
        <v>4893.1099999999997</v>
      </c>
      <c r="E315" s="1015">
        <v>10585.99</v>
      </c>
      <c r="F315" s="1013" t="s">
        <v>401</v>
      </c>
      <c r="G315" s="1013" t="s">
        <v>2641</v>
      </c>
      <c r="H315" s="150"/>
      <c r="I315" s="157"/>
      <c r="J315" s="157"/>
      <c r="K315" s="157"/>
      <c r="L315" s="153" t="str">
        <f t="shared" si="35"/>
        <v>6229</v>
      </c>
      <c r="M315" s="154" t="str">
        <f t="shared" si="36"/>
        <v>ABS.,VACANCES &amp; SAL. JOURS FER</v>
      </c>
      <c r="N315" s="155">
        <f>+IF(OR($Q315=Parametres!$G$2,$Q315=Parametres!$G$3),I315,C315)</f>
        <v>5692.88</v>
      </c>
      <c r="O315" s="155">
        <f>+IF(OR($Q315=Parametres!$G$2,$Q315=Parametres!$G$3),J315,D315)</f>
        <v>4893.1099999999997</v>
      </c>
      <c r="P315" s="155">
        <f>+IF(OR($Q315=Parametres!$G$2,$Q315=Parametres!$G$3),K315,E315)</f>
        <v>10585.99</v>
      </c>
      <c r="Q315" s="154" t="str">
        <f t="shared" si="37"/>
        <v>7-Dépenses</v>
      </c>
      <c r="R315" s="153" t="str">
        <f t="shared" si="38"/>
        <v>6129</v>
      </c>
      <c r="S315" s="154">
        <f t="shared" si="39"/>
        <v>0</v>
      </c>
      <c r="T315" s="156" t="str">
        <f>+VLOOKUP($L315,Data_Validation!$A:$D,1,0)</f>
        <v>6229</v>
      </c>
      <c r="U315" s="156" t="str">
        <f>+VLOOKUP($L315,Data_Validation!$A:$D,3,0)</f>
        <v>Véhicules usagés</v>
      </c>
      <c r="V315" s="156" t="str">
        <f>+VLOOKUP($L315,Data_Validation!$A:$D,4,0)</f>
        <v>Salaires en absences</v>
      </c>
      <c r="W315" s="156" t="str">
        <f>+VLOOKUP($L315,Data_Validation!$A:$E,5,0)</f>
        <v>$</v>
      </c>
      <c r="X315" s="156">
        <f>+VLOOKUP($L315,Data_Validation!$A:$F,6,0)</f>
        <v>0</v>
      </c>
    </row>
    <row r="316" spans="1:24" ht="15" hidden="1" customHeight="1">
      <c r="A316" s="1013" t="s">
        <v>1252</v>
      </c>
      <c r="B316" s="1013" t="s">
        <v>2697</v>
      </c>
      <c r="C316" s="1015">
        <v>1291.4000000000001</v>
      </c>
      <c r="D316" s="1015">
        <v>643.29999999999995</v>
      </c>
      <c r="E316" s="1015">
        <v>1934.7</v>
      </c>
      <c r="F316" s="1013" t="s">
        <v>401</v>
      </c>
      <c r="G316" s="1013" t="s">
        <v>2586</v>
      </c>
      <c r="H316" s="150"/>
      <c r="I316" s="151"/>
      <c r="J316" s="151"/>
      <c r="K316" s="151"/>
      <c r="L316" s="153" t="str">
        <f t="shared" si="35"/>
        <v>6231</v>
      </c>
      <c r="M316" s="154" t="str">
        <f t="shared" si="36"/>
        <v>CSST</v>
      </c>
      <c r="N316" s="155">
        <f>+IF(OR($Q316=Parametres!$G$2,$Q316=Parametres!$G$3),I316,C316)</f>
        <v>1291.4000000000001</v>
      </c>
      <c r="O316" s="155">
        <f>+IF(OR($Q316=Parametres!$G$2,$Q316=Parametres!$G$3),J316,D316)</f>
        <v>643.29999999999995</v>
      </c>
      <c r="P316" s="155">
        <f>+IF(OR($Q316=Parametres!$G$2,$Q316=Parametres!$G$3),K316,E316)</f>
        <v>1934.7</v>
      </c>
      <c r="Q316" s="154" t="str">
        <f t="shared" si="37"/>
        <v>7-Dépenses</v>
      </c>
      <c r="R316" s="153" t="str">
        <f t="shared" si="38"/>
        <v>6131</v>
      </c>
      <c r="S316" s="154">
        <f t="shared" si="39"/>
        <v>0</v>
      </c>
      <c r="T316" s="156" t="str">
        <f>+VLOOKUP($L316,Data_Validation!$A:$D,1,0)</f>
        <v>6231</v>
      </c>
      <c r="U316" s="156" t="str">
        <f>+VLOOKUP($L316,Data_Validation!$A:$D,3,0)</f>
        <v>Véhicules usagés</v>
      </c>
      <c r="V316" s="156" t="str">
        <f>+VLOOKUP($L316,Data_Validation!$A:$D,4,0)</f>
        <v>Csst</v>
      </c>
      <c r="W316" s="156" t="str">
        <f>+VLOOKUP($L316,Data_Validation!$A:$E,5,0)</f>
        <v>$</v>
      </c>
      <c r="X316" s="156">
        <f>+VLOOKUP($L316,Data_Validation!$A:$F,6,0)</f>
        <v>0</v>
      </c>
    </row>
    <row r="317" spans="1:24" ht="15" hidden="1" customHeight="1">
      <c r="A317" s="1013" t="s">
        <v>1283</v>
      </c>
      <c r="B317" s="1013" t="s">
        <v>2717</v>
      </c>
      <c r="C317" s="1015">
        <v>5532.17</v>
      </c>
      <c r="D317" s="1015">
        <v>6076.04</v>
      </c>
      <c r="E317" s="1015">
        <v>11608.21</v>
      </c>
      <c r="F317" s="1013" t="s">
        <v>401</v>
      </c>
      <c r="G317" s="1013" t="s">
        <v>2685</v>
      </c>
      <c r="H317" s="150"/>
      <c r="I317" s="157"/>
      <c r="J317" s="157"/>
      <c r="K317" s="157"/>
      <c r="L317" s="153" t="str">
        <f t="shared" si="35"/>
        <v>6232</v>
      </c>
      <c r="M317" s="154" t="str">
        <f t="shared" si="36"/>
        <v>RRQ RAMQ AC</v>
      </c>
      <c r="N317" s="155">
        <f>+IF(OR($Q317=Parametres!$G$2,$Q317=Parametres!$G$3),I317,C317)</f>
        <v>5532.17</v>
      </c>
      <c r="O317" s="155">
        <f>+IF(OR($Q317=Parametres!$G$2,$Q317=Parametres!$G$3),J317,D317)</f>
        <v>6076.04</v>
      </c>
      <c r="P317" s="155">
        <f>+IF(OR($Q317=Parametres!$G$2,$Q317=Parametres!$G$3),K317,E317)</f>
        <v>11608.21</v>
      </c>
      <c r="Q317" s="154" t="str">
        <f t="shared" si="37"/>
        <v>7-Dépenses</v>
      </c>
      <c r="R317" s="153" t="str">
        <f t="shared" si="38"/>
        <v>6132</v>
      </c>
      <c r="S317" s="154">
        <f t="shared" si="39"/>
        <v>0</v>
      </c>
      <c r="T317" s="156" t="str">
        <f>+VLOOKUP($L317,Data_Validation!$A:$D,1,0)</f>
        <v>6232</v>
      </c>
      <c r="U317" s="156" t="str">
        <f>+VLOOKUP($L317,Data_Validation!$A:$D,3,0)</f>
        <v>Véhicules usagés</v>
      </c>
      <c r="V317" s="156" t="str">
        <f>+VLOOKUP($L317,Data_Validation!$A:$D,4,0)</f>
        <v>Déduction à la source</v>
      </c>
      <c r="W317" s="156" t="str">
        <f>+VLOOKUP($L317,Data_Validation!$A:$E,5,0)</f>
        <v>$</v>
      </c>
      <c r="X317" s="156">
        <f>+VLOOKUP($L317,Data_Validation!$A:$F,6,0)</f>
        <v>0</v>
      </c>
    </row>
    <row r="318" spans="1:24" ht="15.75" hidden="1" customHeight="1">
      <c r="A318" s="1013" t="s">
        <v>1305</v>
      </c>
      <c r="B318" s="1013" t="s">
        <v>2719</v>
      </c>
      <c r="C318" s="1015">
        <v>4319.2700000000004</v>
      </c>
      <c r="D318" s="1015">
        <v>3999.95</v>
      </c>
      <c r="E318" s="1015">
        <v>8319.2199999999993</v>
      </c>
      <c r="F318" s="1013" t="s">
        <v>401</v>
      </c>
      <c r="G318" s="1013" t="s">
        <v>2694</v>
      </c>
      <c r="H318" s="150"/>
      <c r="I318" s="151"/>
      <c r="J318" s="151"/>
      <c r="K318" s="151"/>
      <c r="L318" s="153" t="str">
        <f t="shared" si="35"/>
        <v>6239</v>
      </c>
      <c r="M318" s="154" t="str">
        <f t="shared" si="36"/>
        <v>ASSURANCE GROUPE</v>
      </c>
      <c r="N318" s="155">
        <f>+IF(OR($Q318=Parametres!$G$2,$Q318=Parametres!$G$3),I318,C318)</f>
        <v>4319.2700000000004</v>
      </c>
      <c r="O318" s="155">
        <f>+IF(OR($Q318=Parametres!$G$2,$Q318=Parametres!$G$3),J318,D318)</f>
        <v>3999.95</v>
      </c>
      <c r="P318" s="155">
        <f>+IF(OR($Q318=Parametres!$G$2,$Q318=Parametres!$G$3),K318,E318)</f>
        <v>8319.2199999999993</v>
      </c>
      <c r="Q318" s="154" t="str">
        <f t="shared" si="37"/>
        <v>7-Dépenses</v>
      </c>
      <c r="R318" s="153" t="str">
        <f t="shared" si="38"/>
        <v>6139</v>
      </c>
      <c r="S318" s="154">
        <f t="shared" si="39"/>
        <v>0</v>
      </c>
      <c r="T318" s="156" t="str">
        <f>+VLOOKUP($L318,Data_Validation!$A:$D,1,0)</f>
        <v>6239</v>
      </c>
      <c r="U318" s="156" t="str">
        <f>+VLOOKUP($L318,Data_Validation!$A:$D,3,0)</f>
        <v>Véhicules usagés</v>
      </c>
      <c r="V318" s="156" t="str">
        <f>+VLOOKUP($L318,Data_Validation!$A:$D,4,0)</f>
        <v>Bénéfices marginaux</v>
      </c>
      <c r="W318" s="156" t="str">
        <f>+VLOOKUP($L318,Data_Validation!$A:$E,5,0)</f>
        <v>$</v>
      </c>
      <c r="X318" s="156">
        <f>+VLOOKUP($L318,Data_Validation!$A:$F,6,0)</f>
        <v>0</v>
      </c>
    </row>
    <row r="319" spans="1:24" ht="15" hidden="1" customHeight="1">
      <c r="A319" s="1013" t="s">
        <v>934</v>
      </c>
      <c r="B319" s="1013" t="s">
        <v>2564</v>
      </c>
      <c r="C319" s="1015">
        <v>21.24</v>
      </c>
      <c r="D319" s="1015">
        <v>10.62</v>
      </c>
      <c r="E319" s="1015">
        <v>31.86</v>
      </c>
      <c r="F319" s="1013" t="s">
        <v>401</v>
      </c>
      <c r="G319" s="1013" t="s">
        <v>2561</v>
      </c>
      <c r="H319" s="150"/>
      <c r="I319" s="157"/>
      <c r="J319" s="157"/>
      <c r="K319" s="157"/>
      <c r="L319" s="153" t="str">
        <f t="shared" si="35"/>
        <v>6244</v>
      </c>
      <c r="M319" s="154" t="str">
        <f t="shared" si="36"/>
        <v>FORMATION</v>
      </c>
      <c r="N319" s="155">
        <f>+IF(OR($Q319=Parametres!$G$2,$Q319=Parametres!$G$3),I319,C319)</f>
        <v>21.24</v>
      </c>
      <c r="O319" s="155">
        <f>+IF(OR($Q319=Parametres!$G$2,$Q319=Parametres!$G$3),J319,D319)</f>
        <v>10.62</v>
      </c>
      <c r="P319" s="155">
        <f>+IF(OR($Q319=Parametres!$G$2,$Q319=Parametres!$G$3),K319,E319)</f>
        <v>31.86</v>
      </c>
      <c r="Q319" s="154" t="str">
        <f t="shared" si="37"/>
        <v>7-Dépenses</v>
      </c>
      <c r="R319" s="153" t="str">
        <f t="shared" si="38"/>
        <v>6144</v>
      </c>
      <c r="S319" s="154">
        <f t="shared" si="39"/>
        <v>0</v>
      </c>
      <c r="T319" s="156" t="str">
        <f>+VLOOKUP($L319,Data_Validation!$A:$D,1,0)</f>
        <v>6244</v>
      </c>
      <c r="U319" s="156" t="str">
        <f>+VLOOKUP($L319,Data_Validation!$A:$D,3,0)</f>
        <v>Véhicules usagés</v>
      </c>
      <c r="V319" s="156" t="str">
        <f>+VLOOKUP($L319,Data_Validation!$A:$D,4,0)</f>
        <v>Formation</v>
      </c>
      <c r="W319" s="156" t="str">
        <f>+VLOOKUP($L319,Data_Validation!$A:$E,5,0)</f>
        <v>$</v>
      </c>
      <c r="X319" s="156">
        <f>+VLOOKUP($L319,Data_Validation!$A:$F,6,0)</f>
        <v>0</v>
      </c>
    </row>
    <row r="320" spans="1:24" ht="15" hidden="1" customHeight="1">
      <c r="A320" s="1013" t="s">
        <v>1186</v>
      </c>
      <c r="B320" s="1013" t="s">
        <v>2649</v>
      </c>
      <c r="C320" s="1015">
        <v>-640.58000000000004</v>
      </c>
      <c r="D320" s="1015">
        <v>-492.65</v>
      </c>
      <c r="E320" s="1015">
        <v>-1133.23</v>
      </c>
      <c r="F320" s="1013" t="s">
        <v>401</v>
      </c>
      <c r="G320" s="1013" t="s">
        <v>2632</v>
      </c>
      <c r="H320" s="150"/>
      <c r="I320" s="151"/>
      <c r="J320" s="151"/>
      <c r="K320" s="151"/>
      <c r="L320" s="153" t="str">
        <f t="shared" si="35"/>
        <v>6245</v>
      </c>
      <c r="M320" s="154" t="str">
        <f t="shared" si="36"/>
        <v>VEHICULE DE COMPAGNIE - DEPENS</v>
      </c>
      <c r="N320" s="155">
        <f>+IF(OR($Q320=Parametres!$G$2,$Q320=Parametres!$G$3),I320,C320)</f>
        <v>-640.58000000000004</v>
      </c>
      <c r="O320" s="155">
        <f>+IF(OR($Q320=Parametres!$G$2,$Q320=Parametres!$G$3),J320,D320)</f>
        <v>-492.65</v>
      </c>
      <c r="P320" s="155">
        <f>+IF(OR($Q320=Parametres!$G$2,$Q320=Parametres!$G$3),K320,E320)</f>
        <v>-1133.23</v>
      </c>
      <c r="Q320" s="154" t="str">
        <f t="shared" si="37"/>
        <v>7-Dépenses</v>
      </c>
      <c r="R320" s="153" t="str">
        <f t="shared" si="38"/>
        <v>6145</v>
      </c>
      <c r="S320" s="154">
        <f t="shared" si="39"/>
        <v>0</v>
      </c>
      <c r="T320" s="156" t="str">
        <f>+VLOOKUP($L320,Data_Validation!$A:$D,1,0)</f>
        <v>6245</v>
      </c>
      <c r="U320" s="156" t="str">
        <f>+VLOOKUP($L320,Data_Validation!$A:$D,3,0)</f>
        <v>Véhicules usagés</v>
      </c>
      <c r="V320" s="156" t="str">
        <f>+VLOOKUP($L320,Data_Validation!$A:$D,4,0)</f>
        <v>Frais véhicules de cie</v>
      </c>
      <c r="W320" s="156" t="str">
        <f>+VLOOKUP($L320,Data_Validation!$A:$E,5,0)</f>
        <v>$</v>
      </c>
      <c r="X320" s="156">
        <f>+VLOOKUP($L320,Data_Validation!$A:$F,6,0)</f>
        <v>0</v>
      </c>
    </row>
    <row r="321" spans="1:24" ht="15" hidden="1" customHeight="1">
      <c r="A321" s="1013" t="s">
        <v>1180</v>
      </c>
      <c r="B321" s="1013" t="s">
        <v>2584</v>
      </c>
      <c r="C321" s="1015">
        <v>91.72</v>
      </c>
      <c r="D321" s="1015">
        <v>66.33</v>
      </c>
      <c r="E321" s="1015">
        <v>158.05000000000001</v>
      </c>
      <c r="F321" s="1013" t="s">
        <v>401</v>
      </c>
      <c r="G321" s="1013" t="s">
        <v>2581</v>
      </c>
      <c r="H321" s="150"/>
      <c r="I321" s="152"/>
      <c r="J321" s="152"/>
      <c r="K321" s="152"/>
      <c r="L321" s="153" t="str">
        <f t="shared" si="35"/>
        <v>6247</v>
      </c>
      <c r="M321" s="154" t="str">
        <f t="shared" si="36"/>
        <v>FRET/EXPRESS/TRANS. PAR CAMION</v>
      </c>
      <c r="N321" s="155">
        <f>+IF(OR($Q321=Parametres!$G$2,$Q321=Parametres!$G$3),I321,C321)</f>
        <v>91.72</v>
      </c>
      <c r="O321" s="155">
        <f>+IF(OR($Q321=Parametres!$G$2,$Q321=Parametres!$G$3),J321,D321)</f>
        <v>66.33</v>
      </c>
      <c r="P321" s="155">
        <f>+IF(OR($Q321=Parametres!$G$2,$Q321=Parametres!$G$3),K321,E321)</f>
        <v>158.05000000000001</v>
      </c>
      <c r="Q321" s="154" t="str">
        <f t="shared" si="37"/>
        <v>7-Dépenses</v>
      </c>
      <c r="R321" s="153" t="str">
        <f t="shared" si="38"/>
        <v>6147</v>
      </c>
      <c r="S321" s="154">
        <f t="shared" si="39"/>
        <v>0</v>
      </c>
      <c r="T321" s="156" t="str">
        <f>+VLOOKUP($L321,Data_Validation!$A:$D,1,0)</f>
        <v>6247</v>
      </c>
      <c r="U321" s="156" t="str">
        <f>+VLOOKUP($L321,Data_Validation!$A:$D,3,0)</f>
        <v>Véhicules usagés</v>
      </c>
      <c r="V321" s="156" t="str">
        <f>+VLOOKUP($L321,Data_Validation!$A:$D,4,0)</f>
        <v>Frais postaux</v>
      </c>
      <c r="W321" s="156" t="str">
        <f>+VLOOKUP($L321,Data_Validation!$A:$E,5,0)</f>
        <v>$</v>
      </c>
      <c r="X321" s="156">
        <f>+VLOOKUP($L321,Data_Validation!$A:$F,6,0)</f>
        <v>0</v>
      </c>
    </row>
    <row r="322" spans="1:24" ht="15.75" hidden="1" customHeight="1">
      <c r="A322" s="1013" t="s">
        <v>1286</v>
      </c>
      <c r="B322" s="1013" t="s">
        <v>2723</v>
      </c>
      <c r="C322" s="1015">
        <v>4334.3500000000004</v>
      </c>
      <c r="D322" s="1015">
        <v>1758.75</v>
      </c>
      <c r="E322" s="1015">
        <v>6093.1</v>
      </c>
      <c r="F322" s="1013" t="s">
        <v>401</v>
      </c>
      <c r="G322" s="1013" t="s">
        <v>2702</v>
      </c>
      <c r="H322" s="150"/>
      <c r="I322" s="157"/>
      <c r="J322" s="157"/>
      <c r="K322" s="157"/>
      <c r="L322" s="153" t="str">
        <f t="shared" ref="L322:L385" si="40">+B322</f>
        <v>6251</v>
      </c>
      <c r="M322" s="154" t="str">
        <f t="shared" ref="M322:M385" si="41">+A322</f>
        <v>DEP. DU TRAITEMENT DES DONNEES</v>
      </c>
      <c r="N322" s="155">
        <f>+IF(OR($Q322=Parametres!$G$2,$Q322=Parametres!$G$3),I322,C322)</f>
        <v>4334.3500000000004</v>
      </c>
      <c r="O322" s="155">
        <f>+IF(OR($Q322=Parametres!$G$2,$Q322=Parametres!$G$3),J322,D322)</f>
        <v>1758.75</v>
      </c>
      <c r="P322" s="155">
        <f>+IF(OR($Q322=Parametres!$G$2,$Q322=Parametres!$G$3),K322,E322)</f>
        <v>6093.1</v>
      </c>
      <c r="Q322" s="154" t="str">
        <f t="shared" ref="Q322:Q385" si="42">+F322</f>
        <v>7-Dépenses</v>
      </c>
      <c r="R322" s="153" t="str">
        <f t="shared" ref="R322:R385" si="43">+G322</f>
        <v>6151</v>
      </c>
      <c r="S322" s="154">
        <f t="shared" ref="S322:S385" si="44">+H322</f>
        <v>0</v>
      </c>
      <c r="T322" s="156" t="str">
        <f>+VLOOKUP($L322,Data_Validation!$A:$D,1,0)</f>
        <v>6251</v>
      </c>
      <c r="U322" s="156" t="str">
        <f>+VLOOKUP($L322,Data_Validation!$A:$D,3,0)</f>
        <v>Véhicules usagés</v>
      </c>
      <c r="V322" s="156" t="str">
        <f>+VLOOKUP($L322,Data_Validation!$A:$D,4,0)</f>
        <v>Informatique</v>
      </c>
      <c r="W322" s="156" t="str">
        <f>+VLOOKUP($L322,Data_Validation!$A:$E,5,0)</f>
        <v>$</v>
      </c>
      <c r="X322" s="156">
        <f>+VLOOKUP($L322,Data_Validation!$A:$F,6,0)</f>
        <v>0</v>
      </c>
    </row>
    <row r="323" spans="1:24" ht="15" hidden="1" customHeight="1">
      <c r="A323" s="1013" t="s">
        <v>1206</v>
      </c>
      <c r="B323" s="1013" t="s">
        <v>2602</v>
      </c>
      <c r="C323" s="1015">
        <v>283.93</v>
      </c>
      <c r="D323" s="1015">
        <v>144.71</v>
      </c>
      <c r="E323" s="1015">
        <v>428.64</v>
      </c>
      <c r="F323" s="1013" t="s">
        <v>401</v>
      </c>
      <c r="G323" s="1013" t="s">
        <v>2588</v>
      </c>
      <c r="H323" s="150"/>
      <c r="I323" s="151"/>
      <c r="J323" s="151"/>
      <c r="K323" s="151"/>
      <c r="L323" s="153" t="str">
        <f t="shared" si="40"/>
        <v>6252</v>
      </c>
      <c r="M323" s="154" t="str">
        <f t="shared" si="41"/>
        <v>PAPETERIE</v>
      </c>
      <c r="N323" s="155">
        <f>+IF(OR($Q323=Parametres!$G$2,$Q323=Parametres!$G$3),I323,C323)</f>
        <v>283.93</v>
      </c>
      <c r="O323" s="155">
        <f>+IF(OR($Q323=Parametres!$G$2,$Q323=Parametres!$G$3),J323,D323)</f>
        <v>144.71</v>
      </c>
      <c r="P323" s="155">
        <f>+IF(OR($Q323=Parametres!$G$2,$Q323=Parametres!$G$3),K323,E323)</f>
        <v>428.64</v>
      </c>
      <c r="Q323" s="154" t="str">
        <f t="shared" si="42"/>
        <v>7-Dépenses</v>
      </c>
      <c r="R323" s="153" t="str">
        <f t="shared" si="43"/>
        <v>6152</v>
      </c>
      <c r="S323" s="154">
        <f t="shared" si="44"/>
        <v>0</v>
      </c>
      <c r="T323" s="156" t="str">
        <f>+VLOOKUP($L323,Data_Validation!$A:$D,1,0)</f>
        <v>6252</v>
      </c>
      <c r="U323" s="156" t="str">
        <f>+VLOOKUP($L323,Data_Validation!$A:$D,3,0)</f>
        <v>Véhicules usagés</v>
      </c>
      <c r="V323" s="156" t="str">
        <f>+VLOOKUP($L323,Data_Validation!$A:$D,4,0)</f>
        <v>Papeterie</v>
      </c>
      <c r="W323" s="156" t="str">
        <f>+VLOOKUP($L323,Data_Validation!$A:$E,5,0)</f>
        <v>$</v>
      </c>
      <c r="X323" s="156">
        <f>+VLOOKUP($L323,Data_Validation!$A:$F,6,0)</f>
        <v>0</v>
      </c>
    </row>
    <row r="324" spans="1:24" ht="15" hidden="1" customHeight="1">
      <c r="A324" s="1013" t="s">
        <v>1154</v>
      </c>
      <c r="B324" s="1013" t="s">
        <v>2595</v>
      </c>
      <c r="C324" s="1015">
        <v>248.74</v>
      </c>
      <c r="D324" s="1015">
        <v>89.27</v>
      </c>
      <c r="E324" s="1015">
        <v>338.01</v>
      </c>
      <c r="F324" s="1013" t="s">
        <v>401</v>
      </c>
      <c r="G324" s="1013" t="s">
        <v>2592</v>
      </c>
      <c r="H324" s="150"/>
      <c r="I324" s="157"/>
      <c r="J324" s="157"/>
      <c r="K324" s="157"/>
      <c r="L324" s="153" t="str">
        <f t="shared" si="40"/>
        <v>6253</v>
      </c>
      <c r="M324" s="154" t="str">
        <f t="shared" si="41"/>
        <v>TELEPHONE ET TELEX</v>
      </c>
      <c r="N324" s="155">
        <f>+IF(OR($Q324=Parametres!$G$2,$Q324=Parametres!$G$3),I324,C324)</f>
        <v>248.74</v>
      </c>
      <c r="O324" s="155">
        <f>+IF(OR($Q324=Parametres!$G$2,$Q324=Parametres!$G$3),J324,D324)</f>
        <v>89.27</v>
      </c>
      <c r="P324" s="155">
        <f>+IF(OR($Q324=Parametres!$G$2,$Q324=Parametres!$G$3),K324,E324)</f>
        <v>338.01</v>
      </c>
      <c r="Q324" s="154" t="str">
        <f t="shared" si="42"/>
        <v>7-Dépenses</v>
      </c>
      <c r="R324" s="153" t="str">
        <f t="shared" si="43"/>
        <v>6153</v>
      </c>
      <c r="S324" s="154">
        <f t="shared" si="44"/>
        <v>0</v>
      </c>
      <c r="T324" s="156" t="str">
        <f>+VLOOKUP($L324,Data_Validation!$A:$D,1,0)</f>
        <v>6253</v>
      </c>
      <c r="U324" s="156" t="str">
        <f>+VLOOKUP($L324,Data_Validation!$A:$D,3,0)</f>
        <v>Véhicules usagés</v>
      </c>
      <c r="V324" s="156" t="str">
        <f>+VLOOKUP($L324,Data_Validation!$A:$D,4,0)</f>
        <v>Téléphone</v>
      </c>
      <c r="W324" s="156" t="str">
        <f>+VLOOKUP($L324,Data_Validation!$A:$E,5,0)</f>
        <v>$</v>
      </c>
      <c r="X324" s="156">
        <f>+VLOOKUP($L324,Data_Validation!$A:$F,6,0)</f>
        <v>0</v>
      </c>
    </row>
    <row r="325" spans="1:24" ht="15" hidden="1" customHeight="1">
      <c r="A325" s="1013" t="s">
        <v>1237</v>
      </c>
      <c r="B325" s="1013" t="s">
        <v>2666</v>
      </c>
      <c r="C325" s="1015">
        <v>239.41</v>
      </c>
      <c r="D325" s="1015">
        <v>714.45</v>
      </c>
      <c r="E325" s="1015">
        <v>953.86</v>
      </c>
      <c r="F325" s="1013" t="s">
        <v>401</v>
      </c>
      <c r="G325" s="1013" t="s">
        <v>2637</v>
      </c>
      <c r="H325" s="150"/>
      <c r="I325" s="152"/>
      <c r="J325" s="152"/>
      <c r="K325" s="152"/>
      <c r="L325" s="153" t="str">
        <f t="shared" si="40"/>
        <v>6255</v>
      </c>
      <c r="M325" s="154" t="str">
        <f t="shared" si="41"/>
        <v>DEPENSES DIVERS</v>
      </c>
      <c r="N325" s="155">
        <f>+IF(OR($Q325=Parametres!$G$2,$Q325=Parametres!$G$3),I325,C325)</f>
        <v>239.41</v>
      </c>
      <c r="O325" s="155">
        <f>+IF(OR($Q325=Parametres!$G$2,$Q325=Parametres!$G$3),J325,D325)</f>
        <v>714.45</v>
      </c>
      <c r="P325" s="155">
        <f>+IF(OR($Q325=Parametres!$G$2,$Q325=Parametres!$G$3),K325,E325)</f>
        <v>953.86</v>
      </c>
      <c r="Q325" s="154" t="str">
        <f t="shared" si="42"/>
        <v>7-Dépenses</v>
      </c>
      <c r="R325" s="153" t="str">
        <f t="shared" si="43"/>
        <v>6155</v>
      </c>
      <c r="S325" s="154">
        <f t="shared" si="44"/>
        <v>0</v>
      </c>
      <c r="T325" s="156" t="str">
        <f>+VLOOKUP($L325,Data_Validation!$A:$D,1,0)</f>
        <v>6255</v>
      </c>
      <c r="U325" s="156" t="str">
        <f>+VLOOKUP($L325,Data_Validation!$A:$D,3,0)</f>
        <v>Véhicules usagés</v>
      </c>
      <c r="V325" s="156" t="str">
        <f>+VLOOKUP($L325,Data_Validation!$A:$D,4,0)</f>
        <v>Divers</v>
      </c>
      <c r="W325" s="156" t="str">
        <f>+VLOOKUP($L325,Data_Validation!$A:$E,5,0)</f>
        <v>$</v>
      </c>
      <c r="X325" s="156">
        <f>+VLOOKUP($L325,Data_Validation!$A:$F,6,0)</f>
        <v>0</v>
      </c>
    </row>
    <row r="326" spans="1:24" ht="15" hidden="1" customHeight="1">
      <c r="A326" s="1013" t="s">
        <v>1247</v>
      </c>
      <c r="B326" s="1013" t="s">
        <v>2676</v>
      </c>
      <c r="C326" s="1015">
        <v>50.53</v>
      </c>
      <c r="D326" s="1015">
        <v>220.28</v>
      </c>
      <c r="E326" s="1015">
        <v>270.81</v>
      </c>
      <c r="F326" s="1013" t="s">
        <v>401</v>
      </c>
      <c r="G326" s="1013" t="s">
        <v>2470</v>
      </c>
      <c r="H326" s="949"/>
      <c r="I326" s="948"/>
      <c r="J326" s="948"/>
      <c r="K326" s="948"/>
      <c r="L326" s="153" t="str">
        <f t="shared" si="40"/>
        <v>6256</v>
      </c>
      <c r="M326" s="154" t="str">
        <f t="shared" si="41"/>
        <v>FRAIS REPRESENTATION - USAGE</v>
      </c>
      <c r="N326" s="155">
        <f>+IF(OR($Q326=Parametres!$G$2,$Q326=Parametres!$G$3),I326,C326)</f>
        <v>50.53</v>
      </c>
      <c r="O326" s="155">
        <f>+IF(OR($Q326=Parametres!$G$2,$Q326=Parametres!$G$3),J326,D326)</f>
        <v>220.28</v>
      </c>
      <c r="P326" s="155">
        <f>+IF(OR($Q326=Parametres!$G$2,$Q326=Parametres!$G$3),K326,E326)</f>
        <v>270.81</v>
      </c>
      <c r="Q326" s="154" t="str">
        <f t="shared" si="42"/>
        <v>7-Dépenses</v>
      </c>
      <c r="R326" s="153" t="str">
        <f t="shared" si="43"/>
        <v>6156</v>
      </c>
      <c r="S326" s="154">
        <f t="shared" si="44"/>
        <v>0</v>
      </c>
      <c r="T326" s="156" t="str">
        <f>+VLOOKUP($L326,Data_Validation!$A:$D,1,0)</f>
        <v>6256</v>
      </c>
      <c r="U326" s="156" t="str">
        <f>+VLOOKUP($L326,Data_Validation!$A:$D,3,0)</f>
        <v>Véhicules usagés</v>
      </c>
      <c r="V326" s="156" t="str">
        <f>+VLOOKUP($L326,Data_Validation!$A:$D,4,0)</f>
        <v>Frais de déplacement</v>
      </c>
      <c r="W326" s="156" t="str">
        <f>+VLOOKUP($L326,Data_Validation!$A:$E,5,0)</f>
        <v>$</v>
      </c>
      <c r="X326" s="156">
        <f>+VLOOKUP($L326,Data_Validation!$A:$F,6,0)</f>
        <v>0</v>
      </c>
    </row>
    <row r="327" spans="1:24" ht="15.75" hidden="1" customHeight="1">
      <c r="A327" s="1013" t="s">
        <v>1308</v>
      </c>
      <c r="B327" s="1013" t="s">
        <v>2698</v>
      </c>
      <c r="C327" s="1015">
        <v>1678.92</v>
      </c>
      <c r="D327" s="1015">
        <v>852.16</v>
      </c>
      <c r="E327" s="1015">
        <v>2531.08</v>
      </c>
      <c r="F327" s="1013" t="s">
        <v>401</v>
      </c>
      <c r="G327" s="1013" t="s">
        <v>2662</v>
      </c>
      <c r="H327" s="150"/>
      <c r="I327" s="157"/>
      <c r="J327" s="157"/>
      <c r="K327" s="157"/>
      <c r="L327" s="153" t="str">
        <f t="shared" si="40"/>
        <v>6259</v>
      </c>
      <c r="M327" s="154" t="str">
        <f t="shared" si="41"/>
        <v>SERVICE EXTERIEUR</v>
      </c>
      <c r="N327" s="155">
        <f>+IF(OR($Q327=Parametres!$G$2,$Q327=Parametres!$G$3),I327,C327)</f>
        <v>1678.92</v>
      </c>
      <c r="O327" s="155">
        <f>+IF(OR($Q327=Parametres!$G$2,$Q327=Parametres!$G$3),J327,D327)</f>
        <v>852.16</v>
      </c>
      <c r="P327" s="155">
        <f>+IF(OR($Q327=Parametres!$G$2,$Q327=Parametres!$G$3),K327,E327)</f>
        <v>2531.08</v>
      </c>
      <c r="Q327" s="154" t="str">
        <f t="shared" si="42"/>
        <v>7-Dépenses</v>
      </c>
      <c r="R327" s="153" t="str">
        <f t="shared" si="43"/>
        <v>6159</v>
      </c>
      <c r="S327" s="154">
        <f t="shared" si="44"/>
        <v>0</v>
      </c>
      <c r="T327" s="156" t="str">
        <f>+VLOOKUP($L327,Data_Validation!$A:$D,1,0)</f>
        <v>6259</v>
      </c>
      <c r="U327" s="156" t="str">
        <f>+VLOOKUP($L327,Data_Validation!$A:$D,3,0)</f>
        <v>Véhicules usagés</v>
      </c>
      <c r="V327" s="156" t="str">
        <f>+VLOOKUP($L327,Data_Validation!$A:$D,4,0)</f>
        <v>Services extérieurs</v>
      </c>
      <c r="W327" s="156" t="str">
        <f>+VLOOKUP($L327,Data_Validation!$A:$E,5,0)</f>
        <v>$</v>
      </c>
      <c r="X327" s="156">
        <f>+VLOOKUP($L327,Data_Validation!$A:$F,6,0)</f>
        <v>0</v>
      </c>
    </row>
    <row r="328" spans="1:24" ht="15" hidden="1" customHeight="1">
      <c r="A328" s="1013" t="s">
        <v>1333</v>
      </c>
      <c r="B328" s="1013" t="s">
        <v>2680</v>
      </c>
      <c r="C328" s="1015">
        <v>2200.08</v>
      </c>
      <c r="D328" s="1015">
        <v>1100.04</v>
      </c>
      <c r="E328" s="1015">
        <v>3300.12</v>
      </c>
      <c r="F328" s="1013" t="s">
        <v>401</v>
      </c>
      <c r="G328" s="1013" t="s">
        <v>2653</v>
      </c>
      <c r="H328" s="150"/>
      <c r="I328" s="151"/>
      <c r="J328" s="151"/>
      <c r="K328" s="151"/>
      <c r="L328" s="153" t="str">
        <f t="shared" si="40"/>
        <v>6261</v>
      </c>
      <c r="M328" s="154" t="str">
        <f t="shared" si="41"/>
        <v>DEPRECIATION EQUIP. &amp; FIXTURES</v>
      </c>
      <c r="N328" s="155">
        <f>+IF(OR($Q328=Parametres!$G$2,$Q328=Parametres!$G$3),I328,C328)</f>
        <v>2200.08</v>
      </c>
      <c r="O328" s="155">
        <f>+IF(OR($Q328=Parametres!$G$2,$Q328=Parametres!$G$3),J328,D328)</f>
        <v>1100.04</v>
      </c>
      <c r="P328" s="155">
        <f>+IF(OR($Q328=Parametres!$G$2,$Q328=Parametres!$G$3),K328,E328)</f>
        <v>3300.12</v>
      </c>
      <c r="Q328" s="154" t="str">
        <f t="shared" si="42"/>
        <v>7-Dépenses</v>
      </c>
      <c r="R328" s="153" t="str">
        <f t="shared" si="43"/>
        <v>6161</v>
      </c>
      <c r="S328" s="154">
        <f t="shared" si="44"/>
        <v>0</v>
      </c>
      <c r="T328" s="156" t="str">
        <f>+VLOOKUP($L328,Data_Validation!$A:$D,1,0)</f>
        <v>6261</v>
      </c>
      <c r="U328" s="156" t="str">
        <f>+VLOOKUP($L328,Data_Validation!$A:$D,3,0)</f>
        <v>Véhicules usagés</v>
      </c>
      <c r="V328" s="156" t="str">
        <f>+VLOOKUP($L328,Data_Validation!$A:$D,4,0)</f>
        <v>Amortissement</v>
      </c>
      <c r="W328" s="156" t="str">
        <f>+VLOOKUP($L328,Data_Validation!$A:$E,5,0)</f>
        <v>$</v>
      </c>
      <c r="X328" s="156">
        <f>+VLOOKUP($L328,Data_Validation!$A:$F,6,0)</f>
        <v>0</v>
      </c>
    </row>
    <row r="329" spans="1:24" ht="15" hidden="1" customHeight="1">
      <c r="A329" s="1013" t="s">
        <v>1380</v>
      </c>
      <c r="B329" s="1013" t="s">
        <v>2633</v>
      </c>
      <c r="C329" s="1015">
        <v>658.63</v>
      </c>
      <c r="D329" s="1015">
        <v>457.18</v>
      </c>
      <c r="E329" s="1015">
        <v>1115.81</v>
      </c>
      <c r="F329" s="1013" t="s">
        <v>401</v>
      </c>
      <c r="G329" s="1013" t="s">
        <v>2604</v>
      </c>
      <c r="H329" s="150"/>
      <c r="I329" s="151"/>
      <c r="J329" s="151"/>
      <c r="K329" s="151"/>
      <c r="L329" s="153" t="str">
        <f t="shared" si="40"/>
        <v>6281</v>
      </c>
      <c r="M329" s="154" t="str">
        <f t="shared" si="41"/>
        <v>CHAUFFAGE,ELECTRICITE,EAU-USAGE</v>
      </c>
      <c r="N329" s="155">
        <f>+IF(OR($Q329=Parametres!$G$2,$Q329=Parametres!$G$3),I329,C329)</f>
        <v>658.63</v>
      </c>
      <c r="O329" s="155">
        <f>+IF(OR($Q329=Parametres!$G$2,$Q329=Parametres!$G$3),J329,D329)</f>
        <v>457.18</v>
      </c>
      <c r="P329" s="155">
        <f>+IF(OR($Q329=Parametres!$G$2,$Q329=Parametres!$G$3),K329,E329)</f>
        <v>1115.81</v>
      </c>
      <c r="Q329" s="154" t="str">
        <f t="shared" si="42"/>
        <v>7-Dépenses</v>
      </c>
      <c r="R329" s="153" t="str">
        <f t="shared" si="43"/>
        <v>6181</v>
      </c>
      <c r="S329" s="154">
        <f t="shared" si="44"/>
        <v>0</v>
      </c>
      <c r="T329" s="156" t="str">
        <f>+VLOOKUP($L329,Data_Validation!$A:$D,1,0)</f>
        <v>6281</v>
      </c>
      <c r="U329" s="156" t="str">
        <f>+VLOOKUP($L329,Data_Validation!$A:$D,3,0)</f>
        <v>Véhicules usagés</v>
      </c>
      <c r="V329" s="156" t="str">
        <f>+VLOOKUP($L329,Data_Validation!$A:$D,4,0)</f>
        <v>Chauffage, éclairage</v>
      </c>
      <c r="W329" s="156" t="str">
        <f>+VLOOKUP($L329,Data_Validation!$A:$E,5,0)</f>
        <v>$</v>
      </c>
      <c r="X329" s="156">
        <f>+VLOOKUP($L329,Data_Validation!$A:$F,6,0)</f>
        <v>0</v>
      </c>
    </row>
    <row r="330" spans="1:24" ht="15" hidden="1" customHeight="1">
      <c r="A330" s="1013" t="s">
        <v>1462</v>
      </c>
      <c r="B330" s="1013" t="s">
        <v>2724</v>
      </c>
      <c r="C330" s="1015">
        <v>6240</v>
      </c>
      <c r="D330" s="1015">
        <v>3120</v>
      </c>
      <c r="E330" s="1015">
        <v>9360</v>
      </c>
      <c r="F330" s="1013" t="s">
        <v>401</v>
      </c>
      <c r="G330" s="1013" t="s">
        <v>2709</v>
      </c>
      <c r="H330" s="150"/>
      <c r="I330" s="157"/>
      <c r="J330" s="157"/>
      <c r="K330" s="157"/>
      <c r="L330" s="153" t="str">
        <f t="shared" si="40"/>
        <v>6282</v>
      </c>
      <c r="M330" s="154" t="str">
        <f t="shared" si="41"/>
        <v>LOYER - USAGE</v>
      </c>
      <c r="N330" s="155">
        <f>+IF(OR($Q330=Parametres!$G$2,$Q330=Parametres!$G$3),I330,C330)</f>
        <v>6240</v>
      </c>
      <c r="O330" s="155">
        <f>+IF(OR($Q330=Parametres!$G$2,$Q330=Parametres!$G$3),J330,D330)</f>
        <v>3120</v>
      </c>
      <c r="P330" s="155">
        <f>+IF(OR($Q330=Parametres!$G$2,$Q330=Parametres!$G$3),K330,E330)</f>
        <v>9360</v>
      </c>
      <c r="Q330" s="154" t="str">
        <f t="shared" si="42"/>
        <v>7-Dépenses</v>
      </c>
      <c r="R330" s="153" t="str">
        <f t="shared" si="43"/>
        <v>6182</v>
      </c>
      <c r="S330" s="154">
        <f t="shared" si="44"/>
        <v>0</v>
      </c>
      <c r="T330" s="156" t="str">
        <f>+VLOOKUP($L330,Data_Validation!$A:$D,1,0)</f>
        <v>6282</v>
      </c>
      <c r="U330" s="156" t="str">
        <f>+VLOOKUP($L330,Data_Validation!$A:$D,3,0)</f>
        <v>Véhicules usagés</v>
      </c>
      <c r="V330" s="156" t="str">
        <f>+VLOOKUP($L330,Data_Validation!$A:$D,4,0)</f>
        <v>Loyer</v>
      </c>
      <c r="W330" s="156" t="str">
        <f>+VLOOKUP($L330,Data_Validation!$A:$E,5,0)</f>
        <v>$</v>
      </c>
      <c r="X330" s="156">
        <f>+VLOOKUP($L330,Data_Validation!$A:$F,6,0)</f>
        <v>0</v>
      </c>
    </row>
    <row r="331" spans="1:24" ht="15" hidden="1" customHeight="1">
      <c r="A331" s="1013" t="s">
        <v>1290</v>
      </c>
      <c r="B331" s="1013" t="s">
        <v>2615</v>
      </c>
      <c r="C331" s="1015">
        <v>889.94</v>
      </c>
      <c r="D331" s="1015">
        <v>444.97</v>
      </c>
      <c r="E331" s="1015">
        <v>1334.91</v>
      </c>
      <c r="F331" s="1013" t="s">
        <v>401</v>
      </c>
      <c r="G331" s="1013" t="s">
        <v>2594</v>
      </c>
      <c r="H331" s="150"/>
      <c r="I331" s="157"/>
      <c r="J331" s="157"/>
      <c r="K331" s="157"/>
      <c r="L331" s="153" t="str">
        <f t="shared" si="40"/>
        <v>6286</v>
      </c>
      <c r="M331" s="154" t="str">
        <f t="shared" si="41"/>
        <v>ASSURANCE BATISSE &amp; AMEL.-USAGE</v>
      </c>
      <c r="N331" s="155">
        <f>+IF(OR($Q331=Parametres!$G$2,$Q331=Parametres!$G$3),I331,C331)</f>
        <v>889.94</v>
      </c>
      <c r="O331" s="155">
        <f>+IF(OR($Q331=Parametres!$G$2,$Q331=Parametres!$G$3),J331,D331)</f>
        <v>444.97</v>
      </c>
      <c r="P331" s="155">
        <f>+IF(OR($Q331=Parametres!$G$2,$Q331=Parametres!$G$3),K331,E331)</f>
        <v>1334.91</v>
      </c>
      <c r="Q331" s="154" t="str">
        <f t="shared" si="42"/>
        <v>7-Dépenses</v>
      </c>
      <c r="R331" s="153" t="str">
        <f t="shared" si="43"/>
        <v>6186</v>
      </c>
      <c r="S331" s="154">
        <f t="shared" si="44"/>
        <v>0</v>
      </c>
      <c r="T331" s="156" t="str">
        <f>+VLOOKUP($L331,Data_Validation!$A:$D,1,0)</f>
        <v>6286</v>
      </c>
      <c r="U331" s="156" t="str">
        <f>+VLOOKUP($L331,Data_Validation!$A:$D,3,0)</f>
        <v>Véhicules usagés</v>
      </c>
      <c r="V331" s="156" t="str">
        <f>+VLOOKUP($L331,Data_Validation!$A:$D,4,0)</f>
        <v>Assurances</v>
      </c>
      <c r="W331" s="156" t="str">
        <f>+VLOOKUP($L331,Data_Validation!$A:$E,5,0)</f>
        <v>$</v>
      </c>
      <c r="X331" s="156">
        <f>+VLOOKUP($L331,Data_Validation!$A:$F,6,0)</f>
        <v>0</v>
      </c>
    </row>
    <row r="332" spans="1:24" ht="15" hidden="1" customHeight="1">
      <c r="A332" s="1013" t="s">
        <v>1203</v>
      </c>
      <c r="B332" s="1013" t="s">
        <v>2651</v>
      </c>
      <c r="C332" s="1015">
        <v>1154.4000000000001</v>
      </c>
      <c r="D332" s="1015">
        <v>577.20000000000005</v>
      </c>
      <c r="E332" s="1015">
        <v>1731.6</v>
      </c>
      <c r="F332" s="1013" t="s">
        <v>401</v>
      </c>
      <c r="G332" s="1013" t="s">
        <v>2614</v>
      </c>
      <c r="H332" s="949"/>
      <c r="I332" s="948"/>
      <c r="J332" s="948"/>
      <c r="K332" s="948"/>
      <c r="L332" s="153" t="str">
        <f t="shared" si="40"/>
        <v>6287</v>
      </c>
      <c r="M332" s="154" t="str">
        <f t="shared" si="41"/>
        <v>TAXES FONCIERES - USAGE</v>
      </c>
      <c r="N332" s="155">
        <f>+IF(OR($Q332=Parametres!$G$2,$Q332=Parametres!$G$3),I332,C332)</f>
        <v>1154.4000000000001</v>
      </c>
      <c r="O332" s="155">
        <f>+IF(OR($Q332=Parametres!$G$2,$Q332=Parametres!$G$3),J332,D332)</f>
        <v>577.20000000000005</v>
      </c>
      <c r="P332" s="155">
        <f>+IF(OR($Q332=Parametres!$G$2,$Q332=Parametres!$G$3),K332,E332)</f>
        <v>1731.6</v>
      </c>
      <c r="Q332" s="154" t="str">
        <f t="shared" si="42"/>
        <v>7-Dépenses</v>
      </c>
      <c r="R332" s="153" t="str">
        <f t="shared" si="43"/>
        <v>6187</v>
      </c>
      <c r="S332" s="154">
        <f t="shared" si="44"/>
        <v>0</v>
      </c>
      <c r="T332" s="156" t="str">
        <f>+VLOOKUP($L332,Data_Validation!$A:$D,1,0)</f>
        <v>6287</v>
      </c>
      <c r="U332" s="156" t="str">
        <f>+VLOOKUP($L332,Data_Validation!$A:$D,3,0)</f>
        <v>Véhicules usagés</v>
      </c>
      <c r="V332" s="156" t="str">
        <f>+VLOOKUP($L332,Data_Validation!$A:$D,4,0)</f>
        <v>Taxes foncières</v>
      </c>
      <c r="W332" s="156" t="str">
        <f>+VLOOKUP($L332,Data_Validation!$A:$E,5,0)</f>
        <v>$</v>
      </c>
      <c r="X332" s="156">
        <f>+VLOOKUP($L332,Data_Validation!$A:$F,6,0)</f>
        <v>0</v>
      </c>
    </row>
    <row r="333" spans="1:24" ht="15.75" hidden="1" customHeight="1">
      <c r="A333" s="1013" t="s">
        <v>1393</v>
      </c>
      <c r="B333" s="1013" t="s">
        <v>2620</v>
      </c>
      <c r="C333" s="1015">
        <v>768</v>
      </c>
      <c r="D333" s="1015">
        <v>384</v>
      </c>
      <c r="E333" s="1015">
        <v>1152</v>
      </c>
      <c r="F333" s="1013" t="s">
        <v>401</v>
      </c>
      <c r="G333" s="1013" t="s">
        <v>2597</v>
      </c>
      <c r="H333" s="150"/>
      <c r="I333" s="152"/>
      <c r="J333" s="152"/>
      <c r="K333" s="152"/>
      <c r="L333" s="153" t="str">
        <f t="shared" si="40"/>
        <v>6293</v>
      </c>
      <c r="M333" s="154" t="str">
        <f t="shared" si="41"/>
        <v>AUTRE TAXES - USAGES</v>
      </c>
      <c r="N333" s="155">
        <f>+IF(OR($Q333=Parametres!$G$2,$Q333=Parametres!$G$3),I333,C333)</f>
        <v>768</v>
      </c>
      <c r="O333" s="155">
        <f>+IF(OR($Q333=Parametres!$G$2,$Q333=Parametres!$G$3),J333,D333)</f>
        <v>384</v>
      </c>
      <c r="P333" s="155">
        <f>+IF(OR($Q333=Parametres!$G$2,$Q333=Parametres!$G$3),K333,E333)</f>
        <v>1152</v>
      </c>
      <c r="Q333" s="154" t="str">
        <f t="shared" si="42"/>
        <v>7-Dépenses</v>
      </c>
      <c r="R333" s="153" t="str">
        <f t="shared" si="43"/>
        <v>6193</v>
      </c>
      <c r="S333" s="154">
        <f t="shared" si="44"/>
        <v>0</v>
      </c>
      <c r="T333" s="156" t="str">
        <f>+VLOOKUP($L333,Data_Validation!$A:$D,1,0)</f>
        <v>6293</v>
      </c>
      <c r="U333" s="156" t="str">
        <f>+VLOOKUP($L333,Data_Validation!$A:$D,3,0)</f>
        <v>Véhicules usagés</v>
      </c>
      <c r="V333" s="156" t="str">
        <f>+VLOOKUP($L333,Data_Validation!$A:$D,4,0)</f>
        <v>Taxes d`affaires</v>
      </c>
      <c r="W333" s="156" t="str">
        <f>+VLOOKUP($L333,Data_Validation!$A:$E,5,0)</f>
        <v>$</v>
      </c>
      <c r="X333" s="156">
        <f>+VLOOKUP($L333,Data_Validation!$A:$F,6,0)</f>
        <v>0</v>
      </c>
    </row>
    <row r="334" spans="1:24" ht="15.75" hidden="1" customHeight="1">
      <c r="A334" s="1013" t="s">
        <v>1318</v>
      </c>
      <c r="B334" s="1013" t="s">
        <v>2664</v>
      </c>
      <c r="C334" s="1015">
        <v>1492.12</v>
      </c>
      <c r="D334" s="1015">
        <v>746.06</v>
      </c>
      <c r="E334" s="1015">
        <v>2238.1799999999998</v>
      </c>
      <c r="F334" s="1013" t="s">
        <v>401</v>
      </c>
      <c r="G334" s="1013" t="s">
        <v>2635</v>
      </c>
      <c r="H334" s="150"/>
      <c r="I334" s="151"/>
      <c r="J334" s="151"/>
      <c r="K334" s="151"/>
      <c r="L334" s="153" t="str">
        <f t="shared" si="40"/>
        <v>6294</v>
      </c>
      <c r="M334" s="154" t="str">
        <f t="shared" si="41"/>
        <v>FRAIS PROFESSIONNEL-USAGE</v>
      </c>
      <c r="N334" s="155">
        <f>+IF(OR($Q334=Parametres!$G$2,$Q334=Parametres!$G$3),I334,C334)</f>
        <v>1492.12</v>
      </c>
      <c r="O334" s="155">
        <f>+IF(OR($Q334=Parametres!$G$2,$Q334=Parametres!$G$3),J334,D334)</f>
        <v>746.06</v>
      </c>
      <c r="P334" s="155">
        <f>+IF(OR($Q334=Parametres!$G$2,$Q334=Parametres!$G$3),K334,E334)</f>
        <v>2238.1799999999998</v>
      </c>
      <c r="Q334" s="154" t="str">
        <f t="shared" si="42"/>
        <v>7-Dépenses</v>
      </c>
      <c r="R334" s="153" t="str">
        <f t="shared" si="43"/>
        <v>6194</v>
      </c>
      <c r="S334" s="154">
        <f t="shared" si="44"/>
        <v>0</v>
      </c>
      <c r="T334" s="156" t="str">
        <f>+VLOOKUP($L334,Data_Validation!$A:$D,1,0)</f>
        <v>6294</v>
      </c>
      <c r="U334" s="156" t="str">
        <f>+VLOOKUP($L334,Data_Validation!$A:$D,3,0)</f>
        <v>Véhicules usagés</v>
      </c>
      <c r="V334" s="156" t="str">
        <f>+VLOOKUP($L334,Data_Validation!$A:$D,4,0)</f>
        <v>Honoraires</v>
      </c>
      <c r="W334" s="156" t="str">
        <f>+VLOOKUP($L334,Data_Validation!$A:$E,5,0)</f>
        <v>$</v>
      </c>
      <c r="X334" s="156">
        <f>+VLOOKUP($L334,Data_Validation!$A:$F,6,0)</f>
        <v>0</v>
      </c>
    </row>
    <row r="335" spans="1:24" ht="15" customHeight="1">
      <c r="A335" s="1013" t="s">
        <v>1403</v>
      </c>
      <c r="B335" s="1013" t="s">
        <v>2743</v>
      </c>
      <c r="C335" s="1015">
        <v>2217.83</v>
      </c>
      <c r="D335" s="1015">
        <v>5381.04</v>
      </c>
      <c r="E335" s="1015">
        <v>7598.87</v>
      </c>
      <c r="F335" s="1013" t="s">
        <v>401</v>
      </c>
      <c r="G335" s="1013" t="s">
        <v>2467</v>
      </c>
      <c r="H335" s="150"/>
      <c r="I335" s="151"/>
      <c r="J335" s="151"/>
      <c r="K335" s="151"/>
      <c r="L335" s="153" t="str">
        <f t="shared" si="40"/>
        <v>6403</v>
      </c>
      <c r="M335" s="154" t="str">
        <f t="shared" si="41"/>
        <v>RELAT. A LA CLIENTELE &amp; AJUST</v>
      </c>
      <c r="N335" s="155">
        <f>+IF(OR($Q335=Parametres!$G$2,$Q335=Parametres!$G$3),I335,C335)</f>
        <v>2217.83</v>
      </c>
      <c r="O335" s="155">
        <f>+IF(OR($Q335=Parametres!$G$2,$Q335=Parametres!$G$3),J335,D335)</f>
        <v>5381.04</v>
      </c>
      <c r="P335" s="155">
        <f>+IF(OR($Q335=Parametres!$G$2,$Q335=Parametres!$G$3),K335,E335)</f>
        <v>7598.87</v>
      </c>
      <c r="Q335" s="154" t="str">
        <f t="shared" si="42"/>
        <v>7-Dépenses</v>
      </c>
      <c r="R335" s="153" t="str">
        <f t="shared" si="43"/>
        <v>6112</v>
      </c>
      <c r="S335" s="154">
        <f t="shared" si="44"/>
        <v>0</v>
      </c>
      <c r="T335" s="156" t="str">
        <f>+VLOOKUP($L335,Data_Validation!$A:$D,1,0)</f>
        <v>6403</v>
      </c>
      <c r="U335" s="156" t="str">
        <f>+VLOOKUP($L335,Data_Validation!$A:$D,3,0)</f>
        <v>Service</v>
      </c>
      <c r="V335" s="156" t="str">
        <f>+VLOOKUP($L335,Data_Validation!$A:$D,4,0)</f>
        <v>Service gratuit 2</v>
      </c>
      <c r="W335" s="156" t="str">
        <f>+VLOOKUP($L335,Data_Validation!$A:$E,5,0)</f>
        <v>$</v>
      </c>
      <c r="X335" s="156">
        <f>+VLOOKUP($L335,Data_Validation!$A:$F,6,0)</f>
        <v>0</v>
      </c>
    </row>
    <row r="336" spans="1:24" ht="15" customHeight="1">
      <c r="A336" s="1013" t="s">
        <v>1450</v>
      </c>
      <c r="B336" s="1013" t="s">
        <v>2677</v>
      </c>
      <c r="C336" s="1015">
        <v>-74.58</v>
      </c>
      <c r="D336" s="1015">
        <v>205.41</v>
      </c>
      <c r="E336" s="1015">
        <v>130.83000000000001</v>
      </c>
      <c r="F336" s="1013" t="s">
        <v>401</v>
      </c>
      <c r="G336" s="1013" t="s">
        <v>2467</v>
      </c>
      <c r="H336" s="150"/>
      <c r="I336" s="151"/>
      <c r="J336" s="151"/>
      <c r="K336" s="151"/>
      <c r="L336" s="153" t="str">
        <f t="shared" si="40"/>
        <v>6412</v>
      </c>
      <c r="M336" s="154" t="str">
        <f t="shared" si="41"/>
        <v>AUTORISATION &amp; GAR./VEH. USA</v>
      </c>
      <c r="N336" s="155">
        <f>+IF(OR($Q336=Parametres!$G$2,$Q336=Parametres!$G$3),I336,C336)</f>
        <v>-74.58</v>
      </c>
      <c r="O336" s="155">
        <f>+IF(OR($Q336=Parametres!$G$2,$Q336=Parametres!$G$3),J336,D336)</f>
        <v>205.41</v>
      </c>
      <c r="P336" s="155">
        <f>+IF(OR($Q336=Parametres!$G$2,$Q336=Parametres!$G$3),K336,E336)</f>
        <v>130.83000000000001</v>
      </c>
      <c r="Q336" s="154" t="str">
        <f t="shared" si="42"/>
        <v>7-Dépenses</v>
      </c>
      <c r="R336" s="153" t="str">
        <f t="shared" si="43"/>
        <v>6112</v>
      </c>
      <c r="S336" s="154">
        <f t="shared" si="44"/>
        <v>0</v>
      </c>
      <c r="T336" s="156" t="str">
        <f>+VLOOKUP($L336,Data_Validation!$A:$D,1,0)</f>
        <v>6412</v>
      </c>
      <c r="U336" s="156" t="str">
        <f>+VLOOKUP($L336,Data_Validation!$A:$D,3,0)</f>
        <v>Service</v>
      </c>
      <c r="V336" s="156" t="str">
        <f>+VLOOKUP($L336,Data_Validation!$A:$D,4,0)</f>
        <v>Service gratuit 2</v>
      </c>
      <c r="W336" s="156" t="str">
        <f>+VLOOKUP($L336,Data_Validation!$A:$E,5,0)</f>
        <v>$</v>
      </c>
      <c r="X336" s="156">
        <f>+VLOOKUP($L336,Data_Validation!$A:$F,6,0)</f>
        <v>0</v>
      </c>
    </row>
    <row r="337" spans="1:24" ht="15" hidden="1" customHeight="1">
      <c r="A337" s="1013" t="s">
        <v>1374</v>
      </c>
      <c r="B337" s="1013" t="s">
        <v>2714</v>
      </c>
      <c r="C337" s="1015">
        <v>13051.27</v>
      </c>
      <c r="D337" s="1015">
        <v>6647.43</v>
      </c>
      <c r="E337" s="1015">
        <v>19698.7</v>
      </c>
      <c r="F337" s="1013" t="s">
        <v>401</v>
      </c>
      <c r="G337" s="1013" t="s">
        <v>2113</v>
      </c>
      <c r="H337" s="150"/>
      <c r="I337" s="151"/>
      <c r="J337" s="151"/>
      <c r="K337" s="151"/>
      <c r="L337" s="153" t="str">
        <f t="shared" si="40"/>
        <v>6414</v>
      </c>
      <c r="M337" s="154" t="str">
        <f t="shared" si="41"/>
        <v>PUBLICITE</v>
      </c>
      <c r="N337" s="155">
        <f>+IF(OR($Q337=Parametres!$G$2,$Q337=Parametres!$G$3),I337,C337)</f>
        <v>13051.27</v>
      </c>
      <c r="O337" s="155">
        <f>+IF(OR($Q337=Parametres!$G$2,$Q337=Parametres!$G$3),J337,D337)</f>
        <v>6647.43</v>
      </c>
      <c r="P337" s="155">
        <f>+IF(OR($Q337=Parametres!$G$2,$Q337=Parametres!$G$3),K337,E337)</f>
        <v>19698.7</v>
      </c>
      <c r="Q337" s="154" t="str">
        <f t="shared" si="42"/>
        <v>7-Dépenses</v>
      </c>
      <c r="R337" s="153" t="str">
        <f t="shared" si="43"/>
        <v>6114</v>
      </c>
      <c r="S337" s="154">
        <f t="shared" si="44"/>
        <v>0</v>
      </c>
      <c r="T337" s="156" t="str">
        <f>+VLOOKUP($L337,Data_Validation!$A:$D,1,0)</f>
        <v>6414</v>
      </c>
      <c r="U337" s="156" t="str">
        <f>+VLOOKUP($L337,Data_Validation!$A:$D,3,0)</f>
        <v>Service</v>
      </c>
      <c r="V337" s="156" t="str">
        <f>+VLOOKUP($L337,Data_Validation!$A:$D,4,0)</f>
        <v>Publicité 2</v>
      </c>
      <c r="W337" s="156" t="str">
        <f>+VLOOKUP($L337,Data_Validation!$A:$E,5,0)</f>
        <v>$</v>
      </c>
      <c r="X337" s="156">
        <f>+VLOOKUP($L337,Data_Validation!$A:$F,6,0)</f>
        <v>0</v>
      </c>
    </row>
    <row r="338" spans="1:24" ht="15.75" hidden="1" customHeight="1">
      <c r="A338" s="1013" t="s">
        <v>1259</v>
      </c>
      <c r="B338" s="1013" t="s">
        <v>2711</v>
      </c>
      <c r="C338" s="1015">
        <v>1400</v>
      </c>
      <c r="D338" s="1015">
        <v>700</v>
      </c>
      <c r="E338" s="1015">
        <v>2100</v>
      </c>
      <c r="F338" s="1013" t="s">
        <v>401</v>
      </c>
      <c r="G338" s="1013" t="s">
        <v>2648</v>
      </c>
      <c r="H338" s="150"/>
      <c r="I338" s="157"/>
      <c r="J338" s="157"/>
      <c r="K338" s="157"/>
      <c r="L338" s="153" t="str">
        <f t="shared" si="40"/>
        <v>6421</v>
      </c>
      <c r="M338" s="154" t="str">
        <f t="shared" si="41"/>
        <v>SALAIRES - PROPRIETAIRES</v>
      </c>
      <c r="N338" s="155">
        <f>+IF(OR($Q338=Parametres!$G$2,$Q338=Parametres!$G$3),I338,C338)</f>
        <v>1400</v>
      </c>
      <c r="O338" s="155">
        <f>+IF(OR($Q338=Parametres!$G$2,$Q338=Parametres!$G$3),J338,D338)</f>
        <v>700</v>
      </c>
      <c r="P338" s="155">
        <f>+IF(OR($Q338=Parametres!$G$2,$Q338=Parametres!$G$3),K338,E338)</f>
        <v>2100</v>
      </c>
      <c r="Q338" s="154" t="str">
        <f t="shared" si="42"/>
        <v>7-Dépenses</v>
      </c>
      <c r="R338" s="153" t="str">
        <f t="shared" si="43"/>
        <v>6121</v>
      </c>
      <c r="S338" s="154">
        <f t="shared" si="44"/>
        <v>0</v>
      </c>
      <c r="T338" s="156" t="str">
        <f>+VLOOKUP($L338,Data_Validation!$A:$D,1,0)</f>
        <v>6421</v>
      </c>
      <c r="U338" s="156" t="str">
        <f>+VLOOKUP($L338,Data_Validation!$A:$D,3,0)</f>
        <v>Service</v>
      </c>
      <c r="V338" s="156" t="str">
        <f>+VLOOKUP($L338,Data_Validation!$A:$D,4,0)</f>
        <v>Salaires propriétaire</v>
      </c>
      <c r="W338" s="156" t="str">
        <f>+VLOOKUP($L338,Data_Validation!$A:$E,5,0)</f>
        <v>$</v>
      </c>
      <c r="X338" s="156">
        <f>+VLOOKUP($L338,Data_Validation!$A:$F,6,0)</f>
        <v>0</v>
      </c>
    </row>
    <row r="339" spans="1:24" ht="15" hidden="1" customHeight="1">
      <c r="A339" s="1013" t="s">
        <v>2624</v>
      </c>
      <c r="B339" s="1013" t="s">
        <v>2771</v>
      </c>
      <c r="C339" s="1015">
        <v>23258.36</v>
      </c>
      <c r="D339" s="1015">
        <v>11791.94</v>
      </c>
      <c r="E339" s="1015">
        <v>35050.300000000003</v>
      </c>
      <c r="F339" s="1013" t="s">
        <v>401</v>
      </c>
      <c r="G339" s="1013" t="s">
        <v>2626</v>
      </c>
      <c r="H339" s="150"/>
      <c r="I339" s="151"/>
      <c r="J339" s="151"/>
      <c r="K339" s="151"/>
      <c r="L339" s="153" t="str">
        <f t="shared" si="40"/>
        <v>6422</v>
      </c>
      <c r="M339" s="154" t="str">
        <f t="shared" si="41"/>
        <v>SAL SUPERVISION / GERANT</v>
      </c>
      <c r="N339" s="155">
        <f>+IF(OR($Q339=Parametres!$G$2,$Q339=Parametres!$G$3),I339,C339)</f>
        <v>23258.36</v>
      </c>
      <c r="O339" s="155">
        <f>+IF(OR($Q339=Parametres!$G$2,$Q339=Parametres!$G$3),J339,D339)</f>
        <v>11791.94</v>
      </c>
      <c r="P339" s="155">
        <f>+IF(OR($Q339=Parametres!$G$2,$Q339=Parametres!$G$3),K339,E339)</f>
        <v>35050.300000000003</v>
      </c>
      <c r="Q339" s="154" t="str">
        <f t="shared" si="42"/>
        <v>7-Dépenses</v>
      </c>
      <c r="R339" s="153" t="str">
        <f t="shared" si="43"/>
        <v>6122</v>
      </c>
      <c r="S339" s="154">
        <f t="shared" si="44"/>
        <v>0</v>
      </c>
      <c r="T339" s="156" t="str">
        <f>+VLOOKUP($L339,Data_Validation!$A:$D,1,0)</f>
        <v>6422</v>
      </c>
      <c r="U339" s="156" t="str">
        <f>+VLOOKUP($L339,Data_Validation!$A:$D,3,0)</f>
        <v>Service</v>
      </c>
      <c r="V339" s="156" t="str">
        <f>+VLOOKUP($L339,Data_Validation!$A:$D,4,0)</f>
        <v>Salaires cadres</v>
      </c>
      <c r="W339" s="156" t="str">
        <f>+VLOOKUP($L339,Data_Validation!$A:$E,5,0)</f>
        <v>$</v>
      </c>
      <c r="X339" s="156">
        <f>+VLOOKUP($L339,Data_Validation!$A:$F,6,0)</f>
        <v>0</v>
      </c>
    </row>
    <row r="340" spans="1:24" ht="15" hidden="1" customHeight="1">
      <c r="A340" s="1013" t="s">
        <v>1266</v>
      </c>
      <c r="B340" s="1013" t="s">
        <v>2766</v>
      </c>
      <c r="C340" s="1015">
        <v>15274</v>
      </c>
      <c r="D340" s="1015">
        <v>7597.25</v>
      </c>
      <c r="E340" s="1015">
        <v>22871.25</v>
      </c>
      <c r="F340" s="1013" t="s">
        <v>401</v>
      </c>
      <c r="G340" s="1013" t="s">
        <v>2679</v>
      </c>
      <c r="H340" s="949"/>
      <c r="I340" s="949"/>
      <c r="J340" s="949"/>
      <c r="K340" s="949"/>
      <c r="L340" s="153" t="str">
        <f t="shared" si="40"/>
        <v>6423</v>
      </c>
      <c r="M340" s="154" t="str">
        <f t="shared" si="41"/>
        <v>SAL. &amp; RENUM. CLERICAL</v>
      </c>
      <c r="N340" s="155">
        <f>+IF(OR($Q340=Parametres!$G$2,$Q340=Parametres!$G$3),I340,C340)</f>
        <v>15274</v>
      </c>
      <c r="O340" s="155">
        <f>+IF(OR($Q340=Parametres!$G$2,$Q340=Parametres!$G$3),J340,D340)</f>
        <v>7597.25</v>
      </c>
      <c r="P340" s="155">
        <f>+IF(OR($Q340=Parametres!$G$2,$Q340=Parametres!$G$3),K340,E340)</f>
        <v>22871.25</v>
      </c>
      <c r="Q340" s="154" t="str">
        <f t="shared" si="42"/>
        <v>7-Dépenses</v>
      </c>
      <c r="R340" s="153" t="str">
        <f t="shared" si="43"/>
        <v>6123</v>
      </c>
      <c r="S340" s="154">
        <f t="shared" si="44"/>
        <v>0</v>
      </c>
      <c r="T340" s="156" t="str">
        <f>+VLOOKUP($L340,Data_Validation!$A:$D,1,0)</f>
        <v>6423</v>
      </c>
      <c r="U340" s="156" t="str">
        <f>+VLOOKUP($L340,Data_Validation!$A:$D,3,0)</f>
        <v>Service</v>
      </c>
      <c r="V340" s="156" t="str">
        <f>+VLOOKUP($L340,Data_Validation!$A:$D,4,0)</f>
        <v>Salaires commis</v>
      </c>
      <c r="W340" s="156" t="str">
        <f>+VLOOKUP($L340,Data_Validation!$A:$E,5,0)</f>
        <v>$</v>
      </c>
      <c r="X340" s="156">
        <f>+VLOOKUP($L340,Data_Validation!$A:$F,6,0)</f>
        <v>0</v>
      </c>
    </row>
    <row r="341" spans="1:24" ht="15" hidden="1" customHeight="1">
      <c r="A341" s="1013" t="s">
        <v>1249</v>
      </c>
      <c r="B341" s="1013" t="s">
        <v>2805</v>
      </c>
      <c r="C341" s="1015">
        <v>24779.07</v>
      </c>
      <c r="D341" s="1015">
        <v>14700.04</v>
      </c>
      <c r="E341" s="1015">
        <v>39479.11</v>
      </c>
      <c r="F341" s="1013" t="s">
        <v>401</v>
      </c>
      <c r="G341" s="1013" t="s">
        <v>2735</v>
      </c>
      <c r="H341" s="150"/>
      <c r="I341" s="151"/>
      <c r="J341" s="151"/>
      <c r="K341" s="151"/>
      <c r="L341" s="153" t="str">
        <f t="shared" si="40"/>
        <v>6424</v>
      </c>
      <c r="M341" s="154" t="str">
        <f t="shared" si="41"/>
        <v>SALAIRES &amp; RENUM. - AUTRES</v>
      </c>
      <c r="N341" s="155">
        <f>+IF(OR($Q341=Parametres!$G$2,$Q341=Parametres!$G$3),I341,C341)</f>
        <v>24779.07</v>
      </c>
      <c r="O341" s="155">
        <f>+IF(OR($Q341=Parametres!$G$2,$Q341=Parametres!$G$3),J341,D341)</f>
        <v>14700.04</v>
      </c>
      <c r="P341" s="155">
        <f>+IF(OR($Q341=Parametres!$G$2,$Q341=Parametres!$G$3),K341,E341)</f>
        <v>39479.11</v>
      </c>
      <c r="Q341" s="154" t="str">
        <f t="shared" si="42"/>
        <v>7-Dépenses</v>
      </c>
      <c r="R341" s="153" t="str">
        <f t="shared" si="43"/>
        <v>6124</v>
      </c>
      <c r="S341" s="154">
        <f t="shared" si="44"/>
        <v>0</v>
      </c>
      <c r="T341" s="156" t="str">
        <f>+VLOOKUP($L341,Data_Validation!$A:$D,1,0)</f>
        <v>6424</v>
      </c>
      <c r="U341" s="156" t="str">
        <f>+VLOOKUP($L341,Data_Validation!$A:$D,3,0)</f>
        <v>Service</v>
      </c>
      <c r="V341" s="156" t="str">
        <f>+VLOOKUP($L341,Data_Validation!$A:$D,4,0)</f>
        <v>Salaires autres</v>
      </c>
      <c r="W341" s="156" t="str">
        <f>+VLOOKUP($L341,Data_Validation!$A:$E,5,0)</f>
        <v>$</v>
      </c>
      <c r="X341" s="156">
        <f>+VLOOKUP($L341,Data_Validation!$A:$F,6,0)</f>
        <v>0</v>
      </c>
    </row>
    <row r="342" spans="1:24" ht="15" hidden="1" customHeight="1">
      <c r="A342" s="1013" t="s">
        <v>1330</v>
      </c>
      <c r="B342" s="1013" t="s">
        <v>2810</v>
      </c>
      <c r="C342" s="1015">
        <v>35838.300000000003</v>
      </c>
      <c r="D342" s="1015">
        <v>25430.05</v>
      </c>
      <c r="E342" s="1015">
        <v>61268.35</v>
      </c>
      <c r="F342" s="1013" t="s">
        <v>401</v>
      </c>
      <c r="G342" s="1013" t="s">
        <v>2721</v>
      </c>
      <c r="H342" s="150"/>
      <c r="I342" s="157"/>
      <c r="J342" s="157"/>
      <c r="K342" s="157"/>
      <c r="L342" s="153" t="str">
        <f t="shared" si="40"/>
        <v>6425</v>
      </c>
      <c r="M342" s="154" t="str">
        <f t="shared" si="41"/>
        <v>SALAIRE SPECIALISTES</v>
      </c>
      <c r="N342" s="155">
        <f>+IF(OR($Q342=Parametres!$G$2,$Q342=Parametres!$G$3),I342,C342)</f>
        <v>35838.300000000003</v>
      </c>
      <c r="O342" s="155">
        <f>+IF(OR($Q342=Parametres!$G$2,$Q342=Parametres!$G$3),J342,D342)</f>
        <v>25430.05</v>
      </c>
      <c r="P342" s="155">
        <f>+IF(OR($Q342=Parametres!$G$2,$Q342=Parametres!$G$3),K342,E342)</f>
        <v>61268.35</v>
      </c>
      <c r="Q342" s="154" t="str">
        <f t="shared" si="42"/>
        <v>7-Dépenses</v>
      </c>
      <c r="R342" s="153" t="str">
        <f t="shared" si="43"/>
        <v>6125</v>
      </c>
      <c r="S342" s="154">
        <f t="shared" si="44"/>
        <v>0</v>
      </c>
      <c r="T342" s="156" t="str">
        <f>+VLOOKUP($L342,Data_Validation!$A:$D,1,0)</f>
        <v>6425</v>
      </c>
      <c r="U342" s="156" t="str">
        <f>+VLOOKUP($L342,Data_Validation!$A:$D,3,0)</f>
        <v>Service</v>
      </c>
      <c r="V342" s="156" t="str">
        <f>+VLOOKUP($L342,Data_Validation!$A:$D,4,0)</f>
        <v>Salaires spécialistes</v>
      </c>
      <c r="W342" s="156" t="str">
        <f>+VLOOKUP($L342,Data_Validation!$A:$E,5,0)</f>
        <v>$</v>
      </c>
      <c r="X342" s="156">
        <f>+VLOOKUP($L342,Data_Validation!$A:$F,6,0)</f>
        <v>0</v>
      </c>
    </row>
    <row r="343" spans="1:24" ht="15.75" hidden="1" customHeight="1">
      <c r="A343" s="1013" t="s">
        <v>1448</v>
      </c>
      <c r="B343" s="1013" t="s">
        <v>2793</v>
      </c>
      <c r="C343" s="1015">
        <v>22240.560000000001</v>
      </c>
      <c r="D343" s="1015">
        <v>17605.2</v>
      </c>
      <c r="E343" s="1015">
        <v>39845.760000000002</v>
      </c>
      <c r="F343" s="1013" t="s">
        <v>401</v>
      </c>
      <c r="G343" s="1013" t="s">
        <v>2641</v>
      </c>
      <c r="H343" s="150"/>
      <c r="I343" s="151"/>
      <c r="J343" s="151"/>
      <c r="K343" s="151"/>
      <c r="L343" s="153" t="str">
        <f t="shared" si="40"/>
        <v>6429</v>
      </c>
      <c r="M343" s="154" t="str">
        <f t="shared" si="41"/>
        <v>SAL.,VACANCE, &amp; SAL. JOURS FER</v>
      </c>
      <c r="N343" s="155">
        <f>+IF(OR($Q343=Parametres!$G$2,$Q343=Parametres!$G$3),I343,C343)</f>
        <v>22240.560000000001</v>
      </c>
      <c r="O343" s="155">
        <f>+IF(OR($Q343=Parametres!$G$2,$Q343=Parametres!$G$3),J343,D343)</f>
        <v>17605.2</v>
      </c>
      <c r="P343" s="155">
        <f>+IF(OR($Q343=Parametres!$G$2,$Q343=Parametres!$G$3),K343,E343)</f>
        <v>39845.760000000002</v>
      </c>
      <c r="Q343" s="154" t="str">
        <f t="shared" si="42"/>
        <v>7-Dépenses</v>
      </c>
      <c r="R343" s="153" t="str">
        <f t="shared" si="43"/>
        <v>6129</v>
      </c>
      <c r="S343" s="154">
        <f t="shared" si="44"/>
        <v>0</v>
      </c>
      <c r="T343" s="156" t="str">
        <f>+VLOOKUP($L343,Data_Validation!$A:$D,1,0)</f>
        <v>6429</v>
      </c>
      <c r="U343" s="156" t="str">
        <f>+VLOOKUP($L343,Data_Validation!$A:$D,3,0)</f>
        <v>Service</v>
      </c>
      <c r="V343" s="156" t="str">
        <f>+VLOOKUP($L343,Data_Validation!$A:$D,4,0)</f>
        <v>Salaires en absences</v>
      </c>
      <c r="W343" s="156" t="str">
        <f>+VLOOKUP($L343,Data_Validation!$A:$E,5,0)</f>
        <v>$</v>
      </c>
      <c r="X343" s="156">
        <f>+VLOOKUP($L343,Data_Validation!$A:$F,6,0)</f>
        <v>0</v>
      </c>
    </row>
    <row r="344" spans="1:24" ht="15" hidden="1" customHeight="1">
      <c r="A344" s="1013" t="s">
        <v>1252</v>
      </c>
      <c r="B344" s="1013" t="s">
        <v>2732</v>
      </c>
      <c r="C344" s="1015">
        <v>1986.71</v>
      </c>
      <c r="D344" s="1015">
        <v>4846</v>
      </c>
      <c r="E344" s="1015">
        <v>6832.71</v>
      </c>
      <c r="F344" s="1013" t="s">
        <v>401</v>
      </c>
      <c r="G344" s="1013" t="s">
        <v>2586</v>
      </c>
      <c r="H344" s="150"/>
      <c r="I344" s="151"/>
      <c r="J344" s="151"/>
      <c r="K344" s="151"/>
      <c r="L344" s="153" t="str">
        <f t="shared" si="40"/>
        <v>6431</v>
      </c>
      <c r="M344" s="154" t="str">
        <f t="shared" si="41"/>
        <v>CSST</v>
      </c>
      <c r="N344" s="155">
        <f>+IF(OR($Q344=Parametres!$G$2,$Q344=Parametres!$G$3),I344,C344)</f>
        <v>1986.71</v>
      </c>
      <c r="O344" s="155">
        <f>+IF(OR($Q344=Parametres!$G$2,$Q344=Parametres!$G$3),J344,D344)</f>
        <v>4846</v>
      </c>
      <c r="P344" s="155">
        <f>+IF(OR($Q344=Parametres!$G$2,$Q344=Parametres!$G$3),K344,E344)</f>
        <v>6832.71</v>
      </c>
      <c r="Q344" s="154" t="str">
        <f t="shared" si="42"/>
        <v>7-Dépenses</v>
      </c>
      <c r="R344" s="153" t="str">
        <f t="shared" si="43"/>
        <v>6131</v>
      </c>
      <c r="S344" s="154">
        <f t="shared" si="44"/>
        <v>0</v>
      </c>
      <c r="T344" s="156" t="str">
        <f>+VLOOKUP($L344,Data_Validation!$A:$D,1,0)</f>
        <v>6431</v>
      </c>
      <c r="U344" s="156" t="str">
        <f>+VLOOKUP($L344,Data_Validation!$A:$D,3,0)</f>
        <v>Service</v>
      </c>
      <c r="V344" s="156" t="str">
        <f>+VLOOKUP($L344,Data_Validation!$A:$D,4,0)</f>
        <v>Csst</v>
      </c>
      <c r="W344" s="156" t="str">
        <f>+VLOOKUP($L344,Data_Validation!$A:$E,5,0)</f>
        <v>$</v>
      </c>
      <c r="X344" s="156">
        <f>+VLOOKUP($L344,Data_Validation!$A:$F,6,0)</f>
        <v>0</v>
      </c>
    </row>
    <row r="345" spans="1:24" ht="15" hidden="1" customHeight="1">
      <c r="A345" s="1013" t="s">
        <v>1283</v>
      </c>
      <c r="B345" s="1013" t="s">
        <v>2779</v>
      </c>
      <c r="C345" s="1015">
        <v>26103.14</v>
      </c>
      <c r="D345" s="1015">
        <v>14893.12</v>
      </c>
      <c r="E345" s="1015">
        <v>40996.26</v>
      </c>
      <c r="F345" s="1013" t="s">
        <v>401</v>
      </c>
      <c r="G345" s="1013" t="s">
        <v>2685</v>
      </c>
      <c r="H345" s="150"/>
      <c r="I345" s="151"/>
      <c r="J345" s="151"/>
      <c r="K345" s="151"/>
      <c r="L345" s="153" t="str">
        <f t="shared" si="40"/>
        <v>6432</v>
      </c>
      <c r="M345" s="154" t="str">
        <f t="shared" si="41"/>
        <v>RRQ RAMQ AC</v>
      </c>
      <c r="N345" s="155">
        <f>+IF(OR($Q345=Parametres!$G$2,$Q345=Parametres!$G$3),I345,C345)</f>
        <v>26103.14</v>
      </c>
      <c r="O345" s="155">
        <f>+IF(OR($Q345=Parametres!$G$2,$Q345=Parametres!$G$3),J345,D345)</f>
        <v>14893.12</v>
      </c>
      <c r="P345" s="155">
        <f>+IF(OR($Q345=Parametres!$G$2,$Q345=Parametres!$G$3),K345,E345)</f>
        <v>40996.26</v>
      </c>
      <c r="Q345" s="154" t="str">
        <f t="shared" si="42"/>
        <v>7-Dépenses</v>
      </c>
      <c r="R345" s="153" t="str">
        <f t="shared" si="43"/>
        <v>6132</v>
      </c>
      <c r="S345" s="154">
        <f t="shared" si="44"/>
        <v>0</v>
      </c>
      <c r="T345" s="156" t="str">
        <f>+VLOOKUP($L345,Data_Validation!$A:$D,1,0)</f>
        <v>6432</v>
      </c>
      <c r="U345" s="156" t="str">
        <f>+VLOOKUP($L345,Data_Validation!$A:$D,3,0)</f>
        <v>Service</v>
      </c>
      <c r="V345" s="156" t="str">
        <f>+VLOOKUP($L345,Data_Validation!$A:$D,4,0)</f>
        <v>Déduction à la source</v>
      </c>
      <c r="W345" s="156" t="str">
        <f>+VLOOKUP($L345,Data_Validation!$A:$E,5,0)</f>
        <v>$</v>
      </c>
      <c r="X345" s="156">
        <f>+VLOOKUP($L345,Data_Validation!$A:$F,6,0)</f>
        <v>0</v>
      </c>
    </row>
    <row r="346" spans="1:24" ht="15" hidden="1" customHeight="1">
      <c r="A346" s="1013" t="s">
        <v>1220</v>
      </c>
      <c r="B346" s="1013" t="s">
        <v>2608</v>
      </c>
      <c r="C346" s="1015">
        <v>406.45</v>
      </c>
      <c r="D346" s="1015">
        <v>250.1</v>
      </c>
      <c r="E346" s="1015">
        <v>656.55</v>
      </c>
      <c r="F346" s="1013" t="s">
        <v>401</v>
      </c>
      <c r="G346" s="1013" t="s">
        <v>2579</v>
      </c>
      <c r="H346" s="150"/>
      <c r="I346" s="151"/>
      <c r="J346" s="151"/>
      <c r="K346" s="151"/>
      <c r="L346" s="153" t="str">
        <f t="shared" si="40"/>
        <v>6433</v>
      </c>
      <c r="M346" s="154" t="str">
        <f t="shared" si="41"/>
        <v>FOND PENSION - SERVICE</v>
      </c>
      <c r="N346" s="155">
        <f>+IF(OR($Q346=Parametres!$G$2,$Q346=Parametres!$G$3),I346,C346)</f>
        <v>406.45</v>
      </c>
      <c r="O346" s="155">
        <f>+IF(OR($Q346=Parametres!$G$2,$Q346=Parametres!$G$3),J346,D346)</f>
        <v>250.1</v>
      </c>
      <c r="P346" s="155">
        <f>+IF(OR($Q346=Parametres!$G$2,$Q346=Parametres!$G$3),K346,E346)</f>
        <v>656.55</v>
      </c>
      <c r="Q346" s="154" t="str">
        <f t="shared" si="42"/>
        <v>7-Dépenses</v>
      </c>
      <c r="R346" s="153" t="str">
        <f t="shared" si="43"/>
        <v>6133</v>
      </c>
      <c r="S346" s="154">
        <f t="shared" si="44"/>
        <v>0</v>
      </c>
      <c r="T346" s="156" t="str">
        <f>+VLOOKUP($L346,Data_Validation!$A:$D,1,0)</f>
        <v>6433</v>
      </c>
      <c r="U346" s="156" t="str">
        <f>+VLOOKUP($L346,Data_Validation!$A:$D,3,0)</f>
        <v>Service</v>
      </c>
      <c r="V346" s="156" t="str">
        <f>+VLOOKUP($L346,Data_Validation!$A:$D,4,0)</f>
        <v>Bénéfices marginaux</v>
      </c>
      <c r="W346" s="156" t="str">
        <f>+VLOOKUP($L346,Data_Validation!$A:$E,5,0)</f>
        <v>$</v>
      </c>
      <c r="X346" s="156">
        <f>+VLOOKUP($L346,Data_Validation!$A:$F,6,0)</f>
        <v>0</v>
      </c>
    </row>
    <row r="347" spans="1:24" ht="15.75" hidden="1" customHeight="1">
      <c r="A347" s="1013" t="s">
        <v>1305</v>
      </c>
      <c r="B347" s="1013" t="s">
        <v>2742</v>
      </c>
      <c r="C347" s="1015">
        <v>8638.52</v>
      </c>
      <c r="D347" s="1015">
        <v>20085.580000000002</v>
      </c>
      <c r="E347" s="1015">
        <v>28724.1</v>
      </c>
      <c r="F347" s="1013" t="s">
        <v>401</v>
      </c>
      <c r="G347" s="1013" t="s">
        <v>2694</v>
      </c>
      <c r="H347" s="150"/>
      <c r="I347" s="157"/>
      <c r="J347" s="157"/>
      <c r="K347" s="157"/>
      <c r="L347" s="153" t="str">
        <f t="shared" si="40"/>
        <v>6439</v>
      </c>
      <c r="M347" s="154" t="str">
        <f t="shared" si="41"/>
        <v>ASSURANCE GROUPE</v>
      </c>
      <c r="N347" s="155">
        <f>+IF(OR($Q347=Parametres!$G$2,$Q347=Parametres!$G$3),I347,C347)</f>
        <v>8638.52</v>
      </c>
      <c r="O347" s="155">
        <f>+IF(OR($Q347=Parametres!$G$2,$Q347=Parametres!$G$3),J347,D347)</f>
        <v>20085.580000000002</v>
      </c>
      <c r="P347" s="155">
        <f>+IF(OR($Q347=Parametres!$G$2,$Q347=Parametres!$G$3),K347,E347)</f>
        <v>28724.1</v>
      </c>
      <c r="Q347" s="154" t="str">
        <f t="shared" si="42"/>
        <v>7-Dépenses</v>
      </c>
      <c r="R347" s="153" t="str">
        <f t="shared" si="43"/>
        <v>6139</v>
      </c>
      <c r="S347" s="154">
        <f t="shared" si="44"/>
        <v>0</v>
      </c>
      <c r="T347" s="156" t="str">
        <f>+VLOOKUP($L347,Data_Validation!$A:$D,1,0)</f>
        <v>6439</v>
      </c>
      <c r="U347" s="156" t="str">
        <f>+VLOOKUP($L347,Data_Validation!$A:$D,3,0)</f>
        <v>Service</v>
      </c>
      <c r="V347" s="156" t="str">
        <f>+VLOOKUP($L347,Data_Validation!$A:$D,4,0)</f>
        <v>Bénéfices marginaux</v>
      </c>
      <c r="W347" s="156" t="str">
        <f>+VLOOKUP($L347,Data_Validation!$A:$E,5,0)</f>
        <v>$</v>
      </c>
      <c r="X347" s="156">
        <f>+VLOOKUP($L347,Data_Validation!$A:$F,6,0)</f>
        <v>0</v>
      </c>
    </row>
    <row r="348" spans="1:24" ht="15" hidden="1" customHeight="1">
      <c r="A348" s="1013" t="s">
        <v>1157</v>
      </c>
      <c r="B348" s="1013" t="s">
        <v>2655</v>
      </c>
      <c r="C348" s="1015">
        <v>3194.57</v>
      </c>
      <c r="D348" s="1015">
        <v>726.3</v>
      </c>
      <c r="E348" s="1015">
        <v>3920.87</v>
      </c>
      <c r="F348" s="1013" t="s">
        <v>401</v>
      </c>
      <c r="G348" s="1013" t="s">
        <v>2563</v>
      </c>
      <c r="H348" s="150"/>
      <c r="I348" s="152"/>
      <c r="J348" s="152"/>
      <c r="K348" s="152"/>
      <c r="L348" s="153" t="str">
        <f t="shared" si="40"/>
        <v>6442</v>
      </c>
      <c r="M348" s="154" t="str">
        <f t="shared" si="41"/>
        <v>FOURNITURES &amp; PETITS OUTILS</v>
      </c>
      <c r="N348" s="155">
        <f>+IF(OR($Q348=Parametres!$G$2,$Q348=Parametres!$G$3),I348,C348)</f>
        <v>3194.57</v>
      </c>
      <c r="O348" s="155">
        <f>+IF(OR($Q348=Parametres!$G$2,$Q348=Parametres!$G$3),J348,D348)</f>
        <v>726.3</v>
      </c>
      <c r="P348" s="155">
        <f>+IF(OR($Q348=Parametres!$G$2,$Q348=Parametres!$G$3),K348,E348)</f>
        <v>3920.87</v>
      </c>
      <c r="Q348" s="154" t="str">
        <f t="shared" si="42"/>
        <v>7-Dépenses</v>
      </c>
      <c r="R348" s="153" t="str">
        <f t="shared" si="43"/>
        <v>6142</v>
      </c>
      <c r="S348" s="154">
        <f t="shared" si="44"/>
        <v>0</v>
      </c>
      <c r="T348" s="156" t="str">
        <f>+VLOOKUP($L348,Data_Validation!$A:$D,1,0)</f>
        <v>6442</v>
      </c>
      <c r="U348" s="156" t="str">
        <f>+VLOOKUP($L348,Data_Validation!$A:$D,3,0)</f>
        <v>Service</v>
      </c>
      <c r="V348" s="156" t="str">
        <f>+VLOOKUP($L348,Data_Validation!$A:$D,4,0)</f>
        <v>Fournitures autres</v>
      </c>
      <c r="W348" s="156" t="str">
        <f>+VLOOKUP($L348,Data_Validation!$A:$E,5,0)</f>
        <v>$</v>
      </c>
      <c r="X348" s="156">
        <f>+VLOOKUP($L348,Data_Validation!$A:$F,6,0)</f>
        <v>0</v>
      </c>
    </row>
    <row r="349" spans="1:24" ht="15" hidden="1" customHeight="1">
      <c r="A349" s="1013" t="s">
        <v>932</v>
      </c>
      <c r="B349" s="1013" t="s">
        <v>2158</v>
      </c>
      <c r="C349" s="1015">
        <v>1236.49</v>
      </c>
      <c r="D349" s="1015">
        <v>844.55</v>
      </c>
      <c r="E349" s="1015">
        <v>2081.04</v>
      </c>
      <c r="F349" s="1013" t="s">
        <v>401</v>
      </c>
      <c r="G349" s="1013" t="s">
        <v>2159</v>
      </c>
      <c r="H349" s="150"/>
      <c r="I349" s="151"/>
      <c r="J349" s="151"/>
      <c r="K349" s="151"/>
      <c r="L349" s="153" t="str">
        <f t="shared" si="40"/>
        <v>6443</v>
      </c>
      <c r="M349" s="154" t="str">
        <f t="shared" si="41"/>
        <v>UNIFORMES &amp; LESSIVE</v>
      </c>
      <c r="N349" s="155">
        <f>+IF(OR($Q349=Parametres!$G$2,$Q349=Parametres!$G$3),I349,C349)</f>
        <v>1236.49</v>
      </c>
      <c r="O349" s="155">
        <f>+IF(OR($Q349=Parametres!$G$2,$Q349=Parametres!$G$3),J349,D349)</f>
        <v>844.55</v>
      </c>
      <c r="P349" s="155">
        <f>+IF(OR($Q349=Parametres!$G$2,$Q349=Parametres!$G$3),K349,E349)</f>
        <v>2081.04</v>
      </c>
      <c r="Q349" s="154" t="str">
        <f t="shared" si="42"/>
        <v>7-Dépenses</v>
      </c>
      <c r="R349" s="153" t="str">
        <f t="shared" si="43"/>
        <v>6143</v>
      </c>
      <c r="S349" s="154">
        <f t="shared" si="44"/>
        <v>0</v>
      </c>
      <c r="T349" s="156" t="str">
        <f>+VLOOKUP($L349,Data_Validation!$A:$D,1,0)</f>
        <v>6443</v>
      </c>
      <c r="U349" s="156" t="str">
        <f>+VLOOKUP($L349,Data_Validation!$A:$D,3,0)</f>
        <v>Service</v>
      </c>
      <c r="V349" s="156" t="str">
        <f>+VLOOKUP($L349,Data_Validation!$A:$D,4,0)</f>
        <v>Uniformes</v>
      </c>
      <c r="W349" s="156" t="str">
        <f>+VLOOKUP($L349,Data_Validation!$A:$E,5,0)</f>
        <v>$</v>
      </c>
      <c r="X349" s="156">
        <f>+VLOOKUP($L349,Data_Validation!$A:$F,6,0)</f>
        <v>0</v>
      </c>
    </row>
    <row r="350" spans="1:24" ht="15" hidden="1" customHeight="1">
      <c r="A350" s="1013" t="s">
        <v>934</v>
      </c>
      <c r="B350" s="1013" t="s">
        <v>2572</v>
      </c>
      <c r="C350" s="1015">
        <v>1725.61</v>
      </c>
      <c r="D350" s="1015">
        <v>1565.09</v>
      </c>
      <c r="E350" s="1015">
        <v>3290.7</v>
      </c>
      <c r="F350" s="1013" t="s">
        <v>401</v>
      </c>
      <c r="G350" s="1013" t="s">
        <v>2561</v>
      </c>
      <c r="H350" s="150"/>
      <c r="I350" s="152"/>
      <c r="J350" s="152"/>
      <c r="K350" s="152"/>
      <c r="L350" s="153" t="str">
        <f t="shared" si="40"/>
        <v>6444</v>
      </c>
      <c r="M350" s="154" t="str">
        <f t="shared" si="41"/>
        <v>FORMATION</v>
      </c>
      <c r="N350" s="155">
        <f>+IF(OR($Q350=Parametres!$G$2,$Q350=Parametres!$G$3),I350,C350)</f>
        <v>1725.61</v>
      </c>
      <c r="O350" s="577">
        <f>+IF(OR($Q350=Parametres!$G$2,$Q350=Parametres!$G$3),J350,D350)</f>
        <v>1565.09</v>
      </c>
      <c r="P350" s="155">
        <f>+IF(OR($Q350=Parametres!$G$2,$Q350=Parametres!$G$3),K350,E350)</f>
        <v>3290.7</v>
      </c>
      <c r="Q350" s="154" t="str">
        <f t="shared" si="42"/>
        <v>7-Dépenses</v>
      </c>
      <c r="R350" s="153" t="str">
        <f t="shared" si="43"/>
        <v>6144</v>
      </c>
      <c r="S350" s="154">
        <f t="shared" si="44"/>
        <v>0</v>
      </c>
      <c r="T350" s="156" t="str">
        <f>+VLOOKUP($L350,Data_Validation!$A:$D,1,0)</f>
        <v>6444</v>
      </c>
      <c r="U350" s="156" t="str">
        <f>+VLOOKUP($L350,Data_Validation!$A:$D,3,0)</f>
        <v>Service</v>
      </c>
      <c r="V350" s="156" t="str">
        <f>+VLOOKUP($L350,Data_Validation!$A:$D,4,0)</f>
        <v>Formation</v>
      </c>
      <c r="W350" s="156" t="str">
        <f>+VLOOKUP($L350,Data_Validation!$A:$E,5,0)</f>
        <v>$</v>
      </c>
      <c r="X350" s="156">
        <f>+VLOOKUP($L350,Data_Validation!$A:$F,6,0)</f>
        <v>0</v>
      </c>
    </row>
    <row r="351" spans="1:24" ht="15" hidden="1" customHeight="1">
      <c r="A351" s="1013" t="s">
        <v>1527</v>
      </c>
      <c r="B351" s="1013" t="s">
        <v>2801</v>
      </c>
      <c r="C351" s="1015">
        <v>24962.89</v>
      </c>
      <c r="D351" s="1015">
        <v>17414.099999999999</v>
      </c>
      <c r="E351" s="1015">
        <v>42376.99</v>
      </c>
      <c r="F351" s="1013" t="s">
        <v>401</v>
      </c>
      <c r="G351" s="1013" t="s">
        <v>2632</v>
      </c>
      <c r="H351" s="150"/>
      <c r="I351" s="157"/>
      <c r="J351" s="157"/>
      <c r="K351" s="157"/>
      <c r="L351" s="153" t="str">
        <f t="shared" si="40"/>
        <v>6445</v>
      </c>
      <c r="M351" s="154" t="str">
        <f t="shared" si="41"/>
        <v>LOCATION COURTOISIE</v>
      </c>
      <c r="N351" s="155">
        <f>+IF(OR($Q351=Parametres!$G$2,$Q351=Parametres!$G$3),I351,C351)</f>
        <v>24962.89</v>
      </c>
      <c r="O351" s="155">
        <f>+IF(OR($Q351=Parametres!$G$2,$Q351=Parametres!$G$3),J351,D351)</f>
        <v>17414.099999999999</v>
      </c>
      <c r="P351" s="155">
        <f>+IF(OR($Q351=Parametres!$G$2,$Q351=Parametres!$G$3),K351,E351)</f>
        <v>42376.99</v>
      </c>
      <c r="Q351" s="154" t="str">
        <f t="shared" si="42"/>
        <v>7-Dépenses</v>
      </c>
      <c r="R351" s="153" t="str">
        <f t="shared" si="43"/>
        <v>6145</v>
      </c>
      <c r="S351" s="154">
        <f t="shared" si="44"/>
        <v>0</v>
      </c>
      <c r="T351" s="156" t="str">
        <f>+VLOOKUP($L351,Data_Validation!$A:$D,1,0)</f>
        <v>6445</v>
      </c>
      <c r="U351" s="156" t="str">
        <f>+VLOOKUP($L351,Data_Validation!$A:$D,3,0)</f>
        <v>Service</v>
      </c>
      <c r="V351" s="156" t="str">
        <f>+VLOOKUP($L351,Data_Validation!$A:$D,4,0)</f>
        <v>Frais véhicules de cie</v>
      </c>
      <c r="W351" s="156" t="str">
        <f>+VLOOKUP($L351,Data_Validation!$A:$E,5,0)</f>
        <v>$</v>
      </c>
      <c r="X351" s="156">
        <f>+VLOOKUP($L351,Data_Validation!$A:$F,6,0)</f>
        <v>0</v>
      </c>
    </row>
    <row r="352" spans="1:24" ht="15.75" hidden="1" customHeight="1">
      <c r="A352" s="1013" t="s">
        <v>1180</v>
      </c>
      <c r="B352" s="1013" t="s">
        <v>2609</v>
      </c>
      <c r="C352" s="1015">
        <v>117.96</v>
      </c>
      <c r="D352" s="1015">
        <v>103.76</v>
      </c>
      <c r="E352" s="1015">
        <v>221.72</v>
      </c>
      <c r="F352" s="1013" t="s">
        <v>401</v>
      </c>
      <c r="G352" s="1013" t="s">
        <v>2581</v>
      </c>
      <c r="H352" s="150"/>
      <c r="I352" s="151"/>
      <c r="J352" s="151"/>
      <c r="K352" s="151"/>
      <c r="L352" s="153" t="str">
        <f t="shared" si="40"/>
        <v>6447</v>
      </c>
      <c r="M352" s="154" t="str">
        <f t="shared" si="41"/>
        <v>FRET/EXPRESS/TRANS. PAR CAMION</v>
      </c>
      <c r="N352" s="155">
        <f>+IF(OR($Q352=Parametres!$G$2,$Q352=Parametres!$G$3),I352,C352)</f>
        <v>117.96</v>
      </c>
      <c r="O352" s="155">
        <f>+IF(OR($Q352=Parametres!$G$2,$Q352=Parametres!$G$3),J352,D352)</f>
        <v>103.76</v>
      </c>
      <c r="P352" s="155">
        <f>+IF(OR($Q352=Parametres!$G$2,$Q352=Parametres!$G$3),K352,E352)</f>
        <v>221.72</v>
      </c>
      <c r="Q352" s="154" t="str">
        <f t="shared" si="42"/>
        <v>7-Dépenses</v>
      </c>
      <c r="R352" s="153" t="str">
        <f t="shared" si="43"/>
        <v>6147</v>
      </c>
      <c r="S352" s="154">
        <f t="shared" si="44"/>
        <v>0</v>
      </c>
      <c r="T352" s="156" t="str">
        <f>+VLOOKUP($L352,Data_Validation!$A:$D,1,0)</f>
        <v>6447</v>
      </c>
      <c r="U352" s="156" t="str">
        <f>+VLOOKUP($L352,Data_Validation!$A:$D,3,0)</f>
        <v>Service</v>
      </c>
      <c r="V352" s="156" t="str">
        <f>+VLOOKUP($L352,Data_Validation!$A:$D,4,0)</f>
        <v>Frais postaux</v>
      </c>
      <c r="W352" s="156" t="str">
        <f>+VLOOKUP($L352,Data_Validation!$A:$E,5,0)</f>
        <v>$</v>
      </c>
      <c r="X352" s="156">
        <f>+VLOOKUP($L352,Data_Validation!$A:$F,6,0)</f>
        <v>0</v>
      </c>
    </row>
    <row r="353" spans="1:24" ht="15" hidden="1" customHeight="1">
      <c r="A353" s="1013" t="s">
        <v>1286</v>
      </c>
      <c r="B353" s="1013" t="s">
        <v>2745</v>
      </c>
      <c r="C353" s="1015">
        <v>7780.62</v>
      </c>
      <c r="D353" s="1015">
        <v>4134.6099999999997</v>
      </c>
      <c r="E353" s="1015">
        <v>11915.23</v>
      </c>
      <c r="F353" s="1013" t="s">
        <v>401</v>
      </c>
      <c r="G353" s="1013" t="s">
        <v>2702</v>
      </c>
      <c r="H353" s="949"/>
      <c r="I353" s="948"/>
      <c r="J353" s="948"/>
      <c r="K353" s="948"/>
      <c r="L353" s="153" t="str">
        <f t="shared" si="40"/>
        <v>6451</v>
      </c>
      <c r="M353" s="154" t="str">
        <f t="shared" si="41"/>
        <v>DEP. DU TRAITEMENT DES DONNEES</v>
      </c>
      <c r="N353" s="155">
        <f>+IF(OR($Q353=Parametres!$G$2,$Q353=Parametres!$G$3),I353,C353)</f>
        <v>7780.62</v>
      </c>
      <c r="O353" s="155">
        <f>+IF(OR($Q353=Parametres!$G$2,$Q353=Parametres!$G$3),J353,D353)</f>
        <v>4134.6099999999997</v>
      </c>
      <c r="P353" s="155">
        <f>+IF(OR($Q353=Parametres!$G$2,$Q353=Parametres!$G$3),K353,E353)</f>
        <v>11915.23</v>
      </c>
      <c r="Q353" s="154" t="str">
        <f t="shared" si="42"/>
        <v>7-Dépenses</v>
      </c>
      <c r="R353" s="153" t="str">
        <f t="shared" si="43"/>
        <v>6151</v>
      </c>
      <c r="S353" s="154">
        <f t="shared" si="44"/>
        <v>0</v>
      </c>
      <c r="T353" s="156" t="str">
        <f>+VLOOKUP($L353,Data_Validation!$A:$D,1,0)</f>
        <v>6451</v>
      </c>
      <c r="U353" s="156" t="str">
        <f>+VLOOKUP($L353,Data_Validation!$A:$D,3,0)</f>
        <v>Service</v>
      </c>
      <c r="V353" s="156" t="str">
        <f>+VLOOKUP($L353,Data_Validation!$A:$D,4,0)</f>
        <v>Informatique</v>
      </c>
      <c r="W353" s="156" t="str">
        <f>+VLOOKUP($L353,Data_Validation!$A:$E,5,0)</f>
        <v>$</v>
      </c>
      <c r="X353" s="156">
        <f>+VLOOKUP($L353,Data_Validation!$A:$F,6,0)</f>
        <v>0</v>
      </c>
    </row>
    <row r="354" spans="1:24" ht="15" hidden="1" customHeight="1">
      <c r="A354" s="1013" t="s">
        <v>1206</v>
      </c>
      <c r="B354" s="1013" t="s">
        <v>2644</v>
      </c>
      <c r="C354" s="1015">
        <v>567.85</v>
      </c>
      <c r="D354" s="1015">
        <v>289.43</v>
      </c>
      <c r="E354" s="1015">
        <v>857.28</v>
      </c>
      <c r="F354" s="1013" t="s">
        <v>401</v>
      </c>
      <c r="G354" s="1013" t="s">
        <v>2588</v>
      </c>
      <c r="H354" s="150"/>
      <c r="I354" s="157"/>
      <c r="J354" s="157"/>
      <c r="K354" s="157"/>
      <c r="L354" s="153" t="str">
        <f t="shared" si="40"/>
        <v>6452</v>
      </c>
      <c r="M354" s="154" t="str">
        <f t="shared" si="41"/>
        <v>PAPETERIE</v>
      </c>
      <c r="N354" s="155">
        <f>+IF(OR($Q354=Parametres!$G$2,$Q354=Parametres!$G$3),I354,C354)</f>
        <v>567.85</v>
      </c>
      <c r="O354" s="155">
        <f>+IF(OR($Q354=Parametres!$G$2,$Q354=Parametres!$G$3),J354,D354)</f>
        <v>289.43</v>
      </c>
      <c r="P354" s="155">
        <f>+IF(OR($Q354=Parametres!$G$2,$Q354=Parametres!$G$3),K354,E354)</f>
        <v>857.28</v>
      </c>
      <c r="Q354" s="154" t="str">
        <f t="shared" si="42"/>
        <v>7-Dépenses</v>
      </c>
      <c r="R354" s="153" t="str">
        <f t="shared" si="43"/>
        <v>6152</v>
      </c>
      <c r="S354" s="154">
        <f t="shared" si="44"/>
        <v>0</v>
      </c>
      <c r="T354" s="156" t="str">
        <f>+VLOOKUP($L354,Data_Validation!$A:$D,1,0)</f>
        <v>6452</v>
      </c>
      <c r="U354" s="156" t="str">
        <f>+VLOOKUP($L354,Data_Validation!$A:$D,3,0)</f>
        <v>Service</v>
      </c>
      <c r="V354" s="156" t="str">
        <f>+VLOOKUP($L354,Data_Validation!$A:$D,4,0)</f>
        <v>Papeterie</v>
      </c>
      <c r="W354" s="156" t="str">
        <f>+VLOOKUP($L354,Data_Validation!$A:$E,5,0)</f>
        <v>$</v>
      </c>
      <c r="X354" s="156">
        <f>+VLOOKUP($L354,Data_Validation!$A:$F,6,0)</f>
        <v>0</v>
      </c>
    </row>
    <row r="355" spans="1:24" ht="15" hidden="1" customHeight="1">
      <c r="A355" s="1013" t="s">
        <v>1154</v>
      </c>
      <c r="B355" s="1013" t="s">
        <v>2645</v>
      </c>
      <c r="C355" s="1015">
        <v>721.36</v>
      </c>
      <c r="D355" s="1015">
        <v>250.47</v>
      </c>
      <c r="E355" s="1015">
        <v>971.83</v>
      </c>
      <c r="F355" s="1013" t="s">
        <v>401</v>
      </c>
      <c r="G355" s="1013" t="s">
        <v>2592</v>
      </c>
      <c r="H355" s="150"/>
      <c r="I355" s="157"/>
      <c r="J355" s="157"/>
      <c r="K355" s="157"/>
      <c r="L355" s="153" t="str">
        <f t="shared" si="40"/>
        <v>6453</v>
      </c>
      <c r="M355" s="154" t="str">
        <f t="shared" si="41"/>
        <v>TELEPHONE ET TELEX</v>
      </c>
      <c r="N355" s="155">
        <f>+IF(OR($Q355=Parametres!$G$2,$Q355=Parametres!$G$3),I355,C355)</f>
        <v>721.36</v>
      </c>
      <c r="O355" s="575">
        <f>+IF(OR($Q355=Parametres!$G$2,$Q355=Parametres!$G$3),J355,D355)</f>
        <v>250.47</v>
      </c>
      <c r="P355" s="155">
        <f>+IF(OR($Q355=Parametres!$G$2,$Q355=Parametres!$G$3),K355,E355)</f>
        <v>971.83</v>
      </c>
      <c r="Q355" s="154" t="str">
        <f t="shared" si="42"/>
        <v>7-Dépenses</v>
      </c>
      <c r="R355" s="153" t="str">
        <f t="shared" si="43"/>
        <v>6153</v>
      </c>
      <c r="S355" s="154">
        <f t="shared" si="44"/>
        <v>0</v>
      </c>
      <c r="T355" s="156" t="str">
        <f>+VLOOKUP($L355,Data_Validation!$A:$D,1,0)</f>
        <v>6453</v>
      </c>
      <c r="U355" s="156" t="str">
        <f>+VLOOKUP($L355,Data_Validation!$A:$D,3,0)</f>
        <v>Service</v>
      </c>
      <c r="V355" s="156" t="str">
        <f>+VLOOKUP($L355,Data_Validation!$A:$D,4,0)</f>
        <v>Téléphone</v>
      </c>
      <c r="W355" s="156" t="str">
        <f>+VLOOKUP($L355,Data_Validation!$A:$E,5,0)</f>
        <v>$</v>
      </c>
      <c r="X355" s="156">
        <f>+VLOOKUP($L355,Data_Validation!$A:$F,6,0)</f>
        <v>0</v>
      </c>
    </row>
    <row r="356" spans="1:24" ht="15" hidden="1" customHeight="1">
      <c r="A356" s="1013" t="s">
        <v>1237</v>
      </c>
      <c r="B356" s="1013" t="s">
        <v>2700</v>
      </c>
      <c r="C356" s="1015">
        <v>478.81</v>
      </c>
      <c r="D356" s="1015">
        <v>1428.94</v>
      </c>
      <c r="E356" s="1015">
        <v>1907.75</v>
      </c>
      <c r="F356" s="1013" t="s">
        <v>401</v>
      </c>
      <c r="G356" s="1013" t="s">
        <v>2637</v>
      </c>
      <c r="H356" s="949"/>
      <c r="I356" s="948"/>
      <c r="J356" s="948"/>
      <c r="K356" s="948"/>
      <c r="L356" s="153" t="str">
        <f t="shared" si="40"/>
        <v>6455</v>
      </c>
      <c r="M356" s="154" t="str">
        <f t="shared" si="41"/>
        <v>DEPENSES DIVERS</v>
      </c>
      <c r="N356" s="155">
        <f>+IF(OR($Q356=Parametres!$G$2,$Q356=Parametres!$G$3),I356,C356)</f>
        <v>478.81</v>
      </c>
      <c r="O356" s="155">
        <f>+IF(OR($Q356=Parametres!$G$2,$Q356=Parametres!$G$3),J356,D356)</f>
        <v>1428.94</v>
      </c>
      <c r="P356" s="155">
        <f>+IF(OR($Q356=Parametres!$G$2,$Q356=Parametres!$G$3),K356,E356)</f>
        <v>1907.75</v>
      </c>
      <c r="Q356" s="154" t="str">
        <f t="shared" si="42"/>
        <v>7-Dépenses</v>
      </c>
      <c r="R356" s="153" t="str">
        <f t="shared" si="43"/>
        <v>6155</v>
      </c>
      <c r="S356" s="154">
        <f t="shared" si="44"/>
        <v>0</v>
      </c>
      <c r="T356" s="156" t="str">
        <f>+VLOOKUP($L356,Data_Validation!$A:$D,1,0)</f>
        <v>6455</v>
      </c>
      <c r="U356" s="156" t="str">
        <f>+VLOOKUP($L356,Data_Validation!$A:$D,3,0)</f>
        <v>Service</v>
      </c>
      <c r="V356" s="156" t="str">
        <f>+VLOOKUP($L356,Data_Validation!$A:$D,4,0)</f>
        <v>Divers</v>
      </c>
      <c r="W356" s="156" t="str">
        <f>+VLOOKUP($L356,Data_Validation!$A:$E,5,0)</f>
        <v>$</v>
      </c>
      <c r="X356" s="156">
        <f>+VLOOKUP($L356,Data_Validation!$A:$F,6,0)</f>
        <v>0</v>
      </c>
    </row>
    <row r="357" spans="1:24" ht="15" hidden="1" customHeight="1">
      <c r="A357" s="1013" t="s">
        <v>1292</v>
      </c>
      <c r="B357" s="1013" t="s">
        <v>2656</v>
      </c>
      <c r="C357" s="1015">
        <v>101.06</v>
      </c>
      <c r="D357" s="1015">
        <v>440.54</v>
      </c>
      <c r="E357" s="1015">
        <v>541.6</v>
      </c>
      <c r="F357" s="1013" t="s">
        <v>401</v>
      </c>
      <c r="G357" s="1013" t="s">
        <v>2470</v>
      </c>
      <c r="H357" s="150"/>
      <c r="I357" s="151"/>
      <c r="J357" s="151"/>
      <c r="K357" s="151"/>
      <c r="L357" s="153" t="str">
        <f t="shared" si="40"/>
        <v>6456</v>
      </c>
      <c r="M357" s="154" t="str">
        <f t="shared" si="41"/>
        <v>FRAIS REPRESENTATION - SERVICE</v>
      </c>
      <c r="N357" s="155">
        <f>+IF(OR($Q357=Parametres!$G$2,$Q357=Parametres!$G$3),I357,C357)</f>
        <v>101.06</v>
      </c>
      <c r="O357" s="155">
        <f>+IF(OR($Q357=Parametres!$G$2,$Q357=Parametres!$G$3),J357,D357)</f>
        <v>440.54</v>
      </c>
      <c r="P357" s="155">
        <f>+IF(OR($Q357=Parametres!$G$2,$Q357=Parametres!$G$3),K357,E357)</f>
        <v>541.6</v>
      </c>
      <c r="Q357" s="154" t="str">
        <f t="shared" si="42"/>
        <v>7-Dépenses</v>
      </c>
      <c r="R357" s="153" t="str">
        <f t="shared" si="43"/>
        <v>6156</v>
      </c>
      <c r="S357" s="154">
        <f t="shared" si="44"/>
        <v>0</v>
      </c>
      <c r="T357" s="156" t="str">
        <f>+VLOOKUP($L357,Data_Validation!$A:$D,1,0)</f>
        <v>6456</v>
      </c>
      <c r="U357" s="156" t="str">
        <f>+VLOOKUP($L357,Data_Validation!$A:$D,3,0)</f>
        <v>Service</v>
      </c>
      <c r="V357" s="156" t="str">
        <f>+VLOOKUP($L357,Data_Validation!$A:$D,4,0)</f>
        <v>Frais de déplacement</v>
      </c>
      <c r="W357" s="156" t="str">
        <f>+VLOOKUP($L357,Data_Validation!$A:$E,5,0)</f>
        <v>$</v>
      </c>
      <c r="X357" s="156">
        <f>+VLOOKUP($L357,Data_Validation!$A:$F,6,0)</f>
        <v>0</v>
      </c>
    </row>
    <row r="358" spans="1:24" ht="15.75" hidden="1" customHeight="1">
      <c r="A358" s="1013" t="s">
        <v>1308</v>
      </c>
      <c r="B358" s="1013" t="s">
        <v>2736</v>
      </c>
      <c r="C358" s="1015">
        <v>3357.9</v>
      </c>
      <c r="D358" s="1015">
        <v>1704.31</v>
      </c>
      <c r="E358" s="1015">
        <v>5062.21</v>
      </c>
      <c r="F358" s="1013" t="s">
        <v>401</v>
      </c>
      <c r="G358" s="1013" t="s">
        <v>2662</v>
      </c>
      <c r="H358" s="150"/>
      <c r="I358" s="151"/>
      <c r="J358" s="151"/>
      <c r="K358" s="151"/>
      <c r="L358" s="153" t="str">
        <f t="shared" si="40"/>
        <v>6459</v>
      </c>
      <c r="M358" s="154" t="str">
        <f t="shared" si="41"/>
        <v>SERVICE EXTERIEUR</v>
      </c>
      <c r="N358" s="155">
        <f>+IF(OR($Q358=Parametres!$G$2,$Q358=Parametres!$G$3),I358,C358)</f>
        <v>3357.9</v>
      </c>
      <c r="O358" s="155">
        <f>+IF(OR($Q358=Parametres!$G$2,$Q358=Parametres!$G$3),J358,D358)</f>
        <v>1704.31</v>
      </c>
      <c r="P358" s="155">
        <f>+IF(OR($Q358=Parametres!$G$2,$Q358=Parametres!$G$3),K358,E358)</f>
        <v>5062.21</v>
      </c>
      <c r="Q358" s="154" t="str">
        <f t="shared" si="42"/>
        <v>7-Dépenses</v>
      </c>
      <c r="R358" s="153" t="str">
        <f t="shared" si="43"/>
        <v>6159</v>
      </c>
      <c r="S358" s="154">
        <f t="shared" si="44"/>
        <v>0</v>
      </c>
      <c r="T358" s="156" t="str">
        <f>+VLOOKUP($L358,Data_Validation!$A:$D,1,0)</f>
        <v>6459</v>
      </c>
      <c r="U358" s="156" t="str">
        <f>+VLOOKUP($L358,Data_Validation!$A:$D,3,0)</f>
        <v>Service</v>
      </c>
      <c r="V358" s="156" t="str">
        <f>+VLOOKUP($L358,Data_Validation!$A:$D,4,0)</f>
        <v>Services extérieurs</v>
      </c>
      <c r="W358" s="156" t="str">
        <f>+VLOOKUP($L358,Data_Validation!$A:$E,5,0)</f>
        <v>$</v>
      </c>
      <c r="X358" s="156">
        <f>+VLOOKUP($L358,Data_Validation!$A:$F,6,0)</f>
        <v>0</v>
      </c>
    </row>
    <row r="359" spans="1:24" ht="15" hidden="1" customHeight="1">
      <c r="A359" s="1013" t="s">
        <v>1333</v>
      </c>
      <c r="B359" s="1013" t="s">
        <v>2716</v>
      </c>
      <c r="C359" s="1015">
        <v>4400.16</v>
      </c>
      <c r="D359" s="1015">
        <v>2200.08</v>
      </c>
      <c r="E359" s="1015">
        <v>6600.24</v>
      </c>
      <c r="F359" s="1013" t="s">
        <v>401</v>
      </c>
      <c r="G359" s="1013" t="s">
        <v>2653</v>
      </c>
      <c r="H359" s="150"/>
      <c r="I359" s="151"/>
      <c r="J359" s="151"/>
      <c r="K359" s="151"/>
      <c r="L359" s="153" t="str">
        <f t="shared" si="40"/>
        <v>6461</v>
      </c>
      <c r="M359" s="154" t="str">
        <f t="shared" si="41"/>
        <v>DEPRECIATION EQUIP. &amp; FIXTURES</v>
      </c>
      <c r="N359" s="155">
        <f>+IF(OR($Q359=Parametres!$G$2,$Q359=Parametres!$G$3),I359,C359)</f>
        <v>4400.16</v>
      </c>
      <c r="O359" s="155">
        <f>+IF(OR($Q359=Parametres!$G$2,$Q359=Parametres!$G$3),J359,D359)</f>
        <v>2200.08</v>
      </c>
      <c r="P359" s="155">
        <f>+IF(OR($Q359=Parametres!$G$2,$Q359=Parametres!$G$3),K359,E359)</f>
        <v>6600.24</v>
      </c>
      <c r="Q359" s="154" t="str">
        <f t="shared" si="42"/>
        <v>7-Dépenses</v>
      </c>
      <c r="R359" s="153" t="str">
        <f t="shared" si="43"/>
        <v>6161</v>
      </c>
      <c r="S359" s="154">
        <f t="shared" si="44"/>
        <v>0</v>
      </c>
      <c r="T359" s="156" t="str">
        <f>+VLOOKUP($L359,Data_Validation!$A:$D,1,0)</f>
        <v>6461</v>
      </c>
      <c r="U359" s="156" t="str">
        <f>+VLOOKUP($L359,Data_Validation!$A:$D,3,0)</f>
        <v>Service</v>
      </c>
      <c r="V359" s="156" t="str">
        <f>+VLOOKUP($L359,Data_Validation!$A:$D,4,0)</f>
        <v>Amortissement</v>
      </c>
      <c r="W359" s="156" t="str">
        <f>+VLOOKUP($L359,Data_Validation!$A:$E,5,0)</f>
        <v>$</v>
      </c>
      <c r="X359" s="156">
        <f>+VLOOKUP($L359,Data_Validation!$A:$F,6,0)</f>
        <v>0</v>
      </c>
    </row>
    <row r="360" spans="1:24" ht="15" hidden="1" customHeight="1">
      <c r="A360" s="1013" t="s">
        <v>1168</v>
      </c>
      <c r="B360" s="1013" t="s">
        <v>2638</v>
      </c>
      <c r="C360" s="1015">
        <v>2275.67</v>
      </c>
      <c r="D360" s="1015">
        <v>756.45</v>
      </c>
      <c r="E360" s="1015">
        <v>3032.12</v>
      </c>
      <c r="F360" s="1013" t="s">
        <v>401</v>
      </c>
      <c r="G360" s="1013" t="s">
        <v>2639</v>
      </c>
      <c r="H360" s="150"/>
      <c r="I360" s="157"/>
      <c r="J360" s="157"/>
      <c r="K360" s="157"/>
      <c r="L360" s="153" t="str">
        <f t="shared" si="40"/>
        <v>6463</v>
      </c>
      <c r="M360" s="154" t="str">
        <f t="shared" si="41"/>
        <v>REPARATION &amp; ENT. - EQUIP.</v>
      </c>
      <c r="N360" s="155">
        <f>+IF(OR($Q360=Parametres!$G$2,$Q360=Parametres!$G$3),I360,C360)</f>
        <v>2275.67</v>
      </c>
      <c r="O360" s="155">
        <f>+IF(OR($Q360=Parametres!$G$2,$Q360=Parametres!$G$3),J360,D360)</f>
        <v>756.45</v>
      </c>
      <c r="P360" s="155">
        <f>+IF(OR($Q360=Parametres!$G$2,$Q360=Parametres!$G$3),K360,E360)</f>
        <v>3032.12</v>
      </c>
      <c r="Q360" s="154" t="str">
        <f t="shared" si="42"/>
        <v>7-Dépenses</v>
      </c>
      <c r="R360" s="153" t="str">
        <f t="shared" si="43"/>
        <v>6163</v>
      </c>
      <c r="S360" s="154">
        <f t="shared" si="44"/>
        <v>0</v>
      </c>
      <c r="T360" s="156" t="str">
        <f>+VLOOKUP($L360,Data_Validation!$A:$D,1,0)</f>
        <v>6463</v>
      </c>
      <c r="U360" s="156" t="str">
        <f>+VLOOKUP($L360,Data_Validation!$A:$D,3,0)</f>
        <v>Service</v>
      </c>
      <c r="V360" s="156" t="str">
        <f>+VLOOKUP($L360,Data_Validation!$A:$D,4,0)</f>
        <v>Réparation équipement</v>
      </c>
      <c r="W360" s="156" t="str">
        <f>+VLOOKUP($L360,Data_Validation!$A:$E,5,0)</f>
        <v>$</v>
      </c>
      <c r="X360" s="156">
        <f>+VLOOKUP($L360,Data_Validation!$A:$F,6,0)</f>
        <v>0</v>
      </c>
    </row>
    <row r="361" spans="1:24" ht="15" hidden="1" customHeight="1">
      <c r="A361" s="1013" t="s">
        <v>1311</v>
      </c>
      <c r="B361" s="1013" t="s">
        <v>2670</v>
      </c>
      <c r="C361" s="1015">
        <v>1317.23</v>
      </c>
      <c r="D361" s="1015">
        <v>914.37</v>
      </c>
      <c r="E361" s="1015">
        <v>2231.6</v>
      </c>
      <c r="F361" s="1013" t="s">
        <v>401</v>
      </c>
      <c r="G361" s="1013" t="s">
        <v>2604</v>
      </c>
      <c r="H361" s="150"/>
      <c r="I361" s="151"/>
      <c r="J361" s="151"/>
      <c r="K361" s="151"/>
      <c r="L361" s="153" t="str">
        <f t="shared" si="40"/>
        <v>6481</v>
      </c>
      <c r="M361" s="154" t="str">
        <f t="shared" si="41"/>
        <v>CHAUFFAGE,ELECTRICITE,EAU-SERVICE</v>
      </c>
      <c r="N361" s="155">
        <f>+IF(OR($Q361=Parametres!$G$2,$Q361=Parametres!$G$3),I361,C361)</f>
        <v>1317.23</v>
      </c>
      <c r="O361" s="155">
        <f>+IF(OR($Q361=Parametres!$G$2,$Q361=Parametres!$G$3),J361,D361)</f>
        <v>914.37</v>
      </c>
      <c r="P361" s="155">
        <f>+IF(OR($Q361=Parametres!$G$2,$Q361=Parametres!$G$3),K361,E361)</f>
        <v>2231.6</v>
      </c>
      <c r="Q361" s="154" t="str">
        <f t="shared" si="42"/>
        <v>7-Dépenses</v>
      </c>
      <c r="R361" s="153" t="str">
        <f t="shared" si="43"/>
        <v>6181</v>
      </c>
      <c r="S361" s="154">
        <f t="shared" si="44"/>
        <v>0</v>
      </c>
      <c r="T361" s="156" t="str">
        <f>+VLOOKUP($L361,Data_Validation!$A:$D,1,0)</f>
        <v>6481</v>
      </c>
      <c r="U361" s="156" t="str">
        <f>+VLOOKUP($L361,Data_Validation!$A:$D,3,0)</f>
        <v>Service</v>
      </c>
      <c r="V361" s="156" t="str">
        <f>+VLOOKUP($L361,Data_Validation!$A:$D,4,0)</f>
        <v>Chauffage, éclairage</v>
      </c>
      <c r="W361" s="156" t="str">
        <f>+VLOOKUP($L361,Data_Validation!$A:$E,5,0)</f>
        <v>$</v>
      </c>
      <c r="X361" s="156">
        <f>+VLOOKUP($L361,Data_Validation!$A:$F,6,0)</f>
        <v>0</v>
      </c>
    </row>
    <row r="362" spans="1:24" ht="15.75" hidden="1" customHeight="1">
      <c r="A362" s="1013" t="s">
        <v>1452</v>
      </c>
      <c r="B362" s="1013" t="s">
        <v>2756</v>
      </c>
      <c r="C362" s="1015">
        <v>12480</v>
      </c>
      <c r="D362" s="1015">
        <v>6240</v>
      </c>
      <c r="E362" s="1015">
        <v>18720</v>
      </c>
      <c r="F362" s="1013" t="s">
        <v>401</v>
      </c>
      <c r="G362" s="1013" t="s">
        <v>2709</v>
      </c>
      <c r="H362" s="150"/>
      <c r="I362" s="151"/>
      <c r="J362" s="151"/>
      <c r="K362" s="151"/>
      <c r="L362" s="153" t="str">
        <f t="shared" si="40"/>
        <v>6482</v>
      </c>
      <c r="M362" s="154" t="str">
        <f t="shared" si="41"/>
        <v>LOYER - SERVICE</v>
      </c>
      <c r="N362" s="155">
        <f>+IF(OR($Q362=Parametres!$G$2,$Q362=Parametres!$G$3),I362,C362)</f>
        <v>12480</v>
      </c>
      <c r="O362" s="155">
        <f>+IF(OR($Q362=Parametres!$G$2,$Q362=Parametres!$G$3),J362,D362)</f>
        <v>6240</v>
      </c>
      <c r="P362" s="155">
        <f>+IF(OR($Q362=Parametres!$G$2,$Q362=Parametres!$G$3),K362,E362)</f>
        <v>18720</v>
      </c>
      <c r="Q362" s="154" t="str">
        <f t="shared" si="42"/>
        <v>7-Dépenses</v>
      </c>
      <c r="R362" s="153" t="str">
        <f t="shared" si="43"/>
        <v>6182</v>
      </c>
      <c r="S362" s="154">
        <f t="shared" si="44"/>
        <v>0</v>
      </c>
      <c r="T362" s="156" t="str">
        <f>+VLOOKUP($L362,Data_Validation!$A:$D,1,0)</f>
        <v>6482</v>
      </c>
      <c r="U362" s="156" t="str">
        <f>+VLOOKUP($L362,Data_Validation!$A:$D,3,0)</f>
        <v>Service</v>
      </c>
      <c r="V362" s="156" t="str">
        <f>+VLOOKUP($L362,Data_Validation!$A:$D,4,0)</f>
        <v>Loyer</v>
      </c>
      <c r="W362" s="156" t="str">
        <f>+VLOOKUP($L362,Data_Validation!$A:$E,5,0)</f>
        <v>$</v>
      </c>
      <c r="X362" s="156">
        <f>+VLOOKUP($L362,Data_Validation!$A:$F,6,0)</f>
        <v>0</v>
      </c>
    </row>
    <row r="363" spans="1:24" ht="15.75" hidden="1" customHeight="1">
      <c r="A363" s="1013" t="s">
        <v>1347</v>
      </c>
      <c r="B363" s="1013" t="s">
        <v>2657</v>
      </c>
      <c r="C363" s="1015">
        <v>1779.9</v>
      </c>
      <c r="D363" s="1015">
        <v>889.95</v>
      </c>
      <c r="E363" s="1015">
        <v>2669.85</v>
      </c>
      <c r="F363" s="1013" t="s">
        <v>401</v>
      </c>
      <c r="G363" s="1013" t="s">
        <v>2594</v>
      </c>
      <c r="H363" s="150"/>
      <c r="I363" s="151"/>
      <c r="J363" s="151"/>
      <c r="K363" s="151"/>
      <c r="L363" s="153" t="str">
        <f t="shared" si="40"/>
        <v>6486</v>
      </c>
      <c r="M363" s="154" t="str">
        <f t="shared" si="41"/>
        <v>ASSURANCE BATISSE &amp; AMEL.-SERVICE</v>
      </c>
      <c r="N363" s="155">
        <f>+IF(OR($Q363=Parametres!$G$2,$Q363=Parametres!$G$3),I363,C363)</f>
        <v>1779.9</v>
      </c>
      <c r="O363" s="155">
        <f>+IF(OR($Q363=Parametres!$G$2,$Q363=Parametres!$G$3),J363,D363)</f>
        <v>889.95</v>
      </c>
      <c r="P363" s="155">
        <f>+IF(OR($Q363=Parametres!$G$2,$Q363=Parametres!$G$3),K363,E363)</f>
        <v>2669.85</v>
      </c>
      <c r="Q363" s="154" t="str">
        <f t="shared" si="42"/>
        <v>7-Dépenses</v>
      </c>
      <c r="R363" s="153" t="str">
        <f t="shared" si="43"/>
        <v>6186</v>
      </c>
      <c r="S363" s="154">
        <f t="shared" si="44"/>
        <v>0</v>
      </c>
      <c r="T363" s="156" t="str">
        <f>+VLOOKUP($L363,Data_Validation!$A:$D,1,0)</f>
        <v>6486</v>
      </c>
      <c r="U363" s="156" t="str">
        <f>+VLOOKUP($L363,Data_Validation!$A:$D,3,0)</f>
        <v>Service</v>
      </c>
      <c r="V363" s="156" t="str">
        <f>+VLOOKUP($L363,Data_Validation!$A:$D,4,0)</f>
        <v>Assurances</v>
      </c>
      <c r="W363" s="156" t="str">
        <f>+VLOOKUP($L363,Data_Validation!$A:$E,5,0)</f>
        <v>$</v>
      </c>
      <c r="X363" s="156">
        <f>+VLOOKUP($L363,Data_Validation!$A:$F,6,0)</f>
        <v>0</v>
      </c>
    </row>
    <row r="364" spans="1:24" ht="15" hidden="1" customHeight="1">
      <c r="A364" s="1013" t="s">
        <v>1340</v>
      </c>
      <c r="B364" s="1013" t="s">
        <v>2681</v>
      </c>
      <c r="C364" s="1015">
        <v>2308.8000000000002</v>
      </c>
      <c r="D364" s="1015">
        <v>1154.4000000000001</v>
      </c>
      <c r="E364" s="1015">
        <v>3463.2</v>
      </c>
      <c r="F364" s="1013" t="s">
        <v>401</v>
      </c>
      <c r="G364" s="1013" t="s">
        <v>2614</v>
      </c>
      <c r="H364" s="150"/>
      <c r="I364" s="151"/>
      <c r="J364" s="151"/>
      <c r="K364" s="151"/>
      <c r="L364" s="153" t="str">
        <f t="shared" si="40"/>
        <v>6487</v>
      </c>
      <c r="M364" s="154" t="str">
        <f t="shared" si="41"/>
        <v>TAXES FONCIERES - SERVICE</v>
      </c>
      <c r="N364" s="155">
        <f>+IF(OR($Q364=Parametres!$G$2,$Q364=Parametres!$G$3),I364,C364)</f>
        <v>2308.8000000000002</v>
      </c>
      <c r="O364" s="155">
        <f>+IF(OR($Q364=Parametres!$G$2,$Q364=Parametres!$G$3),J364,D364)</f>
        <v>1154.4000000000001</v>
      </c>
      <c r="P364" s="155">
        <f>+IF(OR($Q364=Parametres!$G$2,$Q364=Parametres!$G$3),K364,E364)</f>
        <v>3463.2</v>
      </c>
      <c r="Q364" s="154" t="str">
        <f t="shared" si="42"/>
        <v>7-Dépenses</v>
      </c>
      <c r="R364" s="153" t="str">
        <f t="shared" si="43"/>
        <v>6187</v>
      </c>
      <c r="S364" s="154">
        <f t="shared" si="44"/>
        <v>0</v>
      </c>
      <c r="T364" s="156" t="str">
        <f>+VLOOKUP($L364,Data_Validation!$A:$D,1,0)</f>
        <v>6487</v>
      </c>
      <c r="U364" s="156" t="str">
        <f>+VLOOKUP($L364,Data_Validation!$A:$D,3,0)</f>
        <v>Service</v>
      </c>
      <c r="V364" s="156" t="str">
        <f>+VLOOKUP($L364,Data_Validation!$A:$D,4,0)</f>
        <v>Taxes foncières</v>
      </c>
      <c r="W364" s="156" t="str">
        <f>+VLOOKUP($L364,Data_Validation!$A:$E,5,0)</f>
        <v>$</v>
      </c>
      <c r="X364" s="156">
        <f>+VLOOKUP($L364,Data_Validation!$A:$F,6,0)</f>
        <v>0</v>
      </c>
    </row>
    <row r="365" spans="1:24" ht="15" hidden="1" customHeight="1">
      <c r="A365" s="1013" t="s">
        <v>1274</v>
      </c>
      <c r="B365" s="1013" t="s">
        <v>2663</v>
      </c>
      <c r="C365" s="1015">
        <v>1536</v>
      </c>
      <c r="D365" s="1015">
        <v>768</v>
      </c>
      <c r="E365" s="1015">
        <v>2304</v>
      </c>
      <c r="F365" s="1013" t="s">
        <v>401</v>
      </c>
      <c r="G365" s="1013" t="s">
        <v>2597</v>
      </c>
      <c r="H365" s="949"/>
      <c r="I365" s="948"/>
      <c r="J365" s="948"/>
      <c r="K365" s="948"/>
      <c r="L365" s="153" t="str">
        <f t="shared" si="40"/>
        <v>6493</v>
      </c>
      <c r="M365" s="154" t="str">
        <f t="shared" si="41"/>
        <v>AUTRE TAXES-SERVICE</v>
      </c>
      <c r="N365" s="155">
        <f>+IF(OR($Q365=Parametres!$G$2,$Q365=Parametres!$G$3),I365,C365)</f>
        <v>1536</v>
      </c>
      <c r="O365" s="155">
        <f>+IF(OR($Q365=Parametres!$G$2,$Q365=Parametres!$G$3),J365,D365)</f>
        <v>768</v>
      </c>
      <c r="P365" s="155">
        <f>+IF(OR($Q365=Parametres!$G$2,$Q365=Parametres!$G$3),K365,E365)</f>
        <v>2304</v>
      </c>
      <c r="Q365" s="154" t="str">
        <f t="shared" si="42"/>
        <v>7-Dépenses</v>
      </c>
      <c r="R365" s="153" t="str">
        <f t="shared" si="43"/>
        <v>6193</v>
      </c>
      <c r="S365" s="154">
        <f t="shared" si="44"/>
        <v>0</v>
      </c>
      <c r="T365" s="156" t="str">
        <f>+VLOOKUP($L365,Data_Validation!$A:$D,1,0)</f>
        <v>6493</v>
      </c>
      <c r="U365" s="156" t="str">
        <f>+VLOOKUP($L365,Data_Validation!$A:$D,3,0)</f>
        <v>Service</v>
      </c>
      <c r="V365" s="156" t="str">
        <f>+VLOOKUP($L365,Data_Validation!$A:$D,4,0)</f>
        <v>Taxes d`affaires</v>
      </c>
      <c r="W365" s="156" t="str">
        <f>+VLOOKUP($L365,Data_Validation!$A:$E,5,0)</f>
        <v>$</v>
      </c>
      <c r="X365" s="156">
        <f>+VLOOKUP($L365,Data_Validation!$A:$F,6,0)</f>
        <v>0</v>
      </c>
    </row>
    <row r="366" spans="1:24" ht="15" hidden="1" customHeight="1">
      <c r="A366" s="1013" t="s">
        <v>1367</v>
      </c>
      <c r="B366" s="1013" t="s">
        <v>2699</v>
      </c>
      <c r="C366" s="1015">
        <v>2984.2</v>
      </c>
      <c r="D366" s="1015">
        <v>1492.1</v>
      </c>
      <c r="E366" s="1015">
        <v>4476.3</v>
      </c>
      <c r="F366" s="1013" t="s">
        <v>401</v>
      </c>
      <c r="G366" s="1013" t="s">
        <v>2635</v>
      </c>
      <c r="H366" s="949"/>
      <c r="I366" s="949"/>
      <c r="J366" s="949"/>
      <c r="K366" s="949"/>
      <c r="L366" s="153" t="str">
        <f t="shared" si="40"/>
        <v>6494</v>
      </c>
      <c r="M366" s="154" t="str">
        <f t="shared" si="41"/>
        <v>FRAIS PROFESSIONNEL-SERVICE</v>
      </c>
      <c r="N366" s="155">
        <f>+IF(OR($Q366=Parametres!$G$2,$Q366=Parametres!$G$3),I366,C366)</f>
        <v>2984.2</v>
      </c>
      <c r="O366" s="575">
        <f>+IF(OR($Q366=Parametres!$G$2,$Q366=Parametres!$G$3),J366,D366)</f>
        <v>1492.1</v>
      </c>
      <c r="P366" s="155">
        <f>+IF(OR($Q366=Parametres!$G$2,$Q366=Parametres!$G$3),K366,E366)</f>
        <v>4476.3</v>
      </c>
      <c r="Q366" s="154" t="str">
        <f t="shared" si="42"/>
        <v>7-Dépenses</v>
      </c>
      <c r="R366" s="153" t="str">
        <f t="shared" si="43"/>
        <v>6194</v>
      </c>
      <c r="S366" s="154">
        <f t="shared" si="44"/>
        <v>0</v>
      </c>
      <c r="T366" s="156" t="str">
        <f>+VLOOKUP($L366,Data_Validation!$A:$D,1,0)</f>
        <v>6494</v>
      </c>
      <c r="U366" s="156" t="str">
        <f>+VLOOKUP($L366,Data_Validation!$A:$D,3,0)</f>
        <v>Service</v>
      </c>
      <c r="V366" s="156" t="str">
        <f>+VLOOKUP($L366,Data_Validation!$A:$D,4,0)</f>
        <v>Honoraires</v>
      </c>
      <c r="W366" s="156" t="str">
        <f>+VLOOKUP($L366,Data_Validation!$A:$E,5,0)</f>
        <v>$</v>
      </c>
      <c r="X366" s="156">
        <f>+VLOOKUP($L366,Data_Validation!$A:$F,6,0)</f>
        <v>0</v>
      </c>
    </row>
    <row r="367" spans="1:24" ht="15" customHeight="1">
      <c r="A367" s="1013" t="s">
        <v>399</v>
      </c>
      <c r="B367" s="1013" t="s">
        <v>2627</v>
      </c>
      <c r="C367" s="1015">
        <v>-332.17</v>
      </c>
      <c r="D367" s="1015">
        <v>180.5</v>
      </c>
      <c r="E367" s="1015">
        <v>-151.66999999999999</v>
      </c>
      <c r="F367" s="1013" t="s">
        <v>401</v>
      </c>
      <c r="G367" s="1013" t="s">
        <v>2467</v>
      </c>
      <c r="H367" s="949"/>
      <c r="I367" s="949"/>
      <c r="J367" s="949"/>
      <c r="K367" s="949"/>
      <c r="L367" s="153" t="str">
        <f t="shared" si="40"/>
        <v>6503</v>
      </c>
      <c r="M367" s="154" t="str">
        <f t="shared" si="41"/>
        <v>RELAT. A LA CLIENTELE &amp; AJUST.</v>
      </c>
      <c r="N367" s="155">
        <f>+IF(OR($Q367=Parametres!$G$2,$Q367=Parametres!$G$3),I367,C367)</f>
        <v>-332.17</v>
      </c>
      <c r="O367" s="155">
        <f>+IF(OR($Q367=Parametres!$G$2,$Q367=Parametres!$G$3),J367,D367)</f>
        <v>180.5</v>
      </c>
      <c r="P367" s="155">
        <f>+IF(OR($Q367=Parametres!$G$2,$Q367=Parametres!$G$3),K367,E367)</f>
        <v>-151.66999999999999</v>
      </c>
      <c r="Q367" s="154" t="str">
        <f t="shared" si="42"/>
        <v>7-Dépenses</v>
      </c>
      <c r="R367" s="153" t="str">
        <f t="shared" si="43"/>
        <v>6112</v>
      </c>
      <c r="S367" s="154">
        <f t="shared" si="44"/>
        <v>0</v>
      </c>
      <c r="T367" s="156" t="str">
        <f>+VLOOKUP($L367,Data_Validation!$A:$D,1,0)</f>
        <v>6503</v>
      </c>
      <c r="U367" s="156" t="str">
        <f>+VLOOKUP($L367,Data_Validation!$A:$D,3,0)</f>
        <v>Carrosserie</v>
      </c>
      <c r="V367" s="156" t="str">
        <f>+VLOOKUP($L367,Data_Validation!$A:$D,4,0)</f>
        <v>Service gratuit 2</v>
      </c>
      <c r="W367" s="156" t="str">
        <f>+VLOOKUP($L367,Data_Validation!$A:$E,5,0)</f>
        <v>$</v>
      </c>
      <c r="X367" s="156">
        <f>+VLOOKUP($L367,Data_Validation!$A:$F,6,0)</f>
        <v>0</v>
      </c>
    </row>
    <row r="368" spans="1:24" ht="15" hidden="1" customHeight="1">
      <c r="A368" s="1013" t="s">
        <v>1374</v>
      </c>
      <c r="B368" s="1013" t="s">
        <v>2559</v>
      </c>
      <c r="C368" s="1015">
        <v>100.17</v>
      </c>
      <c r="D368" s="1015">
        <v>7.0000000000000007E-2</v>
      </c>
      <c r="E368" s="1015">
        <v>100.24</v>
      </c>
      <c r="F368" s="1013" t="s">
        <v>401</v>
      </c>
      <c r="G368" s="1013" t="s">
        <v>2113</v>
      </c>
      <c r="H368" s="949"/>
      <c r="I368" s="949"/>
      <c r="J368" s="949"/>
      <c r="K368" s="949"/>
      <c r="L368" s="153" t="str">
        <f t="shared" si="40"/>
        <v>6514</v>
      </c>
      <c r="M368" s="154" t="str">
        <f t="shared" si="41"/>
        <v>PUBLICITE</v>
      </c>
      <c r="N368" s="155">
        <f>+IF(OR($Q368=Parametres!$G$2,$Q368=Parametres!$G$3),I368,C368)</f>
        <v>100.17</v>
      </c>
      <c r="O368" s="575">
        <f>+IF(OR($Q368=Parametres!$G$2,$Q368=Parametres!$G$3),J368,D368)</f>
        <v>7.0000000000000007E-2</v>
      </c>
      <c r="P368" s="155">
        <f>+IF(OR($Q368=Parametres!$G$2,$Q368=Parametres!$G$3),K368,E368)</f>
        <v>100.24</v>
      </c>
      <c r="Q368" s="154" t="str">
        <f t="shared" si="42"/>
        <v>7-Dépenses</v>
      </c>
      <c r="R368" s="153" t="str">
        <f t="shared" si="43"/>
        <v>6114</v>
      </c>
      <c r="S368" s="154">
        <f t="shared" si="44"/>
        <v>0</v>
      </c>
      <c r="T368" s="156" t="str">
        <f>+VLOOKUP($L368,Data_Validation!$A:$D,1,0)</f>
        <v>6514</v>
      </c>
      <c r="U368" s="156" t="str">
        <f>+VLOOKUP($L368,Data_Validation!$A:$D,3,0)</f>
        <v>Carrosserie</v>
      </c>
      <c r="V368" s="156" t="str">
        <f>+VLOOKUP($L368,Data_Validation!$A:$D,4,0)</f>
        <v>Publicité 2</v>
      </c>
      <c r="W368" s="156" t="str">
        <f>+VLOOKUP($L368,Data_Validation!$A:$E,5,0)</f>
        <v>$</v>
      </c>
      <c r="X368" s="156">
        <f>+VLOOKUP($L368,Data_Validation!$A:$F,6,0)</f>
        <v>0</v>
      </c>
    </row>
    <row r="369" spans="1:24" ht="15.75" hidden="1" customHeight="1">
      <c r="A369" s="1013" t="s">
        <v>1259</v>
      </c>
      <c r="B369" s="1013" t="s">
        <v>2647</v>
      </c>
      <c r="C369" s="1015">
        <v>408.34</v>
      </c>
      <c r="D369" s="1015">
        <v>204.17</v>
      </c>
      <c r="E369" s="1015">
        <v>612.51</v>
      </c>
      <c r="F369" s="1013" t="s">
        <v>401</v>
      </c>
      <c r="G369" s="1013" t="s">
        <v>2648</v>
      </c>
      <c r="H369" s="150"/>
      <c r="I369" s="152"/>
      <c r="J369" s="152"/>
      <c r="K369" s="152"/>
      <c r="L369" s="153" t="str">
        <f t="shared" si="40"/>
        <v>6521</v>
      </c>
      <c r="M369" s="154" t="str">
        <f t="shared" si="41"/>
        <v>SALAIRES - PROPRIETAIRES</v>
      </c>
      <c r="N369" s="155">
        <f>+IF(OR($Q369=Parametres!$G$2,$Q369=Parametres!$G$3),I369,C369)</f>
        <v>408.34</v>
      </c>
      <c r="O369" s="155">
        <f>+IF(OR($Q369=Parametres!$G$2,$Q369=Parametres!$G$3),J369,D369)</f>
        <v>204.17</v>
      </c>
      <c r="P369" s="155">
        <f>+IF(OR($Q369=Parametres!$G$2,$Q369=Parametres!$G$3),K369,E369)</f>
        <v>612.51</v>
      </c>
      <c r="Q369" s="154" t="str">
        <f t="shared" si="42"/>
        <v>7-Dépenses</v>
      </c>
      <c r="R369" s="153" t="str">
        <f t="shared" si="43"/>
        <v>6121</v>
      </c>
      <c r="S369" s="154">
        <f t="shared" si="44"/>
        <v>0</v>
      </c>
      <c r="T369" s="156" t="str">
        <f>+VLOOKUP($L369,Data_Validation!$A:$D,1,0)</f>
        <v>6521</v>
      </c>
      <c r="U369" s="156" t="str">
        <f>+VLOOKUP($L369,Data_Validation!$A:$D,3,0)</f>
        <v>Carrosserie</v>
      </c>
      <c r="V369" s="156" t="str">
        <f>+VLOOKUP($L369,Data_Validation!$A:$D,4,0)</f>
        <v>Salaires propriétaire</v>
      </c>
      <c r="W369" s="156" t="str">
        <f>+VLOOKUP($L369,Data_Validation!$A:$E,5,0)</f>
        <v>$</v>
      </c>
      <c r="X369" s="156">
        <f>+VLOOKUP($L369,Data_Validation!$A:$F,6,0)</f>
        <v>0</v>
      </c>
    </row>
    <row r="370" spans="1:24" ht="15" hidden="1" customHeight="1">
      <c r="A370" s="1013" t="s">
        <v>2624</v>
      </c>
      <c r="B370" s="1013" t="s">
        <v>2625</v>
      </c>
      <c r="C370" s="1015">
        <v>1618.24</v>
      </c>
      <c r="D370" s="1015">
        <v>809.12</v>
      </c>
      <c r="E370" s="1015">
        <v>2427.36</v>
      </c>
      <c r="F370" s="1013" t="s">
        <v>401</v>
      </c>
      <c r="G370" s="1013" t="s">
        <v>2626</v>
      </c>
      <c r="H370" s="150"/>
      <c r="I370" s="157"/>
      <c r="J370" s="157"/>
      <c r="K370" s="157"/>
      <c r="L370" s="153" t="str">
        <f t="shared" si="40"/>
        <v>6522</v>
      </c>
      <c r="M370" s="154" t="str">
        <f t="shared" si="41"/>
        <v>SAL SUPERVISION / GERANT</v>
      </c>
      <c r="N370" s="155">
        <f>+IF(OR($Q370=Parametres!$G$2,$Q370=Parametres!$G$3),I370,C370)</f>
        <v>1618.24</v>
      </c>
      <c r="O370" s="155">
        <f>+IF(OR($Q370=Parametres!$G$2,$Q370=Parametres!$G$3),J370,D370)</f>
        <v>809.12</v>
      </c>
      <c r="P370" s="155">
        <f>+IF(OR($Q370=Parametres!$G$2,$Q370=Parametres!$G$3),K370,E370)</f>
        <v>2427.36</v>
      </c>
      <c r="Q370" s="154" t="str">
        <f t="shared" si="42"/>
        <v>7-Dépenses</v>
      </c>
      <c r="R370" s="153" t="str">
        <f t="shared" si="43"/>
        <v>6122</v>
      </c>
      <c r="S370" s="154">
        <f t="shared" si="44"/>
        <v>0</v>
      </c>
      <c r="T370" s="156" t="str">
        <f>+VLOOKUP($L370,Data_Validation!$A:$D,1,0)</f>
        <v>6522</v>
      </c>
      <c r="U370" s="156" t="str">
        <f>+VLOOKUP($L370,Data_Validation!$A:$D,3,0)</f>
        <v>Carrosserie</v>
      </c>
      <c r="V370" s="156" t="str">
        <f>+VLOOKUP($L370,Data_Validation!$A:$D,4,0)</f>
        <v>Salaires cadres</v>
      </c>
      <c r="W370" s="156" t="str">
        <f>+VLOOKUP($L370,Data_Validation!$A:$E,5,0)</f>
        <v>$</v>
      </c>
      <c r="X370" s="156">
        <f>+VLOOKUP($L370,Data_Validation!$A:$F,6,0)</f>
        <v>0</v>
      </c>
    </row>
    <row r="371" spans="1:24" ht="15" hidden="1" customHeight="1">
      <c r="A371" s="1013" t="s">
        <v>1266</v>
      </c>
      <c r="B371" s="1013" t="s">
        <v>2678</v>
      </c>
      <c r="C371" s="1015">
        <v>1618.32</v>
      </c>
      <c r="D371" s="1015">
        <v>519.5</v>
      </c>
      <c r="E371" s="1015">
        <v>2137.8200000000002</v>
      </c>
      <c r="F371" s="1013" t="s">
        <v>401</v>
      </c>
      <c r="G371" s="1013" t="s">
        <v>2679</v>
      </c>
      <c r="H371" s="150"/>
      <c r="I371" s="151"/>
      <c r="J371" s="151"/>
      <c r="K371" s="151"/>
      <c r="L371" s="153" t="str">
        <f t="shared" si="40"/>
        <v>6523</v>
      </c>
      <c r="M371" s="154" t="str">
        <f t="shared" si="41"/>
        <v>SAL. &amp; RENUM. CLERICAL</v>
      </c>
      <c r="N371" s="155">
        <f>+IF(OR($Q371=Parametres!$G$2,$Q371=Parametres!$G$3),I371,C371)</f>
        <v>1618.32</v>
      </c>
      <c r="O371" s="155">
        <f>+IF(OR($Q371=Parametres!$G$2,$Q371=Parametres!$G$3),J371,D371)</f>
        <v>519.5</v>
      </c>
      <c r="P371" s="155">
        <f>+IF(OR($Q371=Parametres!$G$2,$Q371=Parametres!$G$3),K371,E371)</f>
        <v>2137.8200000000002</v>
      </c>
      <c r="Q371" s="154" t="str">
        <f t="shared" si="42"/>
        <v>7-Dépenses</v>
      </c>
      <c r="R371" s="153" t="str">
        <f t="shared" si="43"/>
        <v>6123</v>
      </c>
      <c r="S371" s="154">
        <f t="shared" si="44"/>
        <v>0</v>
      </c>
      <c r="T371" s="156" t="str">
        <f>+VLOOKUP($L371,Data_Validation!$A:$D,1,0)</f>
        <v>6523</v>
      </c>
      <c r="U371" s="156" t="str">
        <f>+VLOOKUP($L371,Data_Validation!$A:$D,3,0)</f>
        <v>Carrosserie</v>
      </c>
      <c r="V371" s="156" t="str">
        <f>+VLOOKUP($L371,Data_Validation!$A:$D,4,0)</f>
        <v>Salaires commis</v>
      </c>
      <c r="W371" s="156" t="str">
        <f>+VLOOKUP($L371,Data_Validation!$A:$E,5,0)</f>
        <v>$</v>
      </c>
      <c r="X371" s="156">
        <f>+VLOOKUP($L371,Data_Validation!$A:$F,6,0)</f>
        <v>0</v>
      </c>
    </row>
    <row r="372" spans="1:24" ht="15" hidden="1" customHeight="1">
      <c r="A372" s="1013" t="s">
        <v>1249</v>
      </c>
      <c r="B372" s="1013" t="s">
        <v>2734</v>
      </c>
      <c r="C372" s="1015">
        <v>7267.87</v>
      </c>
      <c r="D372" s="1015">
        <v>3896.39</v>
      </c>
      <c r="E372" s="1015">
        <v>11164.26</v>
      </c>
      <c r="F372" s="1013" t="s">
        <v>401</v>
      </c>
      <c r="G372" s="1013" t="s">
        <v>2735</v>
      </c>
      <c r="H372" s="150"/>
      <c r="I372" s="157"/>
      <c r="J372" s="157"/>
      <c r="K372" s="157"/>
      <c r="L372" s="153" t="str">
        <f t="shared" si="40"/>
        <v>6524</v>
      </c>
      <c r="M372" s="154" t="str">
        <f t="shared" si="41"/>
        <v>SALAIRES &amp; RENUM. - AUTRES</v>
      </c>
      <c r="N372" s="155">
        <f>+IF(OR($Q372=Parametres!$G$2,$Q372=Parametres!$G$3),I372,C372)</f>
        <v>7267.87</v>
      </c>
      <c r="O372" s="155">
        <f>+IF(OR($Q372=Parametres!$G$2,$Q372=Parametres!$G$3),J372,D372)</f>
        <v>3896.39</v>
      </c>
      <c r="P372" s="155">
        <f>+IF(OR($Q372=Parametres!$G$2,$Q372=Parametres!$G$3),K372,E372)</f>
        <v>11164.26</v>
      </c>
      <c r="Q372" s="154" t="str">
        <f t="shared" si="42"/>
        <v>7-Dépenses</v>
      </c>
      <c r="R372" s="153" t="str">
        <f t="shared" si="43"/>
        <v>6124</v>
      </c>
      <c r="S372" s="154">
        <f t="shared" si="44"/>
        <v>0</v>
      </c>
      <c r="T372" s="156" t="str">
        <f>+VLOOKUP($L372,Data_Validation!$A:$D,1,0)</f>
        <v>6524</v>
      </c>
      <c r="U372" s="156" t="str">
        <f>+VLOOKUP($L372,Data_Validation!$A:$D,3,0)</f>
        <v>Carrosserie</v>
      </c>
      <c r="V372" s="156" t="str">
        <f>+VLOOKUP($L372,Data_Validation!$A:$D,4,0)</f>
        <v>Salaires autres</v>
      </c>
      <c r="W372" s="156" t="str">
        <f>+VLOOKUP($L372,Data_Validation!$A:$E,5,0)</f>
        <v>$</v>
      </c>
      <c r="X372" s="156">
        <f>+VLOOKUP($L372,Data_Validation!$A:$F,6,0)</f>
        <v>0</v>
      </c>
    </row>
    <row r="373" spans="1:24" ht="15" hidden="1" customHeight="1">
      <c r="A373" s="1013" t="s">
        <v>1330</v>
      </c>
      <c r="B373" s="1013" t="s">
        <v>2720</v>
      </c>
      <c r="C373" s="1015">
        <v>5163.51</v>
      </c>
      <c r="D373" s="1015">
        <v>3178.88</v>
      </c>
      <c r="E373" s="1015">
        <v>8342.39</v>
      </c>
      <c r="F373" s="1013" t="s">
        <v>401</v>
      </c>
      <c r="G373" s="1013" t="s">
        <v>2721</v>
      </c>
      <c r="H373" s="150"/>
      <c r="I373" s="157"/>
      <c r="J373" s="157"/>
      <c r="K373" s="157"/>
      <c r="L373" s="153" t="str">
        <f t="shared" si="40"/>
        <v>6525</v>
      </c>
      <c r="M373" s="154" t="str">
        <f t="shared" si="41"/>
        <v>SALAIRE SPECIALISTES</v>
      </c>
      <c r="N373" s="155">
        <f>+IF(OR($Q373=Parametres!$G$2,$Q373=Parametres!$G$3),I373,C373)</f>
        <v>5163.51</v>
      </c>
      <c r="O373" s="155">
        <f>+IF(OR($Q373=Parametres!$G$2,$Q373=Parametres!$G$3),J373,D373)</f>
        <v>3178.88</v>
      </c>
      <c r="P373" s="155">
        <f>+IF(OR($Q373=Parametres!$G$2,$Q373=Parametres!$G$3),K373,E373)</f>
        <v>8342.39</v>
      </c>
      <c r="Q373" s="154" t="str">
        <f t="shared" si="42"/>
        <v>7-Dépenses</v>
      </c>
      <c r="R373" s="153" t="str">
        <f t="shared" si="43"/>
        <v>6125</v>
      </c>
      <c r="S373" s="154">
        <f t="shared" si="44"/>
        <v>0</v>
      </c>
      <c r="T373" s="156" t="str">
        <f>+VLOOKUP($L373,Data_Validation!$A:$D,1,0)</f>
        <v>6525</v>
      </c>
      <c r="U373" s="156" t="str">
        <f>+VLOOKUP($L373,Data_Validation!$A:$D,3,0)</f>
        <v>Carrosserie</v>
      </c>
      <c r="V373" s="156" t="str">
        <f>+VLOOKUP($L373,Data_Validation!$A:$D,4,0)</f>
        <v>Salaires spécialistes</v>
      </c>
      <c r="W373" s="156" t="str">
        <f>+VLOOKUP($L373,Data_Validation!$A:$E,5,0)</f>
        <v>$</v>
      </c>
      <c r="X373" s="156">
        <f>+VLOOKUP($L373,Data_Validation!$A:$F,6,0)</f>
        <v>0</v>
      </c>
    </row>
    <row r="374" spans="1:24" ht="15.75" hidden="1" customHeight="1">
      <c r="A374" s="1013" t="s">
        <v>1211</v>
      </c>
      <c r="B374" s="1013" t="s">
        <v>2640</v>
      </c>
      <c r="C374" s="1015">
        <v>1582.88</v>
      </c>
      <c r="D374" s="1015">
        <v>344.38</v>
      </c>
      <c r="E374" s="1015">
        <v>1927.26</v>
      </c>
      <c r="F374" s="1013" t="s">
        <v>401</v>
      </c>
      <c r="G374" s="1013" t="s">
        <v>2641</v>
      </c>
      <c r="H374" s="150"/>
      <c r="I374" s="151"/>
      <c r="J374" s="151"/>
      <c r="K374" s="151"/>
      <c r="L374" s="153" t="str">
        <f t="shared" si="40"/>
        <v>6529</v>
      </c>
      <c r="M374" s="154" t="str">
        <f t="shared" si="41"/>
        <v>ABS.,VACANCES &amp; SAL. JOURS FER</v>
      </c>
      <c r="N374" s="155">
        <f>+IF(OR($Q374=Parametres!$G$2,$Q374=Parametres!$G$3),I374,C374)</f>
        <v>1582.88</v>
      </c>
      <c r="O374" s="155">
        <f>+IF(OR($Q374=Parametres!$G$2,$Q374=Parametres!$G$3),J374,D374)</f>
        <v>344.38</v>
      </c>
      <c r="P374" s="155">
        <f>+IF(OR($Q374=Parametres!$G$2,$Q374=Parametres!$G$3),K374,E374)</f>
        <v>1927.26</v>
      </c>
      <c r="Q374" s="154" t="str">
        <f t="shared" si="42"/>
        <v>7-Dépenses</v>
      </c>
      <c r="R374" s="153" t="str">
        <f t="shared" si="43"/>
        <v>6129</v>
      </c>
      <c r="S374" s="154">
        <f t="shared" si="44"/>
        <v>0</v>
      </c>
      <c r="T374" s="156" t="str">
        <f>+VLOOKUP($L374,Data_Validation!$A:$D,1,0)</f>
        <v>6529</v>
      </c>
      <c r="U374" s="156" t="str">
        <f>+VLOOKUP($L374,Data_Validation!$A:$D,3,0)</f>
        <v>Carrosserie</v>
      </c>
      <c r="V374" s="156" t="str">
        <f>+VLOOKUP($L374,Data_Validation!$A:$D,4,0)</f>
        <v>Salaires en absences</v>
      </c>
      <c r="W374" s="156" t="str">
        <f>+VLOOKUP($L374,Data_Validation!$A:$E,5,0)</f>
        <v>$</v>
      </c>
      <c r="X374" s="156">
        <f>+VLOOKUP($L374,Data_Validation!$A:$F,6,0)</f>
        <v>0</v>
      </c>
    </row>
    <row r="375" spans="1:24" ht="15" hidden="1" customHeight="1">
      <c r="A375" s="1013" t="s">
        <v>1252</v>
      </c>
      <c r="B375" s="1013" t="s">
        <v>2585</v>
      </c>
      <c r="C375" s="1015">
        <v>323.98</v>
      </c>
      <c r="D375" s="1015">
        <v>161.37</v>
      </c>
      <c r="E375" s="1015">
        <v>485.35</v>
      </c>
      <c r="F375" s="1013" t="s">
        <v>401</v>
      </c>
      <c r="G375" s="1013" t="s">
        <v>2586</v>
      </c>
      <c r="H375" s="150"/>
      <c r="I375" s="151"/>
      <c r="J375" s="151"/>
      <c r="K375" s="151"/>
      <c r="L375" s="153" t="str">
        <f t="shared" si="40"/>
        <v>6531</v>
      </c>
      <c r="M375" s="154" t="str">
        <f t="shared" si="41"/>
        <v>CSST</v>
      </c>
      <c r="N375" s="155">
        <f>+IF(OR($Q375=Parametres!$G$2,$Q375=Parametres!$G$3),I375,C375)</f>
        <v>323.98</v>
      </c>
      <c r="O375" s="155">
        <f>+IF(OR($Q375=Parametres!$G$2,$Q375=Parametres!$G$3),J375,D375)</f>
        <v>161.37</v>
      </c>
      <c r="P375" s="155">
        <f>+IF(OR($Q375=Parametres!$G$2,$Q375=Parametres!$G$3),K375,E375)</f>
        <v>485.35</v>
      </c>
      <c r="Q375" s="154" t="str">
        <f t="shared" si="42"/>
        <v>7-Dépenses</v>
      </c>
      <c r="R375" s="153" t="str">
        <f t="shared" si="43"/>
        <v>6131</v>
      </c>
      <c r="S375" s="154">
        <f t="shared" si="44"/>
        <v>0</v>
      </c>
      <c r="T375" s="156" t="str">
        <f>+VLOOKUP($L375,Data_Validation!$A:$D,1,0)</f>
        <v>6531</v>
      </c>
      <c r="U375" s="156" t="str">
        <f>+VLOOKUP($L375,Data_Validation!$A:$D,3,0)</f>
        <v>Carrosserie</v>
      </c>
      <c r="V375" s="156" t="str">
        <f>+VLOOKUP($L375,Data_Validation!$A:$D,4,0)</f>
        <v>Csst</v>
      </c>
      <c r="W375" s="156" t="str">
        <f>+VLOOKUP($L375,Data_Validation!$A:$E,5,0)</f>
        <v>$</v>
      </c>
      <c r="X375" s="156">
        <f>+VLOOKUP($L375,Data_Validation!$A:$F,6,0)</f>
        <v>0</v>
      </c>
    </row>
    <row r="376" spans="1:24" ht="15" hidden="1" customHeight="1">
      <c r="A376" s="1013" t="s">
        <v>1283</v>
      </c>
      <c r="B376" s="1013" t="s">
        <v>2684</v>
      </c>
      <c r="C376" s="1015">
        <v>2958.55</v>
      </c>
      <c r="D376" s="1015">
        <v>-46.45</v>
      </c>
      <c r="E376" s="1015">
        <v>2912.1</v>
      </c>
      <c r="F376" s="1013" t="s">
        <v>401</v>
      </c>
      <c r="G376" s="1013" t="s">
        <v>2685</v>
      </c>
      <c r="H376" s="150"/>
      <c r="I376" s="151"/>
      <c r="J376" s="151"/>
      <c r="K376" s="151"/>
      <c r="L376" s="153" t="str">
        <f t="shared" si="40"/>
        <v>6532</v>
      </c>
      <c r="M376" s="154" t="str">
        <f t="shared" si="41"/>
        <v>RRQ RAMQ AC</v>
      </c>
      <c r="N376" s="155">
        <f>+IF(OR($Q376=Parametres!$G$2,$Q376=Parametres!$G$3),I376,C376)</f>
        <v>2958.55</v>
      </c>
      <c r="O376" s="155">
        <f>+IF(OR($Q376=Parametres!$G$2,$Q376=Parametres!$G$3),J376,D376)</f>
        <v>-46.45</v>
      </c>
      <c r="P376" s="155">
        <f>+IF(OR($Q376=Parametres!$G$2,$Q376=Parametres!$G$3),K376,E376)</f>
        <v>2912.1</v>
      </c>
      <c r="Q376" s="154" t="str">
        <f t="shared" si="42"/>
        <v>7-Dépenses</v>
      </c>
      <c r="R376" s="153" t="str">
        <f t="shared" si="43"/>
        <v>6132</v>
      </c>
      <c r="S376" s="154">
        <f t="shared" si="44"/>
        <v>0</v>
      </c>
      <c r="T376" s="156" t="str">
        <f>+VLOOKUP($L376,Data_Validation!$A:$D,1,0)</f>
        <v>6532</v>
      </c>
      <c r="U376" s="156" t="str">
        <f>+VLOOKUP($L376,Data_Validation!$A:$D,3,0)</f>
        <v>Carrosserie</v>
      </c>
      <c r="V376" s="156" t="str">
        <f>+VLOOKUP($L376,Data_Validation!$A:$D,4,0)</f>
        <v>Déduction à la source</v>
      </c>
      <c r="W376" s="156" t="str">
        <f>+VLOOKUP($L376,Data_Validation!$A:$E,5,0)</f>
        <v>$</v>
      </c>
      <c r="X376" s="156">
        <f>+VLOOKUP($L376,Data_Validation!$A:$F,6,0)</f>
        <v>0</v>
      </c>
    </row>
    <row r="377" spans="1:24" ht="15" hidden="1" customHeight="1">
      <c r="A377" s="1013" t="s">
        <v>1305</v>
      </c>
      <c r="B377" s="1013" t="s">
        <v>2693</v>
      </c>
      <c r="C377" s="1015">
        <v>2519.5700000000002</v>
      </c>
      <c r="D377" s="1015">
        <v>-432.57</v>
      </c>
      <c r="E377" s="1015">
        <v>2087</v>
      </c>
      <c r="F377" s="1013" t="s">
        <v>401</v>
      </c>
      <c r="G377" s="1013" t="s">
        <v>2694</v>
      </c>
      <c r="H377" s="150"/>
      <c r="I377" s="151"/>
      <c r="J377" s="151"/>
      <c r="K377" s="151"/>
      <c r="L377" s="153" t="str">
        <f t="shared" si="40"/>
        <v>6539</v>
      </c>
      <c r="M377" s="154" t="str">
        <f t="shared" si="41"/>
        <v>ASSURANCE GROUPE</v>
      </c>
      <c r="N377" s="155">
        <f>+IF(OR($Q377=Parametres!$G$2,$Q377=Parametres!$G$3),I377,C377)</f>
        <v>2519.5700000000002</v>
      </c>
      <c r="O377" s="155">
        <f>+IF(OR($Q377=Parametres!$G$2,$Q377=Parametres!$G$3),J377,D377)</f>
        <v>-432.57</v>
      </c>
      <c r="P377" s="155">
        <f>+IF(OR($Q377=Parametres!$G$2,$Q377=Parametres!$G$3),K377,E377)</f>
        <v>2087</v>
      </c>
      <c r="Q377" s="154" t="str">
        <f t="shared" si="42"/>
        <v>7-Dépenses</v>
      </c>
      <c r="R377" s="153" t="str">
        <f t="shared" si="43"/>
        <v>6139</v>
      </c>
      <c r="S377" s="154">
        <f t="shared" si="44"/>
        <v>0</v>
      </c>
      <c r="T377" s="156" t="str">
        <f>+VLOOKUP($L377,Data_Validation!$A:$D,1,0)</f>
        <v>6539</v>
      </c>
      <c r="U377" s="156" t="str">
        <f>+VLOOKUP($L377,Data_Validation!$A:$D,3,0)</f>
        <v>Carrosserie</v>
      </c>
      <c r="V377" s="156" t="str">
        <f>+VLOOKUP($L377,Data_Validation!$A:$D,4,0)</f>
        <v>Bénéfices marginaux</v>
      </c>
      <c r="W377" s="156" t="str">
        <f>+VLOOKUP($L377,Data_Validation!$A:$E,5,0)</f>
        <v>$</v>
      </c>
      <c r="X377" s="156">
        <f>+VLOOKUP($L377,Data_Validation!$A:$F,6,0)</f>
        <v>0</v>
      </c>
    </row>
    <row r="378" spans="1:24" ht="15" hidden="1" customHeight="1">
      <c r="A378" s="1013" t="s">
        <v>934</v>
      </c>
      <c r="B378" s="1013" t="s">
        <v>2560</v>
      </c>
      <c r="C378" s="1015">
        <v>12.4</v>
      </c>
      <c r="D378" s="1015">
        <v>6.2</v>
      </c>
      <c r="E378" s="1015">
        <v>18.600000000000001</v>
      </c>
      <c r="F378" s="1013" t="s">
        <v>401</v>
      </c>
      <c r="G378" s="1013" t="s">
        <v>2561</v>
      </c>
      <c r="H378" s="949"/>
      <c r="I378" s="949"/>
      <c r="J378" s="949"/>
      <c r="K378" s="949"/>
      <c r="L378" s="153" t="str">
        <f t="shared" si="40"/>
        <v>6544</v>
      </c>
      <c r="M378" s="154" t="str">
        <f t="shared" si="41"/>
        <v>FORMATION</v>
      </c>
      <c r="N378" s="155">
        <f>+IF(OR($Q378=Parametres!$G$2,$Q378=Parametres!$G$3),I378,C378)</f>
        <v>12.4</v>
      </c>
      <c r="O378" s="155">
        <f>+IF(OR($Q378=Parametres!$G$2,$Q378=Parametres!$G$3),J378,D378)</f>
        <v>6.2</v>
      </c>
      <c r="P378" s="155">
        <f>+IF(OR($Q378=Parametres!$G$2,$Q378=Parametres!$G$3),K378,E378)</f>
        <v>18.600000000000001</v>
      </c>
      <c r="Q378" s="154" t="str">
        <f t="shared" si="42"/>
        <v>7-Dépenses</v>
      </c>
      <c r="R378" s="153" t="str">
        <f t="shared" si="43"/>
        <v>6144</v>
      </c>
      <c r="S378" s="154">
        <f t="shared" si="44"/>
        <v>0</v>
      </c>
      <c r="T378" s="156" t="str">
        <f>+VLOOKUP($L378,Data_Validation!$A:$D,1,0)</f>
        <v>6544</v>
      </c>
      <c r="U378" s="156" t="str">
        <f>+VLOOKUP($L378,Data_Validation!$A:$D,3,0)</f>
        <v>Carrosserie</v>
      </c>
      <c r="V378" s="156" t="str">
        <f>+VLOOKUP($L378,Data_Validation!$A:$D,4,0)</f>
        <v>Formation</v>
      </c>
      <c r="W378" s="156" t="str">
        <f>+VLOOKUP($L378,Data_Validation!$A:$E,5,0)</f>
        <v>$</v>
      </c>
      <c r="X378" s="156">
        <f>+VLOOKUP($L378,Data_Validation!$A:$F,6,0)</f>
        <v>0</v>
      </c>
    </row>
    <row r="379" spans="1:24" ht="15.75" hidden="1" customHeight="1">
      <c r="A379" s="1013" t="s">
        <v>1186</v>
      </c>
      <c r="B379" s="1013" t="s">
        <v>2654</v>
      </c>
      <c r="C379" s="1015">
        <v>1140.3</v>
      </c>
      <c r="D379" s="1015">
        <v>1041.1500000000001</v>
      </c>
      <c r="E379" s="1015">
        <v>2181.4499999999998</v>
      </c>
      <c r="F379" s="1013" t="s">
        <v>401</v>
      </c>
      <c r="G379" s="1013" t="s">
        <v>2632</v>
      </c>
      <c r="H379" s="150"/>
      <c r="I379" s="157"/>
      <c r="J379" s="157"/>
      <c r="K379" s="157"/>
      <c r="L379" s="153" t="str">
        <f t="shared" si="40"/>
        <v>6545</v>
      </c>
      <c r="M379" s="154" t="str">
        <f t="shared" si="41"/>
        <v>VEHICULE DE COMPAGNIE - DEPENS</v>
      </c>
      <c r="N379" s="155">
        <f>+IF(OR($Q379=Parametres!$G$2,$Q379=Parametres!$G$3),I379,C379)</f>
        <v>1140.3</v>
      </c>
      <c r="O379" s="155">
        <f>+IF(OR($Q379=Parametres!$G$2,$Q379=Parametres!$G$3),J379,D379)</f>
        <v>1041.1500000000001</v>
      </c>
      <c r="P379" s="155">
        <f>+IF(OR($Q379=Parametres!$G$2,$Q379=Parametres!$G$3),K379,E379)</f>
        <v>2181.4499999999998</v>
      </c>
      <c r="Q379" s="154" t="str">
        <f t="shared" si="42"/>
        <v>7-Dépenses</v>
      </c>
      <c r="R379" s="153" t="str">
        <f t="shared" si="43"/>
        <v>6145</v>
      </c>
      <c r="S379" s="154">
        <f t="shared" si="44"/>
        <v>0</v>
      </c>
      <c r="T379" s="156" t="str">
        <f>+VLOOKUP($L379,Data_Validation!$A:$D,1,0)</f>
        <v>6545</v>
      </c>
      <c r="U379" s="156" t="str">
        <f>+VLOOKUP($L379,Data_Validation!$A:$D,3,0)</f>
        <v>Carrosserie</v>
      </c>
      <c r="V379" s="156" t="str">
        <f>+VLOOKUP($L379,Data_Validation!$A:$D,4,0)</f>
        <v>Frais véhicules de cie</v>
      </c>
      <c r="W379" s="156" t="str">
        <f>+VLOOKUP($L379,Data_Validation!$A:$E,5,0)</f>
        <v>$</v>
      </c>
      <c r="X379" s="156">
        <f>+VLOOKUP($L379,Data_Validation!$A:$F,6,0)</f>
        <v>0</v>
      </c>
    </row>
    <row r="380" spans="1:24" ht="15" hidden="1" customHeight="1">
      <c r="A380" s="1013" t="s">
        <v>1180</v>
      </c>
      <c r="B380" s="1013" t="s">
        <v>2580</v>
      </c>
      <c r="C380" s="1015">
        <v>31.52</v>
      </c>
      <c r="D380" s="1015">
        <v>29.83</v>
      </c>
      <c r="E380" s="1015">
        <v>61.35</v>
      </c>
      <c r="F380" s="1013" t="s">
        <v>401</v>
      </c>
      <c r="G380" s="1013" t="s">
        <v>2581</v>
      </c>
      <c r="H380" s="150"/>
      <c r="I380" s="151"/>
      <c r="J380" s="151"/>
      <c r="K380" s="151"/>
      <c r="L380" s="153" t="str">
        <f t="shared" si="40"/>
        <v>6547</v>
      </c>
      <c r="M380" s="154" t="str">
        <f t="shared" si="41"/>
        <v>FRET/EXPRESS/TRANS. PAR CAMION</v>
      </c>
      <c r="N380" s="155">
        <f>+IF(OR($Q380=Parametres!$G$2,$Q380=Parametres!$G$3),I380,C380)</f>
        <v>31.52</v>
      </c>
      <c r="O380" s="155">
        <f>+IF(OR($Q380=Parametres!$G$2,$Q380=Parametres!$G$3),J380,D380)</f>
        <v>29.83</v>
      </c>
      <c r="P380" s="155">
        <f>+IF(OR($Q380=Parametres!$G$2,$Q380=Parametres!$G$3),K380,E380)</f>
        <v>61.35</v>
      </c>
      <c r="Q380" s="154" t="str">
        <f t="shared" si="42"/>
        <v>7-Dépenses</v>
      </c>
      <c r="R380" s="153" t="str">
        <f t="shared" si="43"/>
        <v>6147</v>
      </c>
      <c r="S380" s="154">
        <f t="shared" si="44"/>
        <v>0</v>
      </c>
      <c r="T380" s="156" t="str">
        <f>+VLOOKUP($L380,Data_Validation!$A:$D,1,0)</f>
        <v>6547</v>
      </c>
      <c r="U380" s="156" t="str">
        <f>+VLOOKUP($L380,Data_Validation!$A:$D,3,0)</f>
        <v>Carrosserie</v>
      </c>
      <c r="V380" s="156" t="str">
        <f>+VLOOKUP($L380,Data_Validation!$A:$D,4,0)</f>
        <v>Frais postaux</v>
      </c>
      <c r="W380" s="156" t="str">
        <f>+VLOOKUP($L380,Data_Validation!$A:$E,5,0)</f>
        <v>$</v>
      </c>
      <c r="X380" s="156">
        <f>+VLOOKUP($L380,Data_Validation!$A:$F,6,0)</f>
        <v>0</v>
      </c>
    </row>
    <row r="381" spans="1:24" ht="15" hidden="1" customHeight="1">
      <c r="A381" s="1013" t="s">
        <v>1286</v>
      </c>
      <c r="B381" s="1013" t="s">
        <v>2701</v>
      </c>
      <c r="C381" s="1015">
        <v>2723.93</v>
      </c>
      <c r="D381" s="1015">
        <v>1389.17</v>
      </c>
      <c r="E381" s="1015">
        <v>4113.1000000000004</v>
      </c>
      <c r="F381" s="1013" t="s">
        <v>401</v>
      </c>
      <c r="G381" s="1013" t="s">
        <v>2702</v>
      </c>
      <c r="H381" s="150"/>
      <c r="I381" s="157"/>
      <c r="J381" s="157"/>
      <c r="K381" s="157"/>
      <c r="L381" s="153" t="str">
        <f t="shared" si="40"/>
        <v>6551</v>
      </c>
      <c r="M381" s="154" t="str">
        <f t="shared" si="41"/>
        <v>DEP. DU TRAITEMENT DES DONNEES</v>
      </c>
      <c r="N381" s="155">
        <f>+IF(OR($Q381=Parametres!$G$2,$Q381=Parametres!$G$3),I381,C381)</f>
        <v>2723.93</v>
      </c>
      <c r="O381" s="155">
        <f>+IF(OR($Q381=Parametres!$G$2,$Q381=Parametres!$G$3),J381,D381)</f>
        <v>1389.17</v>
      </c>
      <c r="P381" s="155">
        <f>+IF(OR($Q381=Parametres!$G$2,$Q381=Parametres!$G$3),K381,E381)</f>
        <v>4113.1000000000004</v>
      </c>
      <c r="Q381" s="154" t="str">
        <f t="shared" si="42"/>
        <v>7-Dépenses</v>
      </c>
      <c r="R381" s="153" t="str">
        <f t="shared" si="43"/>
        <v>6151</v>
      </c>
      <c r="S381" s="154">
        <f t="shared" si="44"/>
        <v>0</v>
      </c>
      <c r="T381" s="156" t="str">
        <f>+VLOOKUP($L381,Data_Validation!$A:$D,1,0)</f>
        <v>6551</v>
      </c>
      <c r="U381" s="156" t="str">
        <f>+VLOOKUP($L381,Data_Validation!$A:$D,3,0)</f>
        <v>Carrosserie</v>
      </c>
      <c r="V381" s="156" t="str">
        <f>+VLOOKUP($L381,Data_Validation!$A:$D,4,0)</f>
        <v>Informatique</v>
      </c>
      <c r="W381" s="156" t="str">
        <f>+VLOOKUP($L381,Data_Validation!$A:$E,5,0)</f>
        <v>$</v>
      </c>
      <c r="X381" s="156">
        <f>+VLOOKUP($L381,Data_Validation!$A:$F,6,0)</f>
        <v>0</v>
      </c>
    </row>
    <row r="382" spans="1:24" ht="15" hidden="1" customHeight="1">
      <c r="A382" s="1013" t="s">
        <v>1206</v>
      </c>
      <c r="B382" s="1013" t="s">
        <v>2587</v>
      </c>
      <c r="C382" s="1015">
        <v>165.64</v>
      </c>
      <c r="D382" s="1015">
        <v>84.43</v>
      </c>
      <c r="E382" s="1015">
        <v>250.07</v>
      </c>
      <c r="F382" s="1013" t="s">
        <v>401</v>
      </c>
      <c r="G382" s="1013" t="s">
        <v>2588</v>
      </c>
      <c r="H382" s="150"/>
      <c r="I382" s="151"/>
      <c r="J382" s="151"/>
      <c r="K382" s="151"/>
      <c r="L382" s="153" t="str">
        <f t="shared" si="40"/>
        <v>6552</v>
      </c>
      <c r="M382" s="154" t="str">
        <f t="shared" si="41"/>
        <v>PAPETERIE</v>
      </c>
      <c r="N382" s="155">
        <f>+IF(OR($Q382=Parametres!$G$2,$Q382=Parametres!$G$3),I382,C382)</f>
        <v>165.64</v>
      </c>
      <c r="O382" s="155">
        <f>+IF(OR($Q382=Parametres!$G$2,$Q382=Parametres!$G$3),J382,D382)</f>
        <v>84.43</v>
      </c>
      <c r="P382" s="155">
        <f>+IF(OR($Q382=Parametres!$G$2,$Q382=Parametres!$G$3),K382,E382)</f>
        <v>250.07</v>
      </c>
      <c r="Q382" s="154" t="str">
        <f t="shared" si="42"/>
        <v>7-Dépenses</v>
      </c>
      <c r="R382" s="153" t="str">
        <f t="shared" si="43"/>
        <v>6152</v>
      </c>
      <c r="S382" s="154">
        <f t="shared" si="44"/>
        <v>0</v>
      </c>
      <c r="T382" s="156" t="str">
        <f>+VLOOKUP($L382,Data_Validation!$A:$D,1,0)</f>
        <v>6552</v>
      </c>
      <c r="U382" s="156" t="str">
        <f>+VLOOKUP($L382,Data_Validation!$A:$D,3,0)</f>
        <v>Carrosserie</v>
      </c>
      <c r="V382" s="156" t="str">
        <f>+VLOOKUP($L382,Data_Validation!$A:$D,4,0)</f>
        <v>Papeterie</v>
      </c>
      <c r="W382" s="156" t="str">
        <f>+VLOOKUP($L382,Data_Validation!$A:$E,5,0)</f>
        <v>$</v>
      </c>
      <c r="X382" s="156">
        <f>+VLOOKUP($L382,Data_Validation!$A:$F,6,0)</f>
        <v>0</v>
      </c>
    </row>
    <row r="383" spans="1:24" ht="15.75" hidden="1" customHeight="1">
      <c r="A383" s="1013" t="s">
        <v>1154</v>
      </c>
      <c r="B383" s="1013" t="s">
        <v>2591</v>
      </c>
      <c r="C383" s="1015">
        <v>280.51</v>
      </c>
      <c r="D383" s="1015">
        <v>86.55</v>
      </c>
      <c r="E383" s="1015">
        <v>367.06</v>
      </c>
      <c r="F383" s="1013" t="s">
        <v>401</v>
      </c>
      <c r="G383" s="1013" t="s">
        <v>2592</v>
      </c>
      <c r="H383" s="150"/>
      <c r="I383" s="157"/>
      <c r="J383" s="157"/>
      <c r="K383" s="157"/>
      <c r="L383" s="153" t="str">
        <f t="shared" si="40"/>
        <v>6553</v>
      </c>
      <c r="M383" s="154" t="str">
        <f t="shared" si="41"/>
        <v>TELEPHONE ET TELEX</v>
      </c>
      <c r="N383" s="155">
        <f>+IF(OR($Q383=Parametres!$G$2,$Q383=Parametres!$G$3),I383,C383)</f>
        <v>280.51</v>
      </c>
      <c r="O383" s="155">
        <f>+IF(OR($Q383=Parametres!$G$2,$Q383=Parametres!$G$3),J383,D383)</f>
        <v>86.55</v>
      </c>
      <c r="P383" s="155">
        <f>+IF(OR($Q383=Parametres!$G$2,$Q383=Parametres!$G$3),K383,E383)</f>
        <v>367.06</v>
      </c>
      <c r="Q383" s="154" t="str">
        <f t="shared" si="42"/>
        <v>7-Dépenses</v>
      </c>
      <c r="R383" s="153" t="str">
        <f t="shared" si="43"/>
        <v>6153</v>
      </c>
      <c r="S383" s="154">
        <f t="shared" si="44"/>
        <v>0</v>
      </c>
      <c r="T383" s="156" t="str">
        <f>+VLOOKUP($L383,Data_Validation!$A:$D,1,0)</f>
        <v>6553</v>
      </c>
      <c r="U383" s="156" t="str">
        <f>+VLOOKUP($L383,Data_Validation!$A:$D,3,0)</f>
        <v>Carrosserie</v>
      </c>
      <c r="V383" s="156" t="str">
        <f>+VLOOKUP($L383,Data_Validation!$A:$D,4,0)</f>
        <v>Téléphone</v>
      </c>
      <c r="W383" s="156" t="str">
        <f>+VLOOKUP($L383,Data_Validation!$A:$E,5,0)</f>
        <v>$</v>
      </c>
      <c r="X383" s="156">
        <f>+VLOOKUP($L383,Data_Validation!$A:$F,6,0)</f>
        <v>0</v>
      </c>
    </row>
    <row r="384" spans="1:24" ht="15" hidden="1" customHeight="1">
      <c r="A384" s="1013" t="s">
        <v>1237</v>
      </c>
      <c r="B384" s="1013" t="s">
        <v>2636</v>
      </c>
      <c r="C384" s="1015">
        <v>139.63999999999999</v>
      </c>
      <c r="D384" s="1015">
        <v>416.77</v>
      </c>
      <c r="E384" s="1015">
        <v>556.41</v>
      </c>
      <c r="F384" s="1013" t="s">
        <v>401</v>
      </c>
      <c r="G384" s="1013" t="s">
        <v>2637</v>
      </c>
      <c r="H384" s="150"/>
      <c r="I384" s="151"/>
      <c r="J384" s="151"/>
      <c r="K384" s="151"/>
      <c r="L384" s="153" t="str">
        <f t="shared" si="40"/>
        <v>6555</v>
      </c>
      <c r="M384" s="154" t="str">
        <f t="shared" si="41"/>
        <v>DEPENSES DIVERS</v>
      </c>
      <c r="N384" s="155">
        <f>+IF(OR($Q384=Parametres!$G$2,$Q384=Parametres!$G$3),I384,C384)</f>
        <v>139.63999999999999</v>
      </c>
      <c r="O384" s="155">
        <f>+IF(OR($Q384=Parametres!$G$2,$Q384=Parametres!$G$3),J384,D384)</f>
        <v>416.77</v>
      </c>
      <c r="P384" s="155">
        <f>+IF(OR($Q384=Parametres!$G$2,$Q384=Parametres!$G$3),K384,E384)</f>
        <v>556.41</v>
      </c>
      <c r="Q384" s="154" t="str">
        <f t="shared" si="42"/>
        <v>7-Dépenses</v>
      </c>
      <c r="R384" s="153" t="str">
        <f t="shared" si="43"/>
        <v>6155</v>
      </c>
      <c r="S384" s="154">
        <f t="shared" si="44"/>
        <v>0</v>
      </c>
      <c r="T384" s="156" t="str">
        <f>+VLOOKUP($L384,Data_Validation!$A:$D,1,0)</f>
        <v>6555</v>
      </c>
      <c r="U384" s="156" t="str">
        <f>+VLOOKUP($L384,Data_Validation!$A:$D,3,0)</f>
        <v>Carrosserie</v>
      </c>
      <c r="V384" s="156" t="str">
        <f>+VLOOKUP($L384,Data_Validation!$A:$D,4,0)</f>
        <v>Divers</v>
      </c>
      <c r="W384" s="156" t="str">
        <f>+VLOOKUP($L384,Data_Validation!$A:$E,5,0)</f>
        <v>$</v>
      </c>
      <c r="X384" s="156">
        <f>+VLOOKUP($L384,Data_Validation!$A:$F,6,0)</f>
        <v>0</v>
      </c>
    </row>
    <row r="385" spans="1:24" ht="15" hidden="1" customHeight="1">
      <c r="A385" s="1013" t="s">
        <v>1217</v>
      </c>
      <c r="B385" s="1013" t="s">
        <v>2469</v>
      </c>
      <c r="C385" s="1015">
        <v>29.49</v>
      </c>
      <c r="D385" s="1015">
        <v>128.49</v>
      </c>
      <c r="E385" s="1015">
        <v>157.97999999999999</v>
      </c>
      <c r="F385" s="1013" t="s">
        <v>401</v>
      </c>
      <c r="G385" s="1013" t="s">
        <v>2470</v>
      </c>
      <c r="H385" s="150"/>
      <c r="I385" s="151"/>
      <c r="J385" s="151"/>
      <c r="K385" s="151"/>
      <c r="L385" s="153" t="str">
        <f t="shared" si="40"/>
        <v>6556</v>
      </c>
      <c r="M385" s="154" t="str">
        <f t="shared" si="41"/>
        <v>FRAIS REPRESENTATION</v>
      </c>
      <c r="N385" s="155">
        <f>+IF(OR($Q385=Parametres!$G$2,$Q385=Parametres!$G$3),I385,C385)</f>
        <v>29.49</v>
      </c>
      <c r="O385" s="155">
        <f>+IF(OR($Q385=Parametres!$G$2,$Q385=Parametres!$G$3),J385,D385)</f>
        <v>128.49</v>
      </c>
      <c r="P385" s="155">
        <f>+IF(OR($Q385=Parametres!$G$2,$Q385=Parametres!$G$3),K385,E385)</f>
        <v>157.97999999999999</v>
      </c>
      <c r="Q385" s="154" t="str">
        <f t="shared" si="42"/>
        <v>7-Dépenses</v>
      </c>
      <c r="R385" s="153" t="str">
        <f t="shared" si="43"/>
        <v>6156</v>
      </c>
      <c r="S385" s="154">
        <f t="shared" si="44"/>
        <v>0</v>
      </c>
      <c r="T385" s="156" t="str">
        <f>+VLOOKUP($L385,Data_Validation!$A:$D,1,0)</f>
        <v>6556</v>
      </c>
      <c r="U385" s="156" t="str">
        <f>+VLOOKUP($L385,Data_Validation!$A:$D,3,0)</f>
        <v>Carrosserie</v>
      </c>
      <c r="V385" s="156" t="str">
        <f>+VLOOKUP($L385,Data_Validation!$A:$D,4,0)</f>
        <v>Frais de déplacement</v>
      </c>
      <c r="W385" s="156" t="str">
        <f>+VLOOKUP($L385,Data_Validation!$A:$E,5,0)</f>
        <v>$</v>
      </c>
      <c r="X385" s="156">
        <f>+VLOOKUP($L385,Data_Validation!$A:$F,6,0)</f>
        <v>0</v>
      </c>
    </row>
    <row r="386" spans="1:24" ht="15" hidden="1" customHeight="1">
      <c r="A386" s="1013" t="s">
        <v>1308</v>
      </c>
      <c r="B386" s="1013" t="s">
        <v>2661</v>
      </c>
      <c r="C386" s="1015">
        <v>632.9</v>
      </c>
      <c r="D386" s="1015">
        <v>417.9</v>
      </c>
      <c r="E386" s="1015">
        <v>1050.8</v>
      </c>
      <c r="F386" s="1013" t="s">
        <v>401</v>
      </c>
      <c r="G386" s="1013" t="s">
        <v>2662</v>
      </c>
      <c r="H386" s="150"/>
      <c r="I386" s="151"/>
      <c r="J386" s="151"/>
      <c r="K386" s="151"/>
      <c r="L386" s="153" t="str">
        <f t="shared" ref="L386:L449" si="45">+B386</f>
        <v>6559</v>
      </c>
      <c r="M386" s="154" t="str">
        <f t="shared" ref="M386:M449" si="46">+A386</f>
        <v>SERVICE EXTERIEUR</v>
      </c>
      <c r="N386" s="155">
        <f>+IF(OR($Q386=Parametres!$G$2,$Q386=Parametres!$G$3),I386,C386)</f>
        <v>632.9</v>
      </c>
      <c r="O386" s="155">
        <f>+IF(OR($Q386=Parametres!$G$2,$Q386=Parametres!$G$3),J386,D386)</f>
        <v>417.9</v>
      </c>
      <c r="P386" s="155">
        <f>+IF(OR($Q386=Parametres!$G$2,$Q386=Parametres!$G$3),K386,E386)</f>
        <v>1050.8</v>
      </c>
      <c r="Q386" s="154" t="str">
        <f t="shared" ref="Q386:Q449" si="47">+F386</f>
        <v>7-Dépenses</v>
      </c>
      <c r="R386" s="153" t="str">
        <f t="shared" ref="R386:R449" si="48">+G386</f>
        <v>6159</v>
      </c>
      <c r="S386" s="154">
        <f t="shared" ref="S386:S449" si="49">+H386</f>
        <v>0</v>
      </c>
      <c r="T386" s="156" t="str">
        <f>+VLOOKUP($L386,Data_Validation!$A:$D,1,0)</f>
        <v>6559</v>
      </c>
      <c r="U386" s="156" t="str">
        <f>+VLOOKUP($L386,Data_Validation!$A:$D,3,0)</f>
        <v>Carrosserie</v>
      </c>
      <c r="V386" s="156" t="str">
        <f>+VLOOKUP($L386,Data_Validation!$A:$D,4,0)</f>
        <v>Services extérieurs</v>
      </c>
      <c r="W386" s="156" t="str">
        <f>+VLOOKUP($L386,Data_Validation!$A:$E,5,0)</f>
        <v>$</v>
      </c>
      <c r="X386" s="156">
        <f>+VLOOKUP($L386,Data_Validation!$A:$F,6,0)</f>
        <v>0</v>
      </c>
    </row>
    <row r="387" spans="1:24" ht="15.75" hidden="1" customHeight="1">
      <c r="A387" s="1013" t="s">
        <v>1333</v>
      </c>
      <c r="B387" s="1013" t="s">
        <v>2652</v>
      </c>
      <c r="C387" s="1015">
        <v>1283.3800000000001</v>
      </c>
      <c r="D387" s="1015">
        <v>641.69000000000005</v>
      </c>
      <c r="E387" s="1015">
        <v>1925.07</v>
      </c>
      <c r="F387" s="1013" t="s">
        <v>401</v>
      </c>
      <c r="G387" s="1013" t="s">
        <v>2653</v>
      </c>
      <c r="H387" s="150"/>
      <c r="I387" s="151"/>
      <c r="J387" s="151"/>
      <c r="K387" s="151"/>
      <c r="L387" s="153" t="str">
        <f t="shared" si="45"/>
        <v>6561</v>
      </c>
      <c r="M387" s="154" t="str">
        <f t="shared" si="46"/>
        <v>DEPRECIATION EQUIP. &amp; FIXTURES</v>
      </c>
      <c r="N387" s="155">
        <f>+IF(OR($Q387=Parametres!$G$2,$Q387=Parametres!$G$3),I387,C387)</f>
        <v>1283.3800000000001</v>
      </c>
      <c r="O387" s="155">
        <f>+IF(OR($Q387=Parametres!$G$2,$Q387=Parametres!$G$3),J387,D387)</f>
        <v>641.69000000000005</v>
      </c>
      <c r="P387" s="155">
        <f>+IF(OR($Q387=Parametres!$G$2,$Q387=Parametres!$G$3),K387,E387)</f>
        <v>1925.07</v>
      </c>
      <c r="Q387" s="154" t="str">
        <f t="shared" si="47"/>
        <v>7-Dépenses</v>
      </c>
      <c r="R387" s="153" t="str">
        <f t="shared" si="48"/>
        <v>6161</v>
      </c>
      <c r="S387" s="154">
        <f t="shared" si="49"/>
        <v>0</v>
      </c>
      <c r="T387" s="156" t="str">
        <f>+VLOOKUP($L387,Data_Validation!$A:$D,1,0)</f>
        <v>6561</v>
      </c>
      <c r="U387" s="156" t="str">
        <f>+VLOOKUP($L387,Data_Validation!$A:$D,3,0)</f>
        <v>Carrosserie</v>
      </c>
      <c r="V387" s="156" t="str">
        <f>+VLOOKUP($L387,Data_Validation!$A:$D,4,0)</f>
        <v>Amortissement</v>
      </c>
      <c r="W387" s="156" t="str">
        <f>+VLOOKUP($L387,Data_Validation!$A:$E,5,0)</f>
        <v>$</v>
      </c>
      <c r="X387" s="156">
        <f>+VLOOKUP($L387,Data_Validation!$A:$F,6,0)</f>
        <v>0</v>
      </c>
    </row>
    <row r="388" spans="1:24" ht="15" hidden="1" customHeight="1">
      <c r="A388" s="1013" t="s">
        <v>1244</v>
      </c>
      <c r="B388" s="1013" t="s">
        <v>2603</v>
      </c>
      <c r="C388" s="1015">
        <v>384.19</v>
      </c>
      <c r="D388" s="1015">
        <v>266.68</v>
      </c>
      <c r="E388" s="1015">
        <v>650.87</v>
      </c>
      <c r="F388" s="1013" t="s">
        <v>401</v>
      </c>
      <c r="G388" s="1013" t="s">
        <v>2604</v>
      </c>
      <c r="H388" s="150"/>
      <c r="I388" s="151"/>
      <c r="J388" s="151"/>
      <c r="K388" s="151"/>
      <c r="L388" s="153" t="str">
        <f t="shared" si="45"/>
        <v>6581</v>
      </c>
      <c r="M388" s="154" t="str">
        <f t="shared" si="46"/>
        <v>CHAUFFAGE,ELECTRICITE,EAU-CARROS.</v>
      </c>
      <c r="N388" s="155">
        <f>+IF(OR($Q388=Parametres!$G$2,$Q388=Parametres!$G$3),I388,C388)</f>
        <v>384.19</v>
      </c>
      <c r="O388" s="155">
        <f>+IF(OR($Q388=Parametres!$G$2,$Q388=Parametres!$G$3),J388,D388)</f>
        <v>266.68</v>
      </c>
      <c r="P388" s="155">
        <f>+IF(OR($Q388=Parametres!$G$2,$Q388=Parametres!$G$3),K388,E388)</f>
        <v>650.87</v>
      </c>
      <c r="Q388" s="154" t="str">
        <f t="shared" si="47"/>
        <v>7-Dépenses</v>
      </c>
      <c r="R388" s="153" t="str">
        <f t="shared" si="48"/>
        <v>6181</v>
      </c>
      <c r="S388" s="154">
        <f t="shared" si="49"/>
        <v>0</v>
      </c>
      <c r="T388" s="156" t="str">
        <f>+VLOOKUP($L388,Data_Validation!$A:$D,1,0)</f>
        <v>6581</v>
      </c>
      <c r="U388" s="156" t="str">
        <f>+VLOOKUP($L388,Data_Validation!$A:$D,3,0)</f>
        <v>Carrosserie</v>
      </c>
      <c r="V388" s="156" t="str">
        <f>+VLOOKUP($L388,Data_Validation!$A:$D,4,0)</f>
        <v>Chauffage, éclairage</v>
      </c>
      <c r="W388" s="156" t="str">
        <f>+VLOOKUP($L388,Data_Validation!$A:$E,5,0)</f>
        <v>$</v>
      </c>
      <c r="X388" s="156">
        <f>+VLOOKUP($L388,Data_Validation!$A:$F,6,0)</f>
        <v>0</v>
      </c>
    </row>
    <row r="389" spans="1:24" ht="15" hidden="1" customHeight="1">
      <c r="A389" s="1013" t="s">
        <v>1398</v>
      </c>
      <c r="B389" s="1013" t="s">
        <v>2708</v>
      </c>
      <c r="C389" s="1015">
        <v>3640</v>
      </c>
      <c r="D389" s="1015">
        <v>1820</v>
      </c>
      <c r="E389" s="1015">
        <v>5460</v>
      </c>
      <c r="F389" s="1013" t="s">
        <v>401</v>
      </c>
      <c r="G389" s="1013" t="s">
        <v>2709</v>
      </c>
      <c r="H389" s="150"/>
      <c r="I389" s="157"/>
      <c r="J389" s="157"/>
      <c r="K389" s="157"/>
      <c r="L389" s="153" t="str">
        <f t="shared" si="45"/>
        <v>6582</v>
      </c>
      <c r="M389" s="154" t="str">
        <f t="shared" si="46"/>
        <v>LOYER - CARROSSERIE</v>
      </c>
      <c r="N389" s="155">
        <f>+IF(OR($Q389=Parametres!$G$2,$Q389=Parametres!$G$3),I389,C389)</f>
        <v>3640</v>
      </c>
      <c r="O389" s="155">
        <f>+IF(OR($Q389=Parametres!$G$2,$Q389=Parametres!$G$3),J389,D389)</f>
        <v>1820</v>
      </c>
      <c r="P389" s="155">
        <f>+IF(OR($Q389=Parametres!$G$2,$Q389=Parametres!$G$3),K389,E389)</f>
        <v>5460</v>
      </c>
      <c r="Q389" s="154" t="str">
        <f t="shared" si="47"/>
        <v>7-Dépenses</v>
      </c>
      <c r="R389" s="153" t="str">
        <f t="shared" si="48"/>
        <v>6182</v>
      </c>
      <c r="S389" s="154">
        <f t="shared" si="49"/>
        <v>0</v>
      </c>
      <c r="T389" s="156" t="str">
        <f>+VLOOKUP($L389,Data_Validation!$A:$D,1,0)</f>
        <v>6582</v>
      </c>
      <c r="U389" s="156" t="str">
        <f>+VLOOKUP($L389,Data_Validation!$A:$D,3,0)</f>
        <v>Carrosserie</v>
      </c>
      <c r="V389" s="156" t="str">
        <f>+VLOOKUP($L389,Data_Validation!$A:$D,4,0)</f>
        <v>Loyer</v>
      </c>
      <c r="W389" s="156" t="str">
        <f>+VLOOKUP($L389,Data_Validation!$A:$E,5,0)</f>
        <v>$</v>
      </c>
      <c r="X389" s="156">
        <f>+VLOOKUP($L389,Data_Validation!$A:$F,6,0)</f>
        <v>0</v>
      </c>
    </row>
    <row r="390" spans="1:24" ht="15" hidden="1" customHeight="1">
      <c r="A390" s="1013" t="s">
        <v>1255</v>
      </c>
      <c r="B390" s="1013" t="s">
        <v>2593</v>
      </c>
      <c r="C390" s="1015">
        <v>519.14</v>
      </c>
      <c r="D390" s="1015">
        <v>259.57</v>
      </c>
      <c r="E390" s="1015">
        <v>778.71</v>
      </c>
      <c r="F390" s="1013" t="s">
        <v>401</v>
      </c>
      <c r="G390" s="1013" t="s">
        <v>2594</v>
      </c>
      <c r="H390" s="150"/>
      <c r="I390" s="152"/>
      <c r="J390" s="152"/>
      <c r="K390" s="152"/>
      <c r="L390" s="153" t="str">
        <f t="shared" si="45"/>
        <v>6586</v>
      </c>
      <c r="M390" s="154" t="str">
        <f t="shared" si="46"/>
        <v>ASSURANCE BATISSE &amp; AMEL.-CARROS.</v>
      </c>
      <c r="N390" s="155">
        <f>+IF(OR($Q390=Parametres!$G$2,$Q390=Parametres!$G$3),I390,C390)</f>
        <v>519.14</v>
      </c>
      <c r="O390" s="155">
        <f>+IF(OR($Q390=Parametres!$G$2,$Q390=Parametres!$G$3),J390,D390)</f>
        <v>259.57</v>
      </c>
      <c r="P390" s="155">
        <f>+IF(OR($Q390=Parametres!$G$2,$Q390=Parametres!$G$3),K390,E390)</f>
        <v>778.71</v>
      </c>
      <c r="Q390" s="154" t="str">
        <f t="shared" si="47"/>
        <v>7-Dépenses</v>
      </c>
      <c r="R390" s="153" t="str">
        <f t="shared" si="48"/>
        <v>6186</v>
      </c>
      <c r="S390" s="154">
        <f t="shared" si="49"/>
        <v>0</v>
      </c>
      <c r="T390" s="156" t="str">
        <f>+VLOOKUP($L390,Data_Validation!$A:$D,1,0)</f>
        <v>6586</v>
      </c>
      <c r="U390" s="156" t="str">
        <f>+VLOOKUP($L390,Data_Validation!$A:$D,3,0)</f>
        <v>Carrosserie</v>
      </c>
      <c r="V390" s="156" t="str">
        <f>+VLOOKUP($L390,Data_Validation!$A:$D,4,0)</f>
        <v>Assurances</v>
      </c>
      <c r="W390" s="156" t="str">
        <f>+VLOOKUP($L390,Data_Validation!$A:$E,5,0)</f>
        <v>$</v>
      </c>
      <c r="X390" s="156">
        <f>+VLOOKUP($L390,Data_Validation!$A:$F,6,0)</f>
        <v>0</v>
      </c>
    </row>
    <row r="391" spans="1:24" ht="15.75" hidden="1" customHeight="1">
      <c r="A391" s="1013" t="s">
        <v>1264</v>
      </c>
      <c r="B391" s="1013" t="s">
        <v>2613</v>
      </c>
      <c r="C391" s="1015">
        <v>673.4</v>
      </c>
      <c r="D391" s="1015">
        <v>336.7</v>
      </c>
      <c r="E391" s="1015">
        <v>1010.1</v>
      </c>
      <c r="F391" s="1013" t="s">
        <v>401</v>
      </c>
      <c r="G391" s="1013" t="s">
        <v>2614</v>
      </c>
      <c r="H391" s="150"/>
      <c r="I391" s="157"/>
      <c r="J391" s="157"/>
      <c r="K391" s="157"/>
      <c r="L391" s="153" t="str">
        <f t="shared" si="45"/>
        <v>6587</v>
      </c>
      <c r="M391" s="154" t="str">
        <f t="shared" si="46"/>
        <v>TAXES FONCIERES - CAROSSERIE</v>
      </c>
      <c r="N391" s="155">
        <f>+IF(OR($Q391=Parametres!$G$2,$Q391=Parametres!$G$3),I391,C391)</f>
        <v>673.4</v>
      </c>
      <c r="O391" s="155">
        <f>+IF(OR($Q391=Parametres!$G$2,$Q391=Parametres!$G$3),J391,D391)</f>
        <v>336.7</v>
      </c>
      <c r="P391" s="155">
        <f>+IF(OR($Q391=Parametres!$G$2,$Q391=Parametres!$G$3),K391,E391)</f>
        <v>1010.1</v>
      </c>
      <c r="Q391" s="154" t="str">
        <f t="shared" si="47"/>
        <v>7-Dépenses</v>
      </c>
      <c r="R391" s="153" t="str">
        <f t="shared" si="48"/>
        <v>6187</v>
      </c>
      <c r="S391" s="154">
        <f t="shared" si="49"/>
        <v>0</v>
      </c>
      <c r="T391" s="156" t="str">
        <f>+VLOOKUP($L391,Data_Validation!$A:$D,1,0)</f>
        <v>6587</v>
      </c>
      <c r="U391" s="156" t="str">
        <f>+VLOOKUP($L391,Data_Validation!$A:$D,3,0)</f>
        <v>Carrosserie</v>
      </c>
      <c r="V391" s="156" t="str">
        <f>+VLOOKUP($L391,Data_Validation!$A:$D,4,0)</f>
        <v>Taxes foncières</v>
      </c>
      <c r="W391" s="156" t="str">
        <f>+VLOOKUP($L391,Data_Validation!$A:$E,5,0)</f>
        <v>$</v>
      </c>
      <c r="X391" s="156">
        <f>+VLOOKUP($L391,Data_Validation!$A:$F,6,0)</f>
        <v>0</v>
      </c>
    </row>
    <row r="392" spans="1:24" ht="15" hidden="1" customHeight="1">
      <c r="A392" s="1013" t="s">
        <v>1225</v>
      </c>
      <c r="B392" s="1013" t="s">
        <v>2596</v>
      </c>
      <c r="C392" s="1015">
        <v>448</v>
      </c>
      <c r="D392" s="1015">
        <v>224</v>
      </c>
      <c r="E392" s="1015">
        <v>672</v>
      </c>
      <c r="F392" s="1013" t="s">
        <v>401</v>
      </c>
      <c r="G392" s="1013" t="s">
        <v>2597</v>
      </c>
      <c r="H392" s="150"/>
      <c r="I392" s="157"/>
      <c r="J392" s="157"/>
      <c r="K392" s="157"/>
      <c r="L392" s="153" t="str">
        <f t="shared" si="45"/>
        <v>6593</v>
      </c>
      <c r="M392" s="154" t="str">
        <f t="shared" si="46"/>
        <v>AUTRES TAXES -CARROSSERIE</v>
      </c>
      <c r="N392" s="155">
        <f>+IF(OR($Q392=Parametres!$G$2,$Q392=Parametres!$G$3),I392,C392)</f>
        <v>448</v>
      </c>
      <c r="O392" s="155">
        <f>+IF(OR($Q392=Parametres!$G$2,$Q392=Parametres!$G$3),J392,D392)</f>
        <v>224</v>
      </c>
      <c r="P392" s="155">
        <f>+IF(OR($Q392=Parametres!$G$2,$Q392=Parametres!$G$3),K392,E392)</f>
        <v>672</v>
      </c>
      <c r="Q392" s="154" t="str">
        <f t="shared" si="47"/>
        <v>7-Dépenses</v>
      </c>
      <c r="R392" s="153" t="str">
        <f t="shared" si="48"/>
        <v>6193</v>
      </c>
      <c r="S392" s="154">
        <f t="shared" si="49"/>
        <v>0</v>
      </c>
      <c r="T392" s="156" t="str">
        <f>+VLOOKUP($L392,Data_Validation!$A:$D,1,0)</f>
        <v>6593</v>
      </c>
      <c r="U392" s="156" t="str">
        <f>+VLOOKUP($L392,Data_Validation!$A:$D,3,0)</f>
        <v>Carrosserie</v>
      </c>
      <c r="V392" s="156" t="str">
        <f>+VLOOKUP($L392,Data_Validation!$A:$D,4,0)</f>
        <v>Taxes d`affaires</v>
      </c>
      <c r="W392" s="156" t="str">
        <f>+VLOOKUP($L392,Data_Validation!$A:$E,5,0)</f>
        <v>$</v>
      </c>
      <c r="X392" s="156">
        <f>+VLOOKUP($L392,Data_Validation!$A:$F,6,0)</f>
        <v>0</v>
      </c>
    </row>
    <row r="393" spans="1:24" ht="15" hidden="1" customHeight="1">
      <c r="A393" s="1013" t="s">
        <v>1271</v>
      </c>
      <c r="B393" s="1013" t="s">
        <v>2634</v>
      </c>
      <c r="C393" s="1015">
        <v>870.4</v>
      </c>
      <c r="D393" s="1015">
        <v>435.2</v>
      </c>
      <c r="E393" s="1015">
        <v>1305.5999999999999</v>
      </c>
      <c r="F393" s="1013" t="s">
        <v>401</v>
      </c>
      <c r="G393" s="1013" t="s">
        <v>2635</v>
      </c>
      <c r="H393" s="150"/>
      <c r="I393" s="157"/>
      <c r="J393" s="157"/>
      <c r="K393" s="157"/>
      <c r="L393" s="153" t="str">
        <f t="shared" si="45"/>
        <v>6594</v>
      </c>
      <c r="M393" s="154" t="str">
        <f t="shared" si="46"/>
        <v>FRAIS PROFESSIONNEL-CARROS.</v>
      </c>
      <c r="N393" s="155">
        <f>+IF(OR($Q393=Parametres!$G$2,$Q393=Parametres!$G$3),I393,C393)</f>
        <v>870.4</v>
      </c>
      <c r="O393" s="155">
        <f>+IF(OR($Q393=Parametres!$G$2,$Q393=Parametres!$G$3),J393,D393)</f>
        <v>435.2</v>
      </c>
      <c r="P393" s="155">
        <f>+IF(OR($Q393=Parametres!$G$2,$Q393=Parametres!$G$3),K393,E393)</f>
        <v>1305.5999999999999</v>
      </c>
      <c r="Q393" s="154" t="str">
        <f t="shared" si="47"/>
        <v>7-Dépenses</v>
      </c>
      <c r="R393" s="153" t="str">
        <f t="shared" si="48"/>
        <v>6194</v>
      </c>
      <c r="S393" s="154">
        <f t="shared" si="49"/>
        <v>0</v>
      </c>
      <c r="T393" s="156" t="str">
        <f>+VLOOKUP($L393,Data_Validation!$A:$D,1,0)</f>
        <v>6594</v>
      </c>
      <c r="U393" s="156" t="str">
        <f>+VLOOKUP($L393,Data_Validation!$A:$D,3,0)</f>
        <v>Carrosserie</v>
      </c>
      <c r="V393" s="156" t="str">
        <f>+VLOOKUP($L393,Data_Validation!$A:$D,4,0)</f>
        <v>Honoraires</v>
      </c>
      <c r="W393" s="156" t="str">
        <f>+VLOOKUP($L393,Data_Validation!$A:$E,5,0)</f>
        <v>$</v>
      </c>
      <c r="X393" s="156">
        <f>+VLOOKUP($L393,Data_Validation!$A:$F,6,0)</f>
        <v>0</v>
      </c>
    </row>
    <row r="394" spans="1:24" ht="15" customHeight="1">
      <c r="A394" s="1013" t="s">
        <v>399</v>
      </c>
      <c r="B394" s="1013" t="s">
        <v>2472</v>
      </c>
      <c r="C394" s="1015">
        <v>246.23</v>
      </c>
      <c r="D394" s="1015">
        <v>0</v>
      </c>
      <c r="E394" s="1015">
        <v>246.23</v>
      </c>
      <c r="F394" s="1013" t="s">
        <v>401</v>
      </c>
      <c r="G394" s="1013" t="s">
        <v>2467</v>
      </c>
      <c r="H394" s="150"/>
      <c r="I394" s="151"/>
      <c r="J394" s="151"/>
      <c r="K394" s="151"/>
      <c r="L394" s="153" t="str">
        <f t="shared" si="45"/>
        <v>6703</v>
      </c>
      <c r="M394" s="154" t="str">
        <f t="shared" si="46"/>
        <v>RELAT. A LA CLIENTELE &amp; AJUST.</v>
      </c>
      <c r="N394" s="155">
        <f>+IF(OR($Q394=Parametres!$G$2,$Q394=Parametres!$G$3),I394,C394)</f>
        <v>246.23</v>
      </c>
      <c r="O394" s="155">
        <f>+IF(OR($Q394=Parametres!$G$2,$Q394=Parametres!$G$3),J394,D394)</f>
        <v>0</v>
      </c>
      <c r="P394" s="155">
        <f>+IF(OR($Q394=Parametres!$G$2,$Q394=Parametres!$G$3),K394,E394)</f>
        <v>246.23</v>
      </c>
      <c r="Q394" s="154" t="str">
        <f t="shared" si="47"/>
        <v>7-Dépenses</v>
      </c>
      <c r="R394" s="153" t="str">
        <f t="shared" si="48"/>
        <v>6112</v>
      </c>
      <c r="S394" s="154">
        <f t="shared" si="49"/>
        <v>0</v>
      </c>
      <c r="T394" s="156" t="str">
        <f>+VLOOKUP($L394,Data_Validation!$A:$D,1,0)</f>
        <v>6703</v>
      </c>
      <c r="U394" s="156" t="str">
        <f>+VLOOKUP($L394,Data_Validation!$A:$D,3,0)</f>
        <v>Pièces</v>
      </c>
      <c r="V394" s="156" t="str">
        <f>+VLOOKUP($L394,Data_Validation!$A:$D,4,0)</f>
        <v>Service gratuit 2</v>
      </c>
      <c r="W394" s="156" t="str">
        <f>+VLOOKUP($L394,Data_Validation!$A:$E,5,0)</f>
        <v>$</v>
      </c>
      <c r="X394" s="156">
        <f>+VLOOKUP($L394,Data_Validation!$A:$F,6,0)</f>
        <v>0</v>
      </c>
    </row>
    <row r="395" spans="1:24" ht="15.75" hidden="1" customHeight="1">
      <c r="A395" s="1013" t="s">
        <v>1374</v>
      </c>
      <c r="B395" s="1013" t="s">
        <v>2675</v>
      </c>
      <c r="C395" s="1015">
        <v>7004.97</v>
      </c>
      <c r="D395" s="1015">
        <v>8900.66</v>
      </c>
      <c r="E395" s="1015">
        <v>15905.63</v>
      </c>
      <c r="F395" s="1013" t="s">
        <v>401</v>
      </c>
      <c r="G395" s="1013" t="s">
        <v>2113</v>
      </c>
      <c r="H395" s="150"/>
      <c r="I395" s="157"/>
      <c r="J395" s="157"/>
      <c r="K395" s="157"/>
      <c r="L395" s="153" t="str">
        <f t="shared" si="45"/>
        <v>6714</v>
      </c>
      <c r="M395" s="154" t="str">
        <f t="shared" si="46"/>
        <v>PUBLICITE</v>
      </c>
      <c r="N395" s="155">
        <f>+IF(OR($Q395=Parametres!$G$2,$Q395=Parametres!$G$3),I395,C395)</f>
        <v>7004.97</v>
      </c>
      <c r="O395" s="155">
        <f>+IF(OR($Q395=Parametres!$G$2,$Q395=Parametres!$G$3),J395,D395)</f>
        <v>8900.66</v>
      </c>
      <c r="P395" s="155">
        <f>+IF(OR($Q395=Parametres!$G$2,$Q395=Parametres!$G$3),K395,E395)</f>
        <v>15905.63</v>
      </c>
      <c r="Q395" s="154" t="str">
        <f t="shared" si="47"/>
        <v>7-Dépenses</v>
      </c>
      <c r="R395" s="153" t="str">
        <f t="shared" si="48"/>
        <v>6114</v>
      </c>
      <c r="S395" s="154">
        <f t="shared" si="49"/>
        <v>0</v>
      </c>
      <c r="T395" s="156" t="str">
        <f>+VLOOKUP($L395,Data_Validation!$A:$D,1,0)</f>
        <v>6714</v>
      </c>
      <c r="U395" s="156" t="str">
        <f>+VLOOKUP($L395,Data_Validation!$A:$D,3,0)</f>
        <v>Pièces</v>
      </c>
      <c r="V395" s="156" t="str">
        <f>+VLOOKUP($L395,Data_Validation!$A:$D,4,0)</f>
        <v>Publicité 2</v>
      </c>
      <c r="W395" s="156" t="str">
        <f>+VLOOKUP($L395,Data_Validation!$A:$E,5,0)</f>
        <v>$</v>
      </c>
      <c r="X395" s="156">
        <f>+VLOOKUP($L395,Data_Validation!$A:$F,6,0)</f>
        <v>0</v>
      </c>
    </row>
    <row r="396" spans="1:24" ht="15" hidden="1" customHeight="1">
      <c r="A396" s="1013" t="s">
        <v>1357</v>
      </c>
      <c r="B396" s="1013" t="s">
        <v>2715</v>
      </c>
      <c r="C396" s="1015">
        <v>1458.34</v>
      </c>
      <c r="D396" s="1015">
        <v>729.17</v>
      </c>
      <c r="E396" s="1015">
        <v>2187.5100000000002</v>
      </c>
      <c r="F396" s="1013" t="s">
        <v>401</v>
      </c>
      <c r="G396" s="1013" t="s">
        <v>2648</v>
      </c>
      <c r="H396" s="150"/>
      <c r="I396" s="157"/>
      <c r="J396" s="157"/>
      <c r="K396" s="157"/>
      <c r="L396" s="153" t="str">
        <f t="shared" si="45"/>
        <v>6721</v>
      </c>
      <c r="M396" s="154" t="str">
        <f t="shared" si="46"/>
        <v>SALAIRES - PROPRIEATIRES</v>
      </c>
      <c r="N396" s="155">
        <f>+IF(OR($Q396=Parametres!$G$2,$Q396=Parametres!$G$3),I396,C396)</f>
        <v>1458.34</v>
      </c>
      <c r="O396" s="155">
        <f>+IF(OR($Q396=Parametres!$G$2,$Q396=Parametres!$G$3),J396,D396)</f>
        <v>729.17</v>
      </c>
      <c r="P396" s="155">
        <f>+IF(OR($Q396=Parametres!$G$2,$Q396=Parametres!$G$3),K396,E396)</f>
        <v>2187.5100000000002</v>
      </c>
      <c r="Q396" s="154" t="str">
        <f t="shared" si="47"/>
        <v>7-Dépenses</v>
      </c>
      <c r="R396" s="153" t="str">
        <f t="shared" si="48"/>
        <v>6121</v>
      </c>
      <c r="S396" s="154">
        <f t="shared" si="49"/>
        <v>0</v>
      </c>
      <c r="T396" s="156" t="str">
        <f>+VLOOKUP($L396,Data_Validation!$A:$D,1,0)</f>
        <v>6721</v>
      </c>
      <c r="U396" s="156" t="str">
        <f>+VLOOKUP($L396,Data_Validation!$A:$D,3,0)</f>
        <v>Pièces</v>
      </c>
      <c r="V396" s="156" t="str">
        <f>+VLOOKUP($L396,Data_Validation!$A:$D,4,0)</f>
        <v>Salaires propriétaire</v>
      </c>
      <c r="W396" s="156" t="str">
        <f>+VLOOKUP($L396,Data_Validation!$A:$E,5,0)</f>
        <v>$</v>
      </c>
      <c r="X396" s="156">
        <f>+VLOOKUP($L396,Data_Validation!$A:$F,6,0)</f>
        <v>0</v>
      </c>
    </row>
    <row r="397" spans="1:24" ht="15" hidden="1" customHeight="1">
      <c r="A397" s="1013" t="s">
        <v>2624</v>
      </c>
      <c r="B397" s="1013" t="s">
        <v>2765</v>
      </c>
      <c r="C397" s="1015">
        <v>10585.28</v>
      </c>
      <c r="D397" s="1015">
        <v>8133.72</v>
      </c>
      <c r="E397" s="1015">
        <v>18719</v>
      </c>
      <c r="F397" s="1013" t="s">
        <v>401</v>
      </c>
      <c r="G397" s="1013" t="s">
        <v>2626</v>
      </c>
      <c r="H397" s="150"/>
      <c r="I397" s="151"/>
      <c r="J397" s="151"/>
      <c r="K397" s="151"/>
      <c r="L397" s="153" t="str">
        <f t="shared" si="45"/>
        <v>6722</v>
      </c>
      <c r="M397" s="154" t="str">
        <f t="shared" si="46"/>
        <v>SAL SUPERVISION / GERANT</v>
      </c>
      <c r="N397" s="155">
        <f>+IF(OR($Q397=Parametres!$G$2,$Q397=Parametres!$G$3),I397,C397)</f>
        <v>10585.28</v>
      </c>
      <c r="O397" s="155">
        <f>+IF(OR($Q397=Parametres!$G$2,$Q397=Parametres!$G$3),J397,D397)</f>
        <v>8133.72</v>
      </c>
      <c r="P397" s="155">
        <f>+IF(OR($Q397=Parametres!$G$2,$Q397=Parametres!$G$3),K397,E397)</f>
        <v>18719</v>
      </c>
      <c r="Q397" s="154" t="str">
        <f t="shared" si="47"/>
        <v>7-Dépenses</v>
      </c>
      <c r="R397" s="153" t="str">
        <f t="shared" si="48"/>
        <v>6122</v>
      </c>
      <c r="S397" s="154">
        <f t="shared" si="49"/>
        <v>0</v>
      </c>
      <c r="T397" s="156" t="str">
        <f>+VLOOKUP($L397,Data_Validation!$A:$D,1,0)</f>
        <v>6722</v>
      </c>
      <c r="U397" s="156" t="str">
        <f>+VLOOKUP($L397,Data_Validation!$A:$D,3,0)</f>
        <v>Pièces</v>
      </c>
      <c r="V397" s="156" t="str">
        <f>+VLOOKUP($L397,Data_Validation!$A:$D,4,0)</f>
        <v>Salaires cadres</v>
      </c>
      <c r="W397" s="156" t="str">
        <f>+VLOOKUP($L397,Data_Validation!$A:$E,5,0)</f>
        <v>$</v>
      </c>
      <c r="X397" s="156">
        <f>+VLOOKUP($L397,Data_Validation!$A:$F,6,0)</f>
        <v>0</v>
      </c>
    </row>
    <row r="398" spans="1:24" ht="15" hidden="1" customHeight="1">
      <c r="A398" s="1013" t="s">
        <v>1342</v>
      </c>
      <c r="B398" s="1013" t="s">
        <v>2731</v>
      </c>
      <c r="C398" s="1015">
        <v>7531.57</v>
      </c>
      <c r="D398" s="1015">
        <v>4156.03</v>
      </c>
      <c r="E398" s="1015">
        <v>11687.6</v>
      </c>
      <c r="F398" s="1013" t="s">
        <v>401</v>
      </c>
      <c r="G398" s="1013" t="s">
        <v>2679</v>
      </c>
      <c r="H398" s="949"/>
      <c r="I398" s="948"/>
      <c r="J398" s="948"/>
      <c r="K398" s="948"/>
      <c r="L398" s="153" t="str">
        <f t="shared" si="45"/>
        <v>6723</v>
      </c>
      <c r="M398" s="154" t="str">
        <f t="shared" si="46"/>
        <v>SAL. &amp; RENUM. - CLERICAL</v>
      </c>
      <c r="N398" s="155">
        <f>+IF(OR($Q398=Parametres!$G$2,$Q398=Parametres!$G$3),I398,C398)</f>
        <v>7531.57</v>
      </c>
      <c r="O398" s="155">
        <f>+IF(OR($Q398=Parametres!$G$2,$Q398=Parametres!$G$3),J398,D398)</f>
        <v>4156.03</v>
      </c>
      <c r="P398" s="155">
        <f>+IF(OR($Q398=Parametres!$G$2,$Q398=Parametres!$G$3),K398,E398)</f>
        <v>11687.6</v>
      </c>
      <c r="Q398" s="154" t="str">
        <f t="shared" si="47"/>
        <v>7-Dépenses</v>
      </c>
      <c r="R398" s="153" t="str">
        <f t="shared" si="48"/>
        <v>6123</v>
      </c>
      <c r="S398" s="154">
        <f t="shared" si="49"/>
        <v>0</v>
      </c>
      <c r="T398" s="156" t="str">
        <f>+VLOOKUP($L398,Data_Validation!$A:$D,1,0)</f>
        <v>6723</v>
      </c>
      <c r="U398" s="156" t="str">
        <f>+VLOOKUP($L398,Data_Validation!$A:$D,3,0)</f>
        <v>Pièces</v>
      </c>
      <c r="V398" s="156" t="str">
        <f>+VLOOKUP($L398,Data_Validation!$A:$D,4,0)</f>
        <v>Salaires commis</v>
      </c>
      <c r="W398" s="156" t="str">
        <f>+VLOOKUP($L398,Data_Validation!$A:$E,5,0)</f>
        <v>$</v>
      </c>
      <c r="X398" s="156">
        <f>+VLOOKUP($L398,Data_Validation!$A:$F,6,0)</f>
        <v>0</v>
      </c>
    </row>
    <row r="399" spans="1:24" ht="15.75" hidden="1" customHeight="1">
      <c r="A399" s="1013" t="s">
        <v>1249</v>
      </c>
      <c r="B399" s="1013" t="s">
        <v>2800</v>
      </c>
      <c r="C399" s="1015">
        <v>38480.550000000003</v>
      </c>
      <c r="D399" s="1015">
        <v>18839.57</v>
      </c>
      <c r="E399" s="1015">
        <v>57320.12</v>
      </c>
      <c r="F399" s="1013" t="s">
        <v>401</v>
      </c>
      <c r="G399" s="1013" t="s">
        <v>2735</v>
      </c>
      <c r="H399" s="949"/>
      <c r="I399" s="949"/>
      <c r="J399" s="949"/>
      <c r="K399" s="949"/>
      <c r="L399" s="153" t="str">
        <f t="shared" si="45"/>
        <v>6724</v>
      </c>
      <c r="M399" s="154" t="str">
        <f t="shared" si="46"/>
        <v>SALAIRES &amp; RENUM. - AUTRES</v>
      </c>
      <c r="N399" s="155">
        <f>+IF(OR($Q399=Parametres!$G$2,$Q399=Parametres!$G$3),I399,C399)</f>
        <v>38480.550000000003</v>
      </c>
      <c r="O399" s="155">
        <f>+IF(OR($Q399=Parametres!$G$2,$Q399=Parametres!$G$3),J399,D399)</f>
        <v>18839.57</v>
      </c>
      <c r="P399" s="155">
        <f>+IF(OR($Q399=Parametres!$G$2,$Q399=Parametres!$G$3),K399,E399)</f>
        <v>57320.12</v>
      </c>
      <c r="Q399" s="154" t="str">
        <f t="shared" si="47"/>
        <v>7-Dépenses</v>
      </c>
      <c r="R399" s="153" t="str">
        <f t="shared" si="48"/>
        <v>6124</v>
      </c>
      <c r="S399" s="154">
        <f t="shared" si="49"/>
        <v>0</v>
      </c>
      <c r="T399" s="156" t="str">
        <f>+VLOOKUP($L399,Data_Validation!$A:$D,1,0)</f>
        <v>6724</v>
      </c>
      <c r="U399" s="156" t="str">
        <f>+VLOOKUP($L399,Data_Validation!$A:$D,3,0)</f>
        <v>Pièces</v>
      </c>
      <c r="V399" s="156" t="str">
        <f>+VLOOKUP($L399,Data_Validation!$A:$D,4,0)</f>
        <v>Salaires autres</v>
      </c>
      <c r="W399" s="156" t="str">
        <f>+VLOOKUP($L399,Data_Validation!$A:$E,5,0)</f>
        <v>$</v>
      </c>
      <c r="X399" s="156">
        <f>+VLOOKUP($L399,Data_Validation!$A:$F,6,0)</f>
        <v>0</v>
      </c>
    </row>
    <row r="400" spans="1:24" ht="15" hidden="1" customHeight="1">
      <c r="A400" s="1013" t="s">
        <v>1328</v>
      </c>
      <c r="B400" s="1013" t="s">
        <v>2722</v>
      </c>
      <c r="C400" s="1015">
        <v>5834.79</v>
      </c>
      <c r="D400" s="1015">
        <v>3222.16</v>
      </c>
      <c r="E400" s="1015">
        <v>9056.9500000000007</v>
      </c>
      <c r="F400" s="1013" t="s">
        <v>401</v>
      </c>
      <c r="G400" s="1013" t="s">
        <v>2641</v>
      </c>
      <c r="H400" s="150"/>
      <c r="I400" s="151"/>
      <c r="J400" s="151"/>
      <c r="K400" s="151"/>
      <c r="L400" s="153" t="str">
        <f t="shared" si="45"/>
        <v>6729</v>
      </c>
      <c r="M400" s="154" t="str">
        <f t="shared" si="46"/>
        <v>ABSENCES, VACANCES, ETC</v>
      </c>
      <c r="N400" s="155">
        <f>+IF(OR($Q400=Parametres!$G$2,$Q400=Parametres!$G$3),I400,C400)</f>
        <v>5834.79</v>
      </c>
      <c r="O400" s="155">
        <f>+IF(OR($Q400=Parametres!$G$2,$Q400=Parametres!$G$3),J400,D400)</f>
        <v>3222.16</v>
      </c>
      <c r="P400" s="155">
        <f>+IF(OR($Q400=Parametres!$G$2,$Q400=Parametres!$G$3),K400,E400)</f>
        <v>9056.9500000000007</v>
      </c>
      <c r="Q400" s="154" t="str">
        <f t="shared" si="47"/>
        <v>7-Dépenses</v>
      </c>
      <c r="R400" s="153" t="str">
        <f t="shared" si="48"/>
        <v>6129</v>
      </c>
      <c r="S400" s="154">
        <f t="shared" si="49"/>
        <v>0</v>
      </c>
      <c r="T400" s="156" t="str">
        <f>+VLOOKUP($L400,Data_Validation!$A:$D,1,0)</f>
        <v>6729</v>
      </c>
      <c r="U400" s="156" t="str">
        <f>+VLOOKUP($L400,Data_Validation!$A:$D,3,0)</f>
        <v>Pièces</v>
      </c>
      <c r="V400" s="156" t="str">
        <f>+VLOOKUP($L400,Data_Validation!$A:$D,4,0)</f>
        <v>Salaires en absences</v>
      </c>
      <c r="W400" s="156" t="str">
        <f>+VLOOKUP($L400,Data_Validation!$A:$E,5,0)</f>
        <v>$</v>
      </c>
      <c r="X400" s="156">
        <f>+VLOOKUP($L400,Data_Validation!$A:$F,6,0)</f>
        <v>0</v>
      </c>
    </row>
    <row r="401" spans="1:24" ht="15" hidden="1" customHeight="1">
      <c r="A401" s="1013" t="s">
        <v>1252</v>
      </c>
      <c r="B401" s="1013" t="s">
        <v>2667</v>
      </c>
      <c r="C401" s="1015">
        <v>996.74</v>
      </c>
      <c r="D401" s="1015">
        <v>-11213.62</v>
      </c>
      <c r="E401" s="1015">
        <v>-10216.879999999999</v>
      </c>
      <c r="F401" s="1013" t="s">
        <v>401</v>
      </c>
      <c r="G401" s="1013" t="s">
        <v>2586</v>
      </c>
      <c r="H401" s="150"/>
      <c r="I401" s="157"/>
      <c r="J401" s="157"/>
      <c r="K401" s="157"/>
      <c r="L401" s="153" t="str">
        <f t="shared" si="45"/>
        <v>6731</v>
      </c>
      <c r="M401" s="154" t="str">
        <f t="shared" si="46"/>
        <v>CSST</v>
      </c>
      <c r="N401" s="155">
        <f>+IF(OR($Q401=Parametres!$G$2,$Q401=Parametres!$G$3),I401,C401)</f>
        <v>996.74</v>
      </c>
      <c r="O401" s="155">
        <f>+IF(OR($Q401=Parametres!$G$2,$Q401=Parametres!$G$3),J401,D401)</f>
        <v>-11213.62</v>
      </c>
      <c r="P401" s="155">
        <f>+IF(OR($Q401=Parametres!$G$2,$Q401=Parametres!$G$3),K401,E401)</f>
        <v>-10216.879999999999</v>
      </c>
      <c r="Q401" s="154" t="str">
        <f t="shared" si="47"/>
        <v>7-Dépenses</v>
      </c>
      <c r="R401" s="153" t="str">
        <f t="shared" si="48"/>
        <v>6131</v>
      </c>
      <c r="S401" s="154">
        <f t="shared" si="49"/>
        <v>0</v>
      </c>
      <c r="T401" s="156" t="str">
        <f>+VLOOKUP($L401,Data_Validation!$A:$D,1,0)</f>
        <v>6731</v>
      </c>
      <c r="U401" s="156" t="str">
        <f>+VLOOKUP($L401,Data_Validation!$A:$D,3,0)</f>
        <v>Pièces</v>
      </c>
      <c r="V401" s="156" t="str">
        <f>+VLOOKUP($L401,Data_Validation!$A:$D,4,0)</f>
        <v>Csst</v>
      </c>
      <c r="W401" s="156" t="str">
        <f>+VLOOKUP($L401,Data_Validation!$A:$E,5,0)</f>
        <v>$</v>
      </c>
      <c r="X401" s="156">
        <f>+VLOOKUP($L401,Data_Validation!$A:$F,6,0)</f>
        <v>0</v>
      </c>
    </row>
    <row r="402" spans="1:24" ht="15" hidden="1" customHeight="1">
      <c r="A402" s="1013" t="s">
        <v>1283</v>
      </c>
      <c r="B402" s="1013" t="s">
        <v>2733</v>
      </c>
      <c r="C402" s="1015">
        <v>10182.620000000001</v>
      </c>
      <c r="D402" s="1015">
        <v>13907.71</v>
      </c>
      <c r="E402" s="1015">
        <v>24090.33</v>
      </c>
      <c r="F402" s="1013" t="s">
        <v>401</v>
      </c>
      <c r="G402" s="1013" t="s">
        <v>2685</v>
      </c>
      <c r="H402" s="150"/>
      <c r="I402" s="157"/>
      <c r="J402" s="157"/>
      <c r="K402" s="157"/>
      <c r="L402" s="153" t="str">
        <f t="shared" si="45"/>
        <v>6732</v>
      </c>
      <c r="M402" s="154" t="str">
        <f t="shared" si="46"/>
        <v>RRQ RAMQ AC</v>
      </c>
      <c r="N402" s="155">
        <f>+IF(OR($Q402=Parametres!$G$2,$Q402=Parametres!$G$3),I402,C402)</f>
        <v>10182.620000000001</v>
      </c>
      <c r="O402" s="575">
        <f>+IF(OR($Q402=Parametres!$G$2,$Q402=Parametres!$G$3),J402,D402)</f>
        <v>13907.71</v>
      </c>
      <c r="P402" s="155">
        <f>+IF(OR($Q402=Parametres!$G$2,$Q402=Parametres!$G$3),K402,E402)</f>
        <v>24090.33</v>
      </c>
      <c r="Q402" s="154" t="str">
        <f t="shared" si="47"/>
        <v>7-Dépenses</v>
      </c>
      <c r="R402" s="153" t="str">
        <f t="shared" si="48"/>
        <v>6132</v>
      </c>
      <c r="S402" s="154">
        <f t="shared" si="49"/>
        <v>0</v>
      </c>
      <c r="T402" s="156" t="str">
        <f>+VLOOKUP($L402,Data_Validation!$A:$D,1,0)</f>
        <v>6732</v>
      </c>
      <c r="U402" s="156" t="str">
        <f>+VLOOKUP($L402,Data_Validation!$A:$D,3,0)</f>
        <v>Pièces</v>
      </c>
      <c r="V402" s="156" t="str">
        <f>+VLOOKUP($L402,Data_Validation!$A:$D,4,0)</f>
        <v>Csst</v>
      </c>
      <c r="W402" s="156" t="str">
        <f>+VLOOKUP($L402,Data_Validation!$A:$E,5,0)</f>
        <v>$</v>
      </c>
      <c r="X402" s="156">
        <f>+VLOOKUP($L402,Data_Validation!$A:$F,6,0)</f>
        <v>0</v>
      </c>
    </row>
    <row r="403" spans="1:24" ht="15.75" hidden="1" customHeight="1">
      <c r="A403" s="1013" t="s">
        <v>1164</v>
      </c>
      <c r="B403" s="1013" t="s">
        <v>2578</v>
      </c>
      <c r="C403" s="1015">
        <v>71.73</v>
      </c>
      <c r="D403" s="1015">
        <v>44.14</v>
      </c>
      <c r="E403" s="1015">
        <v>115.87</v>
      </c>
      <c r="F403" s="1013" t="s">
        <v>401</v>
      </c>
      <c r="G403" s="1013" t="s">
        <v>2579</v>
      </c>
      <c r="H403" s="150"/>
      <c r="I403" s="157"/>
      <c r="J403" s="157"/>
      <c r="K403" s="157"/>
      <c r="L403" s="153" t="str">
        <f t="shared" si="45"/>
        <v>6733</v>
      </c>
      <c r="M403" s="154" t="str">
        <f t="shared" si="46"/>
        <v>FOND PENSION - PIECES</v>
      </c>
      <c r="N403" s="155">
        <f>+IF(OR($Q403=Parametres!$G$2,$Q403=Parametres!$G$3),I403,C403)</f>
        <v>71.73</v>
      </c>
      <c r="O403" s="155">
        <f>+IF(OR($Q403=Parametres!$G$2,$Q403=Parametres!$G$3),J403,D403)</f>
        <v>44.14</v>
      </c>
      <c r="P403" s="155">
        <f>+IF(OR($Q403=Parametres!$G$2,$Q403=Parametres!$G$3),K403,E403)</f>
        <v>115.87</v>
      </c>
      <c r="Q403" s="154" t="str">
        <f t="shared" si="47"/>
        <v>7-Dépenses</v>
      </c>
      <c r="R403" s="153" t="str">
        <f t="shared" si="48"/>
        <v>6133</v>
      </c>
      <c r="S403" s="154">
        <f t="shared" si="49"/>
        <v>0</v>
      </c>
      <c r="T403" s="156" t="str">
        <f>+VLOOKUP($L403,Data_Validation!$A:$D,1,0)</f>
        <v>6733</v>
      </c>
      <c r="U403" s="156" t="str">
        <f>+VLOOKUP($L403,Data_Validation!$A:$D,3,0)</f>
        <v>Pièces</v>
      </c>
      <c r="V403" s="156" t="str">
        <f>+VLOOKUP($L403,Data_Validation!$A:$D,4,0)</f>
        <v>Déduction à la source</v>
      </c>
      <c r="W403" s="156" t="str">
        <f>+VLOOKUP($L403,Data_Validation!$A:$E,5,0)</f>
        <v>$</v>
      </c>
      <c r="X403" s="156">
        <f>+VLOOKUP($L403,Data_Validation!$A:$F,6,0)</f>
        <v>0</v>
      </c>
    </row>
    <row r="404" spans="1:24" ht="15" hidden="1" customHeight="1">
      <c r="A404" s="1013" t="s">
        <v>1305</v>
      </c>
      <c r="B404" s="1013" t="s">
        <v>2744</v>
      </c>
      <c r="C404" s="1015">
        <v>8998.48</v>
      </c>
      <c r="D404" s="1015">
        <v>-1373.52</v>
      </c>
      <c r="E404" s="1015">
        <v>7624.96</v>
      </c>
      <c r="F404" s="1013" t="s">
        <v>401</v>
      </c>
      <c r="G404" s="1013" t="s">
        <v>2694</v>
      </c>
      <c r="H404" s="150"/>
      <c r="I404" s="157"/>
      <c r="J404" s="157"/>
      <c r="K404" s="157"/>
      <c r="L404" s="153" t="str">
        <f t="shared" si="45"/>
        <v>6739</v>
      </c>
      <c r="M404" s="154" t="str">
        <f t="shared" si="46"/>
        <v>ASSURANCE GROUPE</v>
      </c>
      <c r="N404" s="155">
        <f>+IF(OR($Q404=Parametres!$G$2,$Q404=Parametres!$G$3),I404,C404)</f>
        <v>8998.48</v>
      </c>
      <c r="O404" s="155">
        <f>+IF(OR($Q404=Parametres!$G$2,$Q404=Parametres!$G$3),J404,D404)</f>
        <v>-1373.52</v>
      </c>
      <c r="P404" s="155">
        <f>+IF(OR($Q404=Parametres!$G$2,$Q404=Parametres!$G$3),K404,E404)</f>
        <v>7624.96</v>
      </c>
      <c r="Q404" s="154" t="str">
        <f t="shared" si="47"/>
        <v>7-Dépenses</v>
      </c>
      <c r="R404" s="153" t="str">
        <f t="shared" si="48"/>
        <v>6139</v>
      </c>
      <c r="S404" s="154">
        <f t="shared" si="49"/>
        <v>0</v>
      </c>
      <c r="T404" s="156" t="str">
        <f>+VLOOKUP($L404,Data_Validation!$A:$D,1,0)</f>
        <v>6739</v>
      </c>
      <c r="U404" s="156" t="str">
        <f>+VLOOKUP($L404,Data_Validation!$A:$D,3,0)</f>
        <v>Pièces</v>
      </c>
      <c r="V404" s="156" t="str">
        <f>+VLOOKUP($L404,Data_Validation!$A:$D,4,0)</f>
        <v>Bénéfices marginaux</v>
      </c>
      <c r="W404" s="156" t="str">
        <f>+VLOOKUP($L404,Data_Validation!$A:$E,5,0)</f>
        <v>$</v>
      </c>
      <c r="X404" s="156">
        <f>+VLOOKUP($L404,Data_Validation!$A:$F,6,0)</f>
        <v>0</v>
      </c>
    </row>
    <row r="405" spans="1:24" ht="15" hidden="1" customHeight="1">
      <c r="A405" s="1013" t="s">
        <v>1157</v>
      </c>
      <c r="B405" s="1013" t="s">
        <v>2598</v>
      </c>
      <c r="C405" s="1015">
        <v>164.65</v>
      </c>
      <c r="D405" s="1015">
        <v>0</v>
      </c>
      <c r="E405" s="1015">
        <v>164.65</v>
      </c>
      <c r="F405" s="1013" t="s">
        <v>401</v>
      </c>
      <c r="G405" s="1013" t="s">
        <v>2563</v>
      </c>
      <c r="H405" s="150"/>
      <c r="I405" s="151"/>
      <c r="J405" s="151"/>
      <c r="K405" s="151"/>
      <c r="L405" s="153" t="str">
        <f t="shared" si="45"/>
        <v>6742</v>
      </c>
      <c r="M405" s="154" t="str">
        <f t="shared" si="46"/>
        <v>FOURNITURES &amp; PETITS OUTILS</v>
      </c>
      <c r="N405" s="155">
        <f>+IF(OR($Q405=Parametres!$G$2,$Q405=Parametres!$G$3),I405,C405)</f>
        <v>164.65</v>
      </c>
      <c r="O405" s="155">
        <f>+IF(OR($Q405=Parametres!$G$2,$Q405=Parametres!$G$3),J405,D405)</f>
        <v>0</v>
      </c>
      <c r="P405" s="155">
        <f>+IF(OR($Q405=Parametres!$G$2,$Q405=Parametres!$G$3),K405,E405)</f>
        <v>164.65</v>
      </c>
      <c r="Q405" s="154" t="str">
        <f t="shared" si="47"/>
        <v>7-Dépenses</v>
      </c>
      <c r="R405" s="153" t="str">
        <f t="shared" si="48"/>
        <v>6142</v>
      </c>
      <c r="S405" s="154">
        <f t="shared" si="49"/>
        <v>0</v>
      </c>
      <c r="T405" s="156" t="str">
        <f>+VLOOKUP($L405,Data_Validation!$A:$D,1,0)</f>
        <v>6742</v>
      </c>
      <c r="U405" s="156" t="str">
        <f>+VLOOKUP($L405,Data_Validation!$A:$D,3,0)</f>
        <v>Pièces</v>
      </c>
      <c r="V405" s="156" t="str">
        <f>+VLOOKUP($L405,Data_Validation!$A:$D,4,0)</f>
        <v>Fournitures autres</v>
      </c>
      <c r="W405" s="156" t="str">
        <f>+VLOOKUP($L405,Data_Validation!$A:$E,5,0)</f>
        <v>$</v>
      </c>
      <c r="X405" s="156">
        <f>+VLOOKUP($L405,Data_Validation!$A:$F,6,0)</f>
        <v>0</v>
      </c>
    </row>
    <row r="406" spans="1:24" ht="15" hidden="1" customHeight="1">
      <c r="A406" s="947" t="s">
        <v>934</v>
      </c>
      <c r="B406" s="947" t="s">
        <v>2573</v>
      </c>
      <c r="C406" s="948">
        <v>44.28</v>
      </c>
      <c r="D406" s="948">
        <v>22.14</v>
      </c>
      <c r="E406" s="948">
        <v>66.42</v>
      </c>
      <c r="F406" s="947" t="s">
        <v>401</v>
      </c>
      <c r="G406" s="947" t="s">
        <v>2561</v>
      </c>
      <c r="H406" s="150"/>
      <c r="I406" s="157"/>
      <c r="J406" s="157"/>
      <c r="K406" s="157"/>
      <c r="L406" s="153" t="str">
        <f t="shared" si="45"/>
        <v>6744</v>
      </c>
      <c r="M406" s="154" t="str">
        <f t="shared" si="46"/>
        <v>FORMATION</v>
      </c>
      <c r="N406" s="155">
        <f>+IF(OR($Q406=Parametres!$G$2,$Q406=Parametres!$G$3),I406,C406)</f>
        <v>44.28</v>
      </c>
      <c r="O406" s="155">
        <f>+IF(OR($Q406=Parametres!$G$2,$Q406=Parametres!$G$3),J406,D406)</f>
        <v>22.14</v>
      </c>
      <c r="P406" s="155">
        <f>+IF(OR($Q406=Parametres!$G$2,$Q406=Parametres!$G$3),K406,E406)</f>
        <v>66.42</v>
      </c>
      <c r="Q406" s="154" t="str">
        <f t="shared" si="47"/>
        <v>7-Dépenses</v>
      </c>
      <c r="R406" s="153" t="str">
        <f t="shared" si="48"/>
        <v>6144</v>
      </c>
      <c r="S406" s="154">
        <f t="shared" si="49"/>
        <v>0</v>
      </c>
      <c r="T406" s="156" t="str">
        <f>+VLOOKUP($L406,Data_Validation!$A:$D,1,0)</f>
        <v>6744</v>
      </c>
      <c r="U406" s="156" t="str">
        <f>+VLOOKUP($L406,Data_Validation!$A:$D,3,0)</f>
        <v>Pièces</v>
      </c>
      <c r="V406" s="156" t="str">
        <f>+VLOOKUP($L406,Data_Validation!$A:$D,4,0)</f>
        <v>Formation</v>
      </c>
      <c r="W406" s="156" t="str">
        <f>+VLOOKUP($L406,Data_Validation!$A:$E,5,0)</f>
        <v>$</v>
      </c>
      <c r="X406" s="156">
        <f>+VLOOKUP($L406,Data_Validation!$A:$F,6,0)</f>
        <v>0</v>
      </c>
    </row>
    <row r="407" spans="1:24" ht="15.75" hidden="1" customHeight="1">
      <c r="A407" s="947" t="s">
        <v>1186</v>
      </c>
      <c r="B407" s="947" t="s">
        <v>2631</v>
      </c>
      <c r="C407" s="948">
        <v>581.78</v>
      </c>
      <c r="D407" s="948">
        <v>260.42</v>
      </c>
      <c r="E407" s="948">
        <v>842.2</v>
      </c>
      <c r="F407" s="947" t="s">
        <v>401</v>
      </c>
      <c r="G407" s="947" t="s">
        <v>2632</v>
      </c>
      <c r="H407" s="150"/>
      <c r="I407" s="157"/>
      <c r="J407" s="157"/>
      <c r="K407" s="157"/>
      <c r="L407" s="153" t="str">
        <f t="shared" si="45"/>
        <v>6745</v>
      </c>
      <c r="M407" s="154" t="str">
        <f t="shared" si="46"/>
        <v>VEHICULE DE COMPAGNIE - DEPENS</v>
      </c>
      <c r="N407" s="155">
        <f>+IF(OR($Q407=Parametres!$G$2,$Q407=Parametres!$G$3),I407,C407)</f>
        <v>581.78</v>
      </c>
      <c r="O407" s="155">
        <f>+IF(OR($Q407=Parametres!$G$2,$Q407=Parametres!$G$3),J407,D407)</f>
        <v>260.42</v>
      </c>
      <c r="P407" s="155">
        <f>+IF(OR($Q407=Parametres!$G$2,$Q407=Parametres!$G$3),K407,E407)</f>
        <v>842.2</v>
      </c>
      <c r="Q407" s="154" t="str">
        <f t="shared" si="47"/>
        <v>7-Dépenses</v>
      </c>
      <c r="R407" s="153" t="str">
        <f t="shared" si="48"/>
        <v>6145</v>
      </c>
      <c r="S407" s="154">
        <f t="shared" si="49"/>
        <v>0</v>
      </c>
      <c r="T407" s="156" t="str">
        <f>+VLOOKUP($L407,Data_Validation!$A:$D,1,0)</f>
        <v>6745</v>
      </c>
      <c r="U407" s="156" t="str">
        <f>+VLOOKUP($L407,Data_Validation!$A:$D,3,0)</f>
        <v>Pièces</v>
      </c>
      <c r="V407" s="156" t="str">
        <f>+VLOOKUP($L407,Data_Validation!$A:$D,4,0)</f>
        <v>Frais véhicules de cie</v>
      </c>
      <c r="W407" s="156" t="str">
        <f>+VLOOKUP($L407,Data_Validation!$A:$E,5,0)</f>
        <v>$</v>
      </c>
      <c r="X407" s="156">
        <f>+VLOOKUP($L407,Data_Validation!$A:$F,6,0)</f>
        <v>0</v>
      </c>
    </row>
    <row r="408" spans="1:24" ht="15" hidden="1" customHeight="1">
      <c r="A408" s="947" t="s">
        <v>1180</v>
      </c>
      <c r="B408" s="947" t="s">
        <v>2610</v>
      </c>
      <c r="C408" s="948">
        <v>1.02</v>
      </c>
      <c r="D408" s="948">
        <v>57.72</v>
      </c>
      <c r="E408" s="948">
        <v>58.74</v>
      </c>
      <c r="F408" s="947" t="s">
        <v>401</v>
      </c>
      <c r="G408" s="947" t="s">
        <v>2581</v>
      </c>
      <c r="H408" s="150"/>
      <c r="I408" s="151"/>
      <c r="J408" s="151"/>
      <c r="K408" s="151"/>
      <c r="L408" s="153" t="str">
        <f t="shared" si="45"/>
        <v>6747</v>
      </c>
      <c r="M408" s="154" t="str">
        <f t="shared" si="46"/>
        <v>FRET/EXPRESS/TRANS. PAR CAMION</v>
      </c>
      <c r="N408" s="155">
        <f>+IF(OR($Q408=Parametres!$G$2,$Q408=Parametres!$G$3),I408,C408)</f>
        <v>1.02</v>
      </c>
      <c r="O408" s="155">
        <f>+IF(OR($Q408=Parametres!$G$2,$Q408=Parametres!$G$3),J408,D408)</f>
        <v>57.72</v>
      </c>
      <c r="P408" s="155">
        <f>+IF(OR($Q408=Parametres!$G$2,$Q408=Parametres!$G$3),K408,E408)</f>
        <v>58.74</v>
      </c>
      <c r="Q408" s="154" t="str">
        <f t="shared" si="47"/>
        <v>7-Dépenses</v>
      </c>
      <c r="R408" s="153" t="str">
        <f t="shared" si="48"/>
        <v>6147</v>
      </c>
      <c r="S408" s="154">
        <f t="shared" si="49"/>
        <v>0</v>
      </c>
      <c r="T408" s="156" t="str">
        <f>+VLOOKUP($L408,Data_Validation!$A:$D,1,0)</f>
        <v>6747</v>
      </c>
      <c r="U408" s="156" t="str">
        <f>+VLOOKUP($L408,Data_Validation!$A:$D,3,0)</f>
        <v>Pièces</v>
      </c>
      <c r="V408" s="156" t="str">
        <f>+VLOOKUP($L408,Data_Validation!$A:$D,4,0)</f>
        <v>Frais postaux</v>
      </c>
      <c r="W408" s="156" t="str">
        <f>+VLOOKUP($L408,Data_Validation!$A:$E,5,0)</f>
        <v>$</v>
      </c>
      <c r="X408" s="156">
        <f>+VLOOKUP($L408,Data_Validation!$A:$F,6,0)</f>
        <v>0</v>
      </c>
    </row>
    <row r="409" spans="1:24" ht="15" hidden="1" customHeight="1">
      <c r="A409" s="947" t="s">
        <v>1286</v>
      </c>
      <c r="B409" s="947" t="s">
        <v>2739</v>
      </c>
      <c r="C409" s="948">
        <v>7443.5</v>
      </c>
      <c r="D409" s="948">
        <v>4026.54</v>
      </c>
      <c r="E409" s="948">
        <v>11470.04</v>
      </c>
      <c r="F409" s="947" t="s">
        <v>401</v>
      </c>
      <c r="G409" s="947" t="s">
        <v>2702</v>
      </c>
      <c r="H409" s="150"/>
      <c r="I409" s="151"/>
      <c r="J409" s="151"/>
      <c r="K409" s="151"/>
      <c r="L409" s="153" t="str">
        <f t="shared" si="45"/>
        <v>6751</v>
      </c>
      <c r="M409" s="154" t="str">
        <f t="shared" si="46"/>
        <v>DEP. DU TRAITEMENT DES DONNEES</v>
      </c>
      <c r="N409" s="155">
        <f>+IF(OR($Q409=Parametres!$G$2,$Q409=Parametres!$G$3),I409,C409)</f>
        <v>7443.5</v>
      </c>
      <c r="O409" s="155">
        <f>+IF(OR($Q409=Parametres!$G$2,$Q409=Parametres!$G$3),J409,D409)</f>
        <v>4026.54</v>
      </c>
      <c r="P409" s="155">
        <f>+IF(OR($Q409=Parametres!$G$2,$Q409=Parametres!$G$3),K409,E409)</f>
        <v>11470.04</v>
      </c>
      <c r="Q409" s="154" t="str">
        <f t="shared" si="47"/>
        <v>7-Dépenses</v>
      </c>
      <c r="R409" s="153" t="str">
        <f t="shared" si="48"/>
        <v>6151</v>
      </c>
      <c r="S409" s="154">
        <f t="shared" si="49"/>
        <v>0</v>
      </c>
      <c r="T409" s="156" t="str">
        <f>+VLOOKUP($L409,Data_Validation!$A:$D,1,0)</f>
        <v>6751</v>
      </c>
      <c r="U409" s="156" t="str">
        <f>+VLOOKUP($L409,Data_Validation!$A:$D,3,0)</f>
        <v>Pièces</v>
      </c>
      <c r="V409" s="156" t="str">
        <f>+VLOOKUP($L409,Data_Validation!$A:$D,4,0)</f>
        <v>Informatique</v>
      </c>
      <c r="W409" s="156" t="str">
        <f>+VLOOKUP($L409,Data_Validation!$A:$E,5,0)</f>
        <v>$</v>
      </c>
      <c r="X409" s="156">
        <f>+VLOOKUP($L409,Data_Validation!$A:$F,6,0)</f>
        <v>0</v>
      </c>
    </row>
    <row r="410" spans="1:24" ht="15" hidden="1" customHeight="1">
      <c r="A410" s="947" t="s">
        <v>1206</v>
      </c>
      <c r="B410" s="947" t="s">
        <v>2646</v>
      </c>
      <c r="C410" s="948">
        <v>821.09</v>
      </c>
      <c r="D410" s="948">
        <v>301.47000000000003</v>
      </c>
      <c r="E410" s="948">
        <v>1122.56</v>
      </c>
      <c r="F410" s="947" t="s">
        <v>401</v>
      </c>
      <c r="G410" s="947" t="s">
        <v>2588</v>
      </c>
      <c r="H410" s="150"/>
      <c r="I410" s="151"/>
      <c r="J410" s="151"/>
      <c r="K410" s="151"/>
      <c r="L410" s="153" t="str">
        <f t="shared" si="45"/>
        <v>6752</v>
      </c>
      <c r="M410" s="154" t="str">
        <f t="shared" si="46"/>
        <v>PAPETERIE</v>
      </c>
      <c r="N410" s="155">
        <f>+IF(OR($Q410=Parametres!$G$2,$Q410=Parametres!$G$3),I410,C410)</f>
        <v>821.09</v>
      </c>
      <c r="O410" s="155">
        <f>+IF(OR($Q410=Parametres!$G$2,$Q410=Parametres!$G$3),J410,D410)</f>
        <v>301.47000000000003</v>
      </c>
      <c r="P410" s="155">
        <f>+IF(OR($Q410=Parametres!$G$2,$Q410=Parametres!$G$3),K410,E410)</f>
        <v>1122.56</v>
      </c>
      <c r="Q410" s="154" t="str">
        <f t="shared" si="47"/>
        <v>7-Dépenses</v>
      </c>
      <c r="R410" s="153" t="str">
        <f t="shared" si="48"/>
        <v>6152</v>
      </c>
      <c r="S410" s="154">
        <f t="shared" si="49"/>
        <v>0</v>
      </c>
      <c r="T410" s="156" t="str">
        <f>+VLOOKUP($L410,Data_Validation!$A:$D,1,0)</f>
        <v>6752</v>
      </c>
      <c r="U410" s="156" t="str">
        <f>+VLOOKUP($L410,Data_Validation!$A:$D,3,0)</f>
        <v>Pièces</v>
      </c>
      <c r="V410" s="156" t="str">
        <f>+VLOOKUP($L410,Data_Validation!$A:$D,4,0)</f>
        <v>Papeterie</v>
      </c>
      <c r="W410" s="156" t="str">
        <f>+VLOOKUP($L410,Data_Validation!$A:$E,5,0)</f>
        <v>$</v>
      </c>
      <c r="X410" s="156">
        <f>+VLOOKUP($L410,Data_Validation!$A:$F,6,0)</f>
        <v>0</v>
      </c>
    </row>
    <row r="411" spans="1:24" ht="15.75" hidden="1" customHeight="1">
      <c r="A411" s="947" t="s">
        <v>1154</v>
      </c>
      <c r="B411" s="947" t="s">
        <v>2630</v>
      </c>
      <c r="C411" s="948">
        <v>518.23</v>
      </c>
      <c r="D411" s="948">
        <v>185.98</v>
      </c>
      <c r="E411" s="948">
        <v>704.21</v>
      </c>
      <c r="F411" s="947" t="s">
        <v>401</v>
      </c>
      <c r="G411" s="947" t="s">
        <v>2592</v>
      </c>
      <c r="H411" s="150"/>
      <c r="I411" s="151"/>
      <c r="J411" s="151"/>
      <c r="K411" s="151"/>
      <c r="L411" s="153" t="str">
        <f t="shared" si="45"/>
        <v>6753</v>
      </c>
      <c r="M411" s="154" t="str">
        <f t="shared" si="46"/>
        <v>TELEPHONE ET TELEX</v>
      </c>
      <c r="N411" s="155">
        <f>+IF(OR($Q411=Parametres!$G$2,$Q411=Parametres!$G$3),I411,C411)</f>
        <v>518.23</v>
      </c>
      <c r="O411" s="155">
        <f>+IF(OR($Q411=Parametres!$G$2,$Q411=Parametres!$G$3),J411,D411)</f>
        <v>185.98</v>
      </c>
      <c r="P411" s="155">
        <f>+IF(OR($Q411=Parametres!$G$2,$Q411=Parametres!$G$3),K411,E411)</f>
        <v>704.21</v>
      </c>
      <c r="Q411" s="154" t="str">
        <f t="shared" si="47"/>
        <v>7-Dépenses</v>
      </c>
      <c r="R411" s="153" t="str">
        <f t="shared" si="48"/>
        <v>6153</v>
      </c>
      <c r="S411" s="154">
        <f t="shared" si="49"/>
        <v>0</v>
      </c>
      <c r="T411" s="156" t="str">
        <f>+VLOOKUP($L411,Data_Validation!$A:$D,1,0)</f>
        <v>6753</v>
      </c>
      <c r="U411" s="156" t="str">
        <f>+VLOOKUP($L411,Data_Validation!$A:$D,3,0)</f>
        <v>Pièces</v>
      </c>
      <c r="V411" s="156" t="str">
        <f>+VLOOKUP($L411,Data_Validation!$A:$D,4,0)</f>
        <v>Téléphone</v>
      </c>
      <c r="W411" s="156" t="str">
        <f>+VLOOKUP($L411,Data_Validation!$A:$E,5,0)</f>
        <v>$</v>
      </c>
      <c r="X411" s="156">
        <f>+VLOOKUP($L411,Data_Validation!$A:$F,6,0)</f>
        <v>0</v>
      </c>
    </row>
    <row r="412" spans="1:24" ht="15" hidden="1" customHeight="1">
      <c r="A412" s="947" t="s">
        <v>1237</v>
      </c>
      <c r="B412" s="947" t="s">
        <v>2704</v>
      </c>
      <c r="C412" s="948">
        <v>498.74</v>
      </c>
      <c r="D412" s="948">
        <v>1488.49</v>
      </c>
      <c r="E412" s="948">
        <v>1987.23</v>
      </c>
      <c r="F412" s="947" t="s">
        <v>401</v>
      </c>
      <c r="G412" s="947" t="s">
        <v>2637</v>
      </c>
      <c r="H412" s="150"/>
      <c r="I412" s="157"/>
      <c r="J412" s="157"/>
      <c r="K412" s="157"/>
      <c r="L412" s="153" t="str">
        <f t="shared" si="45"/>
        <v>6755</v>
      </c>
      <c r="M412" s="154" t="str">
        <f t="shared" si="46"/>
        <v>DEPENSES DIVERS</v>
      </c>
      <c r="N412" s="155">
        <f>+IF(OR($Q412=Parametres!$G$2,$Q412=Parametres!$G$3),I412,C412)</f>
        <v>498.74</v>
      </c>
      <c r="O412" s="155">
        <f>+IF(OR($Q412=Parametres!$G$2,$Q412=Parametres!$G$3),J412,D412)</f>
        <v>1488.49</v>
      </c>
      <c r="P412" s="155">
        <f>+IF(OR($Q412=Parametres!$G$2,$Q412=Parametres!$G$3),K412,E412)</f>
        <v>1987.23</v>
      </c>
      <c r="Q412" s="154" t="str">
        <f t="shared" si="47"/>
        <v>7-Dépenses</v>
      </c>
      <c r="R412" s="153" t="str">
        <f t="shared" si="48"/>
        <v>6155</v>
      </c>
      <c r="S412" s="154">
        <f t="shared" si="49"/>
        <v>0</v>
      </c>
      <c r="T412" s="156" t="str">
        <f>+VLOOKUP($L412,Data_Validation!$A:$D,1,0)</f>
        <v>6755</v>
      </c>
      <c r="U412" s="156" t="str">
        <f>+VLOOKUP($L412,Data_Validation!$A:$D,3,0)</f>
        <v>Pièces</v>
      </c>
      <c r="V412" s="156" t="str">
        <f>+VLOOKUP($L412,Data_Validation!$A:$D,4,0)</f>
        <v>Divers</v>
      </c>
      <c r="W412" s="156" t="str">
        <f>+VLOOKUP($L412,Data_Validation!$A:$E,5,0)</f>
        <v>$</v>
      </c>
      <c r="X412" s="156">
        <f>+VLOOKUP($L412,Data_Validation!$A:$F,6,0)</f>
        <v>0</v>
      </c>
    </row>
    <row r="413" spans="1:24" ht="15" hidden="1" customHeight="1">
      <c r="A413" s="947" t="s">
        <v>1294</v>
      </c>
      <c r="B413" s="947" t="s">
        <v>2475</v>
      </c>
      <c r="C413" s="948">
        <v>105.24</v>
      </c>
      <c r="D413" s="948">
        <v>458.9</v>
      </c>
      <c r="E413" s="948">
        <v>564.14</v>
      </c>
      <c r="F413" s="947" t="s">
        <v>401</v>
      </c>
      <c r="G413" s="947" t="s">
        <v>2470</v>
      </c>
      <c r="H413" s="150"/>
      <c r="I413" s="157"/>
      <c r="J413" s="157"/>
      <c r="K413" s="157"/>
      <c r="L413" s="153" t="str">
        <f t="shared" si="45"/>
        <v>6756</v>
      </c>
      <c r="M413" s="154" t="str">
        <f t="shared" si="46"/>
        <v>FRAIS REPRESENTATION - PIECES</v>
      </c>
      <c r="N413" s="155">
        <f>+IF(OR($Q413=Parametres!$G$2,$Q413=Parametres!$G$3),I413,C413)</f>
        <v>105.24</v>
      </c>
      <c r="O413" s="155">
        <f>+IF(OR($Q413=Parametres!$G$2,$Q413=Parametres!$G$3),J413,D413)</f>
        <v>458.9</v>
      </c>
      <c r="P413" s="155">
        <f>+IF(OR($Q413=Parametres!$G$2,$Q413=Parametres!$G$3),K413,E413)</f>
        <v>564.14</v>
      </c>
      <c r="Q413" s="154" t="str">
        <f t="shared" si="47"/>
        <v>7-Dépenses</v>
      </c>
      <c r="R413" s="153" t="str">
        <f t="shared" si="48"/>
        <v>6156</v>
      </c>
      <c r="S413" s="154">
        <f t="shared" si="49"/>
        <v>0</v>
      </c>
      <c r="T413" s="156" t="str">
        <f>+VLOOKUP($L413,Data_Validation!$A:$D,1,0)</f>
        <v>6756</v>
      </c>
      <c r="U413" s="156" t="str">
        <f>+VLOOKUP($L413,Data_Validation!$A:$D,3,0)</f>
        <v>Pièces</v>
      </c>
      <c r="V413" s="156" t="str">
        <f>+VLOOKUP($L413,Data_Validation!$A:$D,4,0)</f>
        <v>Frais de déplacement</v>
      </c>
      <c r="W413" s="156" t="str">
        <f>+VLOOKUP($L413,Data_Validation!$A:$E,5,0)</f>
        <v>$</v>
      </c>
      <c r="X413" s="156">
        <f>+VLOOKUP($L413,Data_Validation!$A:$F,6,0)</f>
        <v>0</v>
      </c>
    </row>
    <row r="414" spans="1:24" ht="15" hidden="1" customHeight="1">
      <c r="A414" s="947" t="s">
        <v>1308</v>
      </c>
      <c r="B414" s="947" t="s">
        <v>2775</v>
      </c>
      <c r="C414" s="948">
        <v>11929.25</v>
      </c>
      <c r="D414" s="948">
        <v>5312.85</v>
      </c>
      <c r="E414" s="948">
        <v>17242.099999999999</v>
      </c>
      <c r="F414" s="947" t="s">
        <v>401</v>
      </c>
      <c r="G414" s="947" t="s">
        <v>2662</v>
      </c>
      <c r="H414" s="150"/>
      <c r="I414" s="151"/>
      <c r="J414" s="151"/>
      <c r="K414" s="151"/>
      <c r="L414" s="153" t="str">
        <f t="shared" si="45"/>
        <v>6759</v>
      </c>
      <c r="M414" s="154" t="str">
        <f t="shared" si="46"/>
        <v>SERVICE EXTERIEUR</v>
      </c>
      <c r="N414" s="155">
        <f>+IF(OR($Q414=Parametres!$G$2,$Q414=Parametres!$G$3),I414,C414)</f>
        <v>11929.25</v>
      </c>
      <c r="O414" s="155">
        <f>+IF(OR($Q414=Parametres!$G$2,$Q414=Parametres!$G$3),J414,D414)</f>
        <v>5312.85</v>
      </c>
      <c r="P414" s="155">
        <f>+IF(OR($Q414=Parametres!$G$2,$Q414=Parametres!$G$3),K414,E414)</f>
        <v>17242.099999999999</v>
      </c>
      <c r="Q414" s="154" t="str">
        <f t="shared" si="47"/>
        <v>7-Dépenses</v>
      </c>
      <c r="R414" s="153" t="str">
        <f t="shared" si="48"/>
        <v>6159</v>
      </c>
      <c r="S414" s="154">
        <f t="shared" si="49"/>
        <v>0</v>
      </c>
      <c r="T414" s="156" t="str">
        <f>+VLOOKUP($L414,Data_Validation!$A:$D,1,0)</f>
        <v>6759</v>
      </c>
      <c r="U414" s="156" t="str">
        <f>+VLOOKUP($L414,Data_Validation!$A:$D,3,0)</f>
        <v>Pièces</v>
      </c>
      <c r="V414" s="156" t="str">
        <f>+VLOOKUP($L414,Data_Validation!$A:$D,4,0)</f>
        <v>Services extérieurs</v>
      </c>
      <c r="W414" s="156" t="str">
        <f>+VLOOKUP($L414,Data_Validation!$A:$E,5,0)</f>
        <v>$</v>
      </c>
      <c r="X414" s="156">
        <f>+VLOOKUP($L414,Data_Validation!$A:$F,6,0)</f>
        <v>0</v>
      </c>
    </row>
    <row r="415" spans="1:24" ht="15.75" hidden="1" customHeight="1">
      <c r="A415" s="947" t="s">
        <v>1333</v>
      </c>
      <c r="B415" s="947" t="s">
        <v>2718</v>
      </c>
      <c r="C415" s="948">
        <v>4583.5</v>
      </c>
      <c r="D415" s="948">
        <v>2291.75</v>
      </c>
      <c r="E415" s="948">
        <v>6875.25</v>
      </c>
      <c r="F415" s="947" t="s">
        <v>401</v>
      </c>
      <c r="G415" s="947" t="s">
        <v>2653</v>
      </c>
      <c r="H415" s="150"/>
      <c r="I415" s="152"/>
      <c r="J415" s="152"/>
      <c r="K415" s="152"/>
      <c r="L415" s="153" t="str">
        <f t="shared" si="45"/>
        <v>6761</v>
      </c>
      <c r="M415" s="154" t="str">
        <f t="shared" si="46"/>
        <v>DEPRECIATION EQUIP. &amp; FIXTURES</v>
      </c>
      <c r="N415" s="155">
        <f>+IF(OR($Q415=Parametres!$G$2,$Q415=Parametres!$G$3),I415,C415)</f>
        <v>4583.5</v>
      </c>
      <c r="O415" s="155">
        <f>+IF(OR($Q415=Parametres!$G$2,$Q415=Parametres!$G$3),J415,D415)</f>
        <v>2291.75</v>
      </c>
      <c r="P415" s="155">
        <f>+IF(OR($Q415=Parametres!$G$2,$Q415=Parametres!$G$3),K415,E415)</f>
        <v>6875.25</v>
      </c>
      <c r="Q415" s="154" t="str">
        <f t="shared" si="47"/>
        <v>7-Dépenses</v>
      </c>
      <c r="R415" s="153" t="str">
        <f t="shared" si="48"/>
        <v>6161</v>
      </c>
      <c r="S415" s="154">
        <f t="shared" si="49"/>
        <v>0</v>
      </c>
      <c r="T415" s="156" t="str">
        <f>+VLOOKUP($L415,Data_Validation!$A:$D,1,0)</f>
        <v>6761</v>
      </c>
      <c r="U415" s="156" t="str">
        <f>+VLOOKUP($L415,Data_Validation!$A:$D,3,0)</f>
        <v>Pièces</v>
      </c>
      <c r="V415" s="156" t="str">
        <f>+VLOOKUP($L415,Data_Validation!$A:$D,4,0)</f>
        <v>Amortissement</v>
      </c>
      <c r="W415" s="156" t="str">
        <f>+VLOOKUP($L415,Data_Validation!$A:$E,5,0)</f>
        <v>$</v>
      </c>
      <c r="X415" s="156">
        <f>+VLOOKUP($L415,Data_Validation!$A:$F,6,0)</f>
        <v>0</v>
      </c>
    </row>
    <row r="416" spans="1:24" ht="15" hidden="1" customHeight="1">
      <c r="A416" s="947" t="s">
        <v>1316</v>
      </c>
      <c r="B416" s="947" t="s">
        <v>2671</v>
      </c>
      <c r="C416" s="948">
        <v>1372.13</v>
      </c>
      <c r="D416" s="948">
        <v>952.5</v>
      </c>
      <c r="E416" s="948">
        <v>2324.63</v>
      </c>
      <c r="F416" s="947" t="s">
        <v>401</v>
      </c>
      <c r="G416" s="947" t="s">
        <v>2604</v>
      </c>
      <c r="H416" s="150"/>
      <c r="I416" s="151"/>
      <c r="J416" s="151"/>
      <c r="K416" s="151"/>
      <c r="L416" s="153" t="str">
        <f t="shared" si="45"/>
        <v>6781</v>
      </c>
      <c r="M416" s="154" t="str">
        <f t="shared" si="46"/>
        <v>CHAUFFAGE,ELECTRICITE,EAU-PIECES</v>
      </c>
      <c r="N416" s="155">
        <f>+IF(OR($Q416=Parametres!$G$2,$Q416=Parametres!$G$3),I416,C416)</f>
        <v>1372.13</v>
      </c>
      <c r="O416" s="155">
        <f>+IF(OR($Q416=Parametres!$G$2,$Q416=Parametres!$G$3),J416,D416)</f>
        <v>952.5</v>
      </c>
      <c r="P416" s="155">
        <f>+IF(OR($Q416=Parametres!$G$2,$Q416=Parametres!$G$3),K416,E416)</f>
        <v>2324.63</v>
      </c>
      <c r="Q416" s="154" t="str">
        <f t="shared" si="47"/>
        <v>7-Dépenses</v>
      </c>
      <c r="R416" s="153" t="str">
        <f t="shared" si="48"/>
        <v>6181</v>
      </c>
      <c r="S416" s="154">
        <f t="shared" si="49"/>
        <v>0</v>
      </c>
      <c r="T416" s="156" t="str">
        <f>+VLOOKUP($L416,Data_Validation!$A:$D,1,0)</f>
        <v>6781</v>
      </c>
      <c r="U416" s="156" t="str">
        <f>+VLOOKUP($L416,Data_Validation!$A:$D,3,0)</f>
        <v>Pièces</v>
      </c>
      <c r="V416" s="156" t="str">
        <f>+VLOOKUP($L416,Data_Validation!$A:$D,4,0)</f>
        <v>Chauffage, éclairage</v>
      </c>
      <c r="W416" s="156" t="str">
        <f>+VLOOKUP($L416,Data_Validation!$A:$E,5,0)</f>
        <v>$</v>
      </c>
      <c r="X416" s="156">
        <f>+VLOOKUP($L416,Data_Validation!$A:$F,6,0)</f>
        <v>0</v>
      </c>
    </row>
    <row r="417" spans="1:24" ht="15" hidden="1" customHeight="1">
      <c r="A417" s="947" t="s">
        <v>1457</v>
      </c>
      <c r="B417" s="947" t="s">
        <v>2760</v>
      </c>
      <c r="C417" s="948">
        <v>13000</v>
      </c>
      <c r="D417" s="948">
        <v>6500</v>
      </c>
      <c r="E417" s="948">
        <v>19500</v>
      </c>
      <c r="F417" s="947" t="s">
        <v>401</v>
      </c>
      <c r="G417" s="947" t="s">
        <v>2709</v>
      </c>
      <c r="H417" s="150"/>
      <c r="I417" s="151"/>
      <c r="J417" s="151"/>
      <c r="K417" s="151"/>
      <c r="L417" s="153" t="str">
        <f t="shared" si="45"/>
        <v>6782</v>
      </c>
      <c r="M417" s="154" t="str">
        <f t="shared" si="46"/>
        <v>LOYER - PIECES</v>
      </c>
      <c r="N417" s="155">
        <f>+IF(OR($Q417=Parametres!$G$2,$Q417=Parametres!$G$3),I417,C417)</f>
        <v>13000</v>
      </c>
      <c r="O417" s="155">
        <f>+IF(OR($Q417=Parametres!$G$2,$Q417=Parametres!$G$3),J417,D417)</f>
        <v>6500</v>
      </c>
      <c r="P417" s="155">
        <f>+IF(OR($Q417=Parametres!$G$2,$Q417=Parametres!$G$3),K417,E417)</f>
        <v>19500</v>
      </c>
      <c r="Q417" s="154" t="str">
        <f t="shared" si="47"/>
        <v>7-Dépenses</v>
      </c>
      <c r="R417" s="153" t="str">
        <f t="shared" si="48"/>
        <v>6182</v>
      </c>
      <c r="S417" s="154">
        <f t="shared" si="49"/>
        <v>0</v>
      </c>
      <c r="T417" s="156" t="str">
        <f>+VLOOKUP($L417,Data_Validation!$A:$D,1,0)</f>
        <v>6782</v>
      </c>
      <c r="U417" s="156" t="str">
        <f>+VLOOKUP($L417,Data_Validation!$A:$D,3,0)</f>
        <v>Pièces</v>
      </c>
      <c r="V417" s="156" t="str">
        <f>+VLOOKUP($L417,Data_Validation!$A:$D,4,0)</f>
        <v>Loyer</v>
      </c>
      <c r="W417" s="156" t="str">
        <f>+VLOOKUP($L417,Data_Validation!$A:$E,5,0)</f>
        <v>$</v>
      </c>
      <c r="X417" s="156">
        <f>+VLOOKUP($L417,Data_Validation!$A:$F,6,0)</f>
        <v>0</v>
      </c>
    </row>
    <row r="418" spans="1:24" ht="15" hidden="1" customHeight="1">
      <c r="A418" s="947" t="s">
        <v>1352</v>
      </c>
      <c r="B418" s="947" t="s">
        <v>2660</v>
      </c>
      <c r="C418" s="948">
        <v>1854.04</v>
      </c>
      <c r="D418" s="948">
        <v>927.02</v>
      </c>
      <c r="E418" s="948">
        <v>2781.06</v>
      </c>
      <c r="F418" s="947" t="s">
        <v>401</v>
      </c>
      <c r="G418" s="947" t="s">
        <v>2594</v>
      </c>
      <c r="H418" s="150"/>
      <c r="I418" s="151"/>
      <c r="J418" s="151"/>
      <c r="K418" s="151"/>
      <c r="L418" s="153" t="str">
        <f t="shared" si="45"/>
        <v>6786</v>
      </c>
      <c r="M418" s="154" t="str">
        <f t="shared" si="46"/>
        <v>ASSURANCE BATISSE &amp; AMEL.-PIECES</v>
      </c>
      <c r="N418" s="155">
        <f>+IF(OR($Q418=Parametres!$G$2,$Q418=Parametres!$G$3),I418,C418)</f>
        <v>1854.04</v>
      </c>
      <c r="O418" s="155">
        <f>+IF(OR($Q418=Parametres!$G$2,$Q418=Parametres!$G$3),J418,D418)</f>
        <v>927.02</v>
      </c>
      <c r="P418" s="155">
        <f>+IF(OR($Q418=Parametres!$G$2,$Q418=Parametres!$G$3),K418,E418)</f>
        <v>2781.06</v>
      </c>
      <c r="Q418" s="154" t="str">
        <f t="shared" si="47"/>
        <v>7-Dépenses</v>
      </c>
      <c r="R418" s="153" t="str">
        <f t="shared" si="48"/>
        <v>6186</v>
      </c>
      <c r="S418" s="154">
        <f t="shared" si="49"/>
        <v>0</v>
      </c>
      <c r="T418" s="156" t="str">
        <f>+VLOOKUP($L418,Data_Validation!$A:$D,1,0)</f>
        <v>6786</v>
      </c>
      <c r="U418" s="156" t="str">
        <f>+VLOOKUP($L418,Data_Validation!$A:$D,3,0)</f>
        <v>Pièces</v>
      </c>
      <c r="V418" s="156" t="str">
        <f>+VLOOKUP($L418,Data_Validation!$A:$D,4,0)</f>
        <v>Assurances</v>
      </c>
      <c r="W418" s="156" t="str">
        <f>+VLOOKUP($L418,Data_Validation!$A:$E,5,0)</f>
        <v>$</v>
      </c>
      <c r="X418" s="156">
        <f>+VLOOKUP($L418,Data_Validation!$A:$F,6,0)</f>
        <v>0</v>
      </c>
    </row>
    <row r="419" spans="1:24" ht="15.75" hidden="1" customHeight="1">
      <c r="A419" s="947" t="s">
        <v>1344</v>
      </c>
      <c r="B419" s="947" t="s">
        <v>2686</v>
      </c>
      <c r="C419" s="948">
        <v>2405</v>
      </c>
      <c r="D419" s="948">
        <v>1202.5</v>
      </c>
      <c r="E419" s="948">
        <v>3607.5</v>
      </c>
      <c r="F419" s="947" t="s">
        <v>401</v>
      </c>
      <c r="G419" s="947" t="s">
        <v>2614</v>
      </c>
      <c r="H419" s="150"/>
      <c r="I419" s="151"/>
      <c r="J419" s="151"/>
      <c r="K419" s="151"/>
      <c r="L419" s="153" t="str">
        <f t="shared" si="45"/>
        <v>6787</v>
      </c>
      <c r="M419" s="154" t="str">
        <f t="shared" si="46"/>
        <v>TAXES FONCIERES - PIECES</v>
      </c>
      <c r="N419" s="155">
        <f>+IF(OR($Q419=Parametres!$G$2,$Q419=Parametres!$G$3),I419,C419)</f>
        <v>2405</v>
      </c>
      <c r="O419" s="155">
        <f>+IF(OR($Q419=Parametres!$G$2,$Q419=Parametres!$G$3),J419,D419)</f>
        <v>1202.5</v>
      </c>
      <c r="P419" s="155">
        <f>+IF(OR($Q419=Parametres!$G$2,$Q419=Parametres!$G$3),K419,E419)</f>
        <v>3607.5</v>
      </c>
      <c r="Q419" s="154" t="str">
        <f t="shared" si="47"/>
        <v>7-Dépenses</v>
      </c>
      <c r="R419" s="153" t="str">
        <f t="shared" si="48"/>
        <v>6187</v>
      </c>
      <c r="S419" s="154">
        <f t="shared" si="49"/>
        <v>0</v>
      </c>
      <c r="T419" s="156" t="str">
        <f>+VLOOKUP($L419,Data_Validation!$A:$D,1,0)</f>
        <v>6787</v>
      </c>
      <c r="U419" s="156" t="str">
        <f>+VLOOKUP($L419,Data_Validation!$A:$D,3,0)</f>
        <v>Pièces</v>
      </c>
      <c r="V419" s="156" t="str">
        <f>+VLOOKUP($L419,Data_Validation!$A:$D,4,0)</f>
        <v>Taxes foncières</v>
      </c>
      <c r="W419" s="156" t="str">
        <f>+VLOOKUP($L419,Data_Validation!$A:$E,5,0)</f>
        <v>$</v>
      </c>
      <c r="X419" s="156">
        <f>+VLOOKUP($L419,Data_Validation!$A:$F,6,0)</f>
        <v>0</v>
      </c>
    </row>
    <row r="420" spans="1:24" ht="15.75" hidden="1" customHeight="1">
      <c r="A420" s="947" t="s">
        <v>1278</v>
      </c>
      <c r="B420" s="947" t="s">
        <v>2665</v>
      </c>
      <c r="C420" s="948">
        <v>1600</v>
      </c>
      <c r="D420" s="948">
        <v>800</v>
      </c>
      <c r="E420" s="948">
        <v>2400</v>
      </c>
      <c r="F420" s="947" t="s">
        <v>401</v>
      </c>
      <c r="G420" s="947" t="s">
        <v>2597</v>
      </c>
      <c r="H420" s="150"/>
      <c r="I420" s="157"/>
      <c r="J420" s="157"/>
      <c r="K420" s="157"/>
      <c r="L420" s="153" t="str">
        <f t="shared" si="45"/>
        <v>6793</v>
      </c>
      <c r="M420" s="154" t="str">
        <f t="shared" si="46"/>
        <v>AUTRES TAXES - PIECES</v>
      </c>
      <c r="N420" s="155">
        <f>+IF(OR($Q420=Parametres!$G$2,$Q420=Parametres!$G$3),I420,C420)</f>
        <v>1600</v>
      </c>
      <c r="O420" s="155">
        <f>+IF(OR($Q420=Parametres!$G$2,$Q420=Parametres!$G$3),J420,D420)</f>
        <v>800</v>
      </c>
      <c r="P420" s="155">
        <f>+IF(OR($Q420=Parametres!$G$2,$Q420=Parametres!$G$3),K420,E420)</f>
        <v>2400</v>
      </c>
      <c r="Q420" s="154" t="str">
        <f t="shared" si="47"/>
        <v>7-Dépenses</v>
      </c>
      <c r="R420" s="153" t="str">
        <f t="shared" si="48"/>
        <v>6193</v>
      </c>
      <c r="S420" s="154">
        <f t="shared" si="49"/>
        <v>0</v>
      </c>
      <c r="T420" s="156" t="str">
        <f>+VLOOKUP($L420,Data_Validation!$A:$D,1,0)</f>
        <v>6793</v>
      </c>
      <c r="U420" s="156" t="str">
        <f>+VLOOKUP($L420,Data_Validation!$A:$D,3,0)</f>
        <v>Pièces</v>
      </c>
      <c r="V420" s="156" t="str">
        <f>+VLOOKUP($L420,Data_Validation!$A:$D,4,0)</f>
        <v>Taxes d`affaires</v>
      </c>
      <c r="W420" s="156" t="str">
        <f>+VLOOKUP($L420,Data_Validation!$A:$E,5,0)</f>
        <v>$</v>
      </c>
      <c r="X420" s="156">
        <f>+VLOOKUP($L420,Data_Validation!$A:$F,6,0)</f>
        <v>0</v>
      </c>
    </row>
    <row r="421" spans="1:24" ht="15" hidden="1" customHeight="1">
      <c r="A421" s="947" t="s">
        <v>1371</v>
      </c>
      <c r="B421" s="947" t="s">
        <v>2703</v>
      </c>
      <c r="C421" s="1036">
        <v>3108.54</v>
      </c>
      <c r="D421" s="1036">
        <v>1554.26</v>
      </c>
      <c r="E421" s="1036">
        <v>4662.8</v>
      </c>
      <c r="F421" s="947" t="s">
        <v>401</v>
      </c>
      <c r="G421" s="947" t="s">
        <v>2635</v>
      </c>
      <c r="H421" s="949"/>
      <c r="I421" s="948"/>
      <c r="J421" s="948"/>
      <c r="K421" s="948"/>
      <c r="L421" s="153" t="str">
        <f t="shared" si="45"/>
        <v>6794</v>
      </c>
      <c r="M421" s="154" t="str">
        <f t="shared" si="46"/>
        <v>FRAIS PROFESSIONNEL-PIECES</v>
      </c>
      <c r="N421" s="155">
        <f>+IF(OR($Q421=Parametres!$G$2,$Q421=Parametres!$G$3),I421,C421)</f>
        <v>3108.54</v>
      </c>
      <c r="O421" s="155">
        <f>+IF(OR($Q421=Parametres!$G$2,$Q421=Parametres!$G$3),J421,D421)</f>
        <v>1554.26</v>
      </c>
      <c r="P421" s="155">
        <f>+IF(OR($Q421=Parametres!$G$2,$Q421=Parametres!$G$3),K421,E421)</f>
        <v>4662.8</v>
      </c>
      <c r="Q421" s="154" t="str">
        <f t="shared" si="47"/>
        <v>7-Dépenses</v>
      </c>
      <c r="R421" s="153" t="str">
        <f t="shared" si="48"/>
        <v>6194</v>
      </c>
      <c r="S421" s="154">
        <f t="shared" si="49"/>
        <v>0</v>
      </c>
      <c r="T421" s="156" t="str">
        <f>+VLOOKUP($L421,Data_Validation!$A:$D,1,0)</f>
        <v>6794</v>
      </c>
      <c r="U421" s="156" t="str">
        <f>+VLOOKUP($L421,Data_Validation!$A:$D,3,0)</f>
        <v>Pièces</v>
      </c>
      <c r="V421" s="156" t="str">
        <f>+VLOOKUP($L421,Data_Validation!$A:$D,4,0)</f>
        <v>Honoraires</v>
      </c>
      <c r="W421" s="156" t="str">
        <f>+VLOOKUP($L421,Data_Validation!$A:$E,5,0)</f>
        <v>$</v>
      </c>
      <c r="X421" s="156">
        <f>+VLOOKUP($L421,Data_Validation!$A:$F,6,0)</f>
        <v>0</v>
      </c>
    </row>
    <row r="422" spans="1:24" ht="15" hidden="1" customHeight="1">
      <c r="A422" s="947" t="s">
        <v>2053</v>
      </c>
      <c r="B422" s="947" t="s">
        <v>2054</v>
      </c>
      <c r="C422" s="948">
        <v>-137729</v>
      </c>
      <c r="D422" s="948">
        <v>-91841</v>
      </c>
      <c r="E422" s="948">
        <v>-229570</v>
      </c>
      <c r="F422" s="947" t="s">
        <v>304</v>
      </c>
      <c r="G422" s="947" t="s">
        <v>2055</v>
      </c>
      <c r="H422" s="949"/>
      <c r="I422" s="949"/>
      <c r="J422" s="949"/>
      <c r="K422" s="949"/>
      <c r="L422" s="153" t="str">
        <f t="shared" si="45"/>
        <v>9149</v>
      </c>
      <c r="M422" s="154" t="str">
        <f t="shared" si="46"/>
        <v>REVENU RESERVE VOLKS</v>
      </c>
      <c r="N422" s="155">
        <f>+IF(OR($Q422=Parametres!$G$2,$Q422=Parametres!$G$3),I422,C422)</f>
        <v>-137729</v>
      </c>
      <c r="O422" s="575">
        <f>+IF(OR($Q422=Parametres!$G$2,$Q422=Parametres!$G$3),J422,D422)</f>
        <v>-91841</v>
      </c>
      <c r="P422" s="155">
        <f>+IF(OR($Q422=Parametres!$G$2,$Q422=Parametres!$G$3),K422,E422)</f>
        <v>-229570</v>
      </c>
      <c r="Q422" s="154" t="str">
        <f t="shared" si="47"/>
        <v>8-Autres revenus</v>
      </c>
      <c r="R422" s="153" t="str">
        <f t="shared" si="48"/>
        <v>9101</v>
      </c>
      <c r="S422" s="154">
        <f t="shared" si="49"/>
        <v>0</v>
      </c>
      <c r="T422" s="156" t="str">
        <f>+VLOOKUP($L422,Data_Validation!$A:$D,1,0)</f>
        <v>9149</v>
      </c>
      <c r="U422" s="156" t="str">
        <f>+VLOOKUP($L422,Data_Validation!$A:$D,3,0)</f>
        <v>Véhicules neufs</v>
      </c>
      <c r="V422" s="156" t="str">
        <f>+VLOOKUP($L422,Data_Validation!$A:$D,4,0)</f>
        <v>Holdbacks</v>
      </c>
      <c r="W422" s="156" t="str">
        <f>+VLOOKUP($L422,Data_Validation!$A:$E,5,0)</f>
        <v>$</v>
      </c>
      <c r="X422" s="156">
        <f>+VLOOKUP($L422,Data_Validation!$A:$F,6,0)</f>
        <v>0</v>
      </c>
    </row>
    <row r="423" spans="1:24" ht="15" hidden="1" customHeight="1">
      <c r="A423" s="947" t="s">
        <v>2138</v>
      </c>
      <c r="B423" s="947" t="s">
        <v>2139</v>
      </c>
      <c r="C423" s="1036">
        <v>-6304.04</v>
      </c>
      <c r="D423" s="1036">
        <v>-6019.27</v>
      </c>
      <c r="E423" s="1036">
        <v>-12323.31</v>
      </c>
      <c r="F423" s="947" t="s">
        <v>304</v>
      </c>
      <c r="G423" s="947" t="s">
        <v>2139</v>
      </c>
      <c r="H423" s="949"/>
      <c r="I423" s="948"/>
      <c r="J423" s="948"/>
      <c r="K423" s="948"/>
      <c r="L423" s="153" t="str">
        <f t="shared" si="45"/>
        <v>9152</v>
      </c>
      <c r="M423" s="154" t="str">
        <f t="shared" si="46"/>
        <v>ESCOMPTES SUR ACHAT PIECES</v>
      </c>
      <c r="N423" s="155">
        <f>+IF(OR($Q423=Parametres!$G$2,$Q423=Parametres!$G$3),I423,C423)</f>
        <v>-6304.04</v>
      </c>
      <c r="O423" s="155">
        <f>+IF(OR($Q423=Parametres!$G$2,$Q423=Parametres!$G$3),J423,D423)</f>
        <v>-6019.27</v>
      </c>
      <c r="P423" s="155">
        <f>+IF(OR($Q423=Parametres!$G$2,$Q423=Parametres!$G$3),K423,E423)</f>
        <v>-12323.31</v>
      </c>
      <c r="Q423" s="154" t="str">
        <f t="shared" si="47"/>
        <v>8-Autres revenus</v>
      </c>
      <c r="R423" s="153" t="str">
        <f t="shared" si="48"/>
        <v>9152</v>
      </c>
      <c r="S423" s="154">
        <f t="shared" si="49"/>
        <v>0</v>
      </c>
      <c r="T423" s="156" t="str">
        <f>+VLOOKUP($L423,Data_Validation!$A:$D,1,0)</f>
        <v>9152</v>
      </c>
      <c r="U423" s="156" t="str">
        <f>+VLOOKUP($L423,Data_Validation!$A:$D,3,0)</f>
        <v>Pièces</v>
      </c>
      <c r="V423" s="156" t="str">
        <f>+VLOOKUP($L423,Data_Validation!$A:$D,4,0)</f>
        <v>Escomptes</v>
      </c>
      <c r="W423" s="156" t="str">
        <f>+VLOOKUP($L423,Data_Validation!$A:$E,5,0)</f>
        <v>$</v>
      </c>
      <c r="X423" s="156">
        <f>+VLOOKUP($L423,Data_Validation!$A:$F,6,0)</f>
        <v>0</v>
      </c>
    </row>
    <row r="424" spans="1:24" ht="15" hidden="1" customHeight="1">
      <c r="A424" s="947" t="s">
        <v>2077</v>
      </c>
      <c r="B424" s="947" t="s">
        <v>2078</v>
      </c>
      <c r="C424" s="948">
        <v>-31176.52</v>
      </c>
      <c r="D424" s="948">
        <v>-34600</v>
      </c>
      <c r="E424" s="948">
        <v>-65776.52</v>
      </c>
      <c r="F424" s="947" t="s">
        <v>304</v>
      </c>
      <c r="G424" s="947" t="s">
        <v>2079</v>
      </c>
      <c r="H424" s="150"/>
      <c r="I424" s="152"/>
      <c r="J424" s="152"/>
      <c r="K424" s="152"/>
      <c r="L424" s="153" t="str">
        <f t="shared" si="45"/>
        <v>9157</v>
      </c>
      <c r="M424" s="154" t="str">
        <f t="shared" si="46"/>
        <v>PRIMES DE RENDEMENT (ToT)- BONUS EXPERIENCE +</v>
      </c>
      <c r="N424" s="155">
        <f>+IF(OR($Q424=Parametres!$G$2,$Q424=Parametres!$G$3),I424,C424)</f>
        <v>-31176.52</v>
      </c>
      <c r="O424" s="155">
        <f>+IF(OR($Q424=Parametres!$G$2,$Q424=Parametres!$G$3),J424,D424)</f>
        <v>-34600</v>
      </c>
      <c r="P424" s="155">
        <f>+IF(OR($Q424=Parametres!$G$2,$Q424=Parametres!$G$3),K424,E424)</f>
        <v>-65776.52</v>
      </c>
      <c r="Q424" s="154" t="str">
        <f t="shared" si="47"/>
        <v>8-Autres revenus</v>
      </c>
      <c r="R424" s="153" t="str">
        <f t="shared" si="48"/>
        <v>915</v>
      </c>
      <c r="S424" s="154">
        <f t="shared" si="49"/>
        <v>0</v>
      </c>
      <c r="T424" s="156" t="str">
        <f>+VLOOKUP($L424,Data_Validation!$A:$D,1,0)</f>
        <v>9157</v>
      </c>
      <c r="U424" s="156" t="str">
        <f>+VLOOKUP($L424,Data_Validation!$A:$D,3,0)</f>
        <v>Véhicules neufs</v>
      </c>
      <c r="V424" s="156" t="str">
        <f>+VLOOKUP($L424,Data_Validation!$A:$D,4,0)</f>
        <v>Programme neuf 1</v>
      </c>
      <c r="W424" s="156" t="str">
        <f>+VLOOKUP($L424,Data_Validation!$A:$E,5,0)</f>
        <v>$</v>
      </c>
      <c r="X424" s="156">
        <f>+VLOOKUP($L424,Data_Validation!$A:$F,6,0)</f>
        <v>0</v>
      </c>
    </row>
    <row r="425" spans="1:24" ht="15.75" hidden="1" customHeight="1">
      <c r="A425" s="947" t="s">
        <v>2170</v>
      </c>
      <c r="B425" s="947" t="s">
        <v>2076</v>
      </c>
      <c r="C425" s="948">
        <v>0</v>
      </c>
      <c r="D425" s="948">
        <v>1085.02</v>
      </c>
      <c r="E425" s="948">
        <v>1085.02</v>
      </c>
      <c r="F425" s="947" t="s">
        <v>304</v>
      </c>
      <c r="G425" s="947" t="s">
        <v>2076</v>
      </c>
      <c r="H425" s="150"/>
      <c r="I425" s="157"/>
      <c r="J425" s="157"/>
      <c r="K425" s="157"/>
      <c r="L425" s="153" t="str">
        <f t="shared" si="45"/>
        <v>9161</v>
      </c>
      <c r="M425" s="154" t="str">
        <f t="shared" si="46"/>
        <v>REVENU FIN ET ASS NEUF</v>
      </c>
      <c r="N425" s="155">
        <f>+IF(OR($Q425=Parametres!$G$2,$Q425=Parametres!$G$3),I425,C425)</f>
        <v>0</v>
      </c>
      <c r="O425" s="155">
        <f>+IF(OR($Q425=Parametres!$G$2,$Q425=Parametres!$G$3),J425,D425)</f>
        <v>1085.02</v>
      </c>
      <c r="P425" s="155">
        <f>+IF(OR($Q425=Parametres!$G$2,$Q425=Parametres!$G$3),K425,E425)</f>
        <v>1085.02</v>
      </c>
      <c r="Q425" s="154" t="str">
        <f t="shared" si="47"/>
        <v>8-Autres revenus</v>
      </c>
      <c r="R425" s="153" t="str">
        <f t="shared" si="48"/>
        <v>9161</v>
      </c>
      <c r="S425" s="154">
        <f t="shared" si="49"/>
        <v>0</v>
      </c>
      <c r="T425" s="156" t="str">
        <f>+VLOOKUP($L425,Data_Validation!$A:$D,1,0)</f>
        <v>9161</v>
      </c>
      <c r="U425" s="156" t="str">
        <f>+VLOOKUP($L425,Data_Validation!$A:$D,3,0)</f>
        <v>Véhicules neufs</v>
      </c>
      <c r="V425" s="156" t="str">
        <f>+VLOOKUP($L425,Data_Validation!$A:$D,4,0)</f>
        <v>Rev. Finances</v>
      </c>
      <c r="W425" s="156" t="str">
        <f>+VLOOKUP($L425,Data_Validation!$A:$E,5,0)</f>
        <v>$</v>
      </c>
      <c r="X425" s="156" t="str">
        <f>+VLOOKUP($L425,Data_Validation!$A:$F,6,0)</f>
        <v>oui</v>
      </c>
    </row>
    <row r="426" spans="1:24" ht="15" hidden="1" customHeight="1">
      <c r="A426" s="947" t="s">
        <v>2084</v>
      </c>
      <c r="B426" s="947" t="s">
        <v>2085</v>
      </c>
      <c r="C426" s="948">
        <v>-17429.02</v>
      </c>
      <c r="D426" s="948">
        <v>-26701.93</v>
      </c>
      <c r="E426" s="948">
        <v>-44130.95</v>
      </c>
      <c r="F426" s="947" t="s">
        <v>304</v>
      </c>
      <c r="G426" s="947" t="s">
        <v>2085</v>
      </c>
      <c r="H426" s="150"/>
      <c r="I426" s="151"/>
      <c r="J426" s="151"/>
      <c r="K426" s="151"/>
      <c r="L426" s="153" t="str">
        <f t="shared" si="45"/>
        <v>9163</v>
      </c>
      <c r="M426" s="154" t="str">
        <f t="shared" si="46"/>
        <v>RESERVE FIN ET ASS VEH OCCASION</v>
      </c>
      <c r="N426" s="155">
        <f>+IF(OR($Q426=Parametres!$G$2,$Q426=Parametres!$G$3),I426,C426)</f>
        <v>-17429.02</v>
      </c>
      <c r="O426" s="155">
        <f>+IF(OR($Q426=Parametres!$G$2,$Q426=Parametres!$G$3),J426,D426)</f>
        <v>-26701.93</v>
      </c>
      <c r="P426" s="155">
        <f>+IF(OR($Q426=Parametres!$G$2,$Q426=Parametres!$G$3),K426,E426)</f>
        <v>-44130.95</v>
      </c>
      <c r="Q426" s="154" t="str">
        <f t="shared" si="47"/>
        <v>8-Autres revenus</v>
      </c>
      <c r="R426" s="153" t="str">
        <f t="shared" si="48"/>
        <v>9163</v>
      </c>
      <c r="S426" s="154">
        <f t="shared" si="49"/>
        <v>0</v>
      </c>
      <c r="T426" s="156" t="str">
        <f>+VLOOKUP($L426,Data_Validation!$A:$D,1,0)</f>
        <v>9163</v>
      </c>
      <c r="U426" s="156" t="str">
        <f>+VLOOKUP($L426,Data_Validation!$A:$D,3,0)</f>
        <v>Véhicules usagés</v>
      </c>
      <c r="V426" s="156" t="str">
        <f>+VLOOKUP($L426,Data_Validation!$A:$D,4,0)</f>
        <v>Rev. Finances</v>
      </c>
      <c r="W426" s="156" t="str">
        <f>+VLOOKUP($L426,Data_Validation!$A:$E,5,0)</f>
        <v>$</v>
      </c>
      <c r="X426" s="156" t="str">
        <f>+VLOOKUP($L426,Data_Validation!$A:$F,6,0)</f>
        <v>oui</v>
      </c>
    </row>
    <row r="427" spans="1:24" ht="15" hidden="1" customHeight="1">
      <c r="A427" s="947" t="s">
        <v>2171</v>
      </c>
      <c r="B427" s="947" t="s">
        <v>2172</v>
      </c>
      <c r="C427" s="948">
        <v>-1810.96</v>
      </c>
      <c r="D427" s="948">
        <v>-2024.82</v>
      </c>
      <c r="E427" s="948">
        <v>-3835.78</v>
      </c>
      <c r="F427" s="947" t="s">
        <v>304</v>
      </c>
      <c r="G427" s="947" t="s">
        <v>2076</v>
      </c>
      <c r="H427" s="150"/>
      <c r="I427" s="151"/>
      <c r="J427" s="151"/>
      <c r="K427" s="151"/>
      <c r="L427" s="153" t="str">
        <f t="shared" si="45"/>
        <v>9165</v>
      </c>
      <c r="M427" s="154" t="str">
        <f t="shared" si="46"/>
        <v>REV. ASSURANCES NEUF</v>
      </c>
      <c r="N427" s="155">
        <f>+IF(OR($Q427=Parametres!$G$2,$Q427=Parametres!$G$3),I427,C427)</f>
        <v>-1810.96</v>
      </c>
      <c r="O427" s="155">
        <f>+IF(OR($Q427=Parametres!$G$2,$Q427=Parametres!$G$3),J427,D427)</f>
        <v>-2024.82</v>
      </c>
      <c r="P427" s="155">
        <f>+IF(OR($Q427=Parametres!$G$2,$Q427=Parametres!$G$3),K427,E427)</f>
        <v>-3835.78</v>
      </c>
      <c r="Q427" s="154" t="str">
        <f t="shared" si="47"/>
        <v>8-Autres revenus</v>
      </c>
      <c r="R427" s="153" t="str">
        <f t="shared" si="48"/>
        <v>9161</v>
      </c>
      <c r="S427" s="154">
        <f t="shared" si="49"/>
        <v>0</v>
      </c>
      <c r="T427" s="156" t="str">
        <f>+VLOOKUP($L427,Data_Validation!$A:$D,1,0)</f>
        <v>9165</v>
      </c>
      <c r="U427" s="156" t="str">
        <f>+VLOOKUP($L427,Data_Validation!$A:$D,3,0)</f>
        <v>Véhicules neufs</v>
      </c>
      <c r="V427" s="156" t="str">
        <f>+VLOOKUP($L427,Data_Validation!$A:$D,4,0)</f>
        <v>Rev. Autres</v>
      </c>
      <c r="W427" s="156" t="str">
        <f>+VLOOKUP($L427,Data_Validation!$A:$E,5,0)</f>
        <v>$</v>
      </c>
      <c r="X427" s="156" t="str">
        <f>+VLOOKUP($L427,Data_Validation!$A:$F,6,0)</f>
        <v>oui</v>
      </c>
    </row>
    <row r="428" spans="1:24" ht="15" hidden="1" customHeight="1">
      <c r="A428" s="947" t="s">
        <v>2179</v>
      </c>
      <c r="B428" s="947" t="s">
        <v>2180</v>
      </c>
      <c r="C428" s="948">
        <v>-1563.3</v>
      </c>
      <c r="D428" s="948">
        <v>-3184.19</v>
      </c>
      <c r="E428" s="948">
        <v>-4747.49</v>
      </c>
      <c r="F428" s="947" t="s">
        <v>304</v>
      </c>
      <c r="G428" s="947" t="s">
        <v>2085</v>
      </c>
      <c r="H428" s="150"/>
      <c r="I428" s="151"/>
      <c r="J428" s="151"/>
      <c r="K428" s="151"/>
      <c r="L428" s="153" t="str">
        <f t="shared" si="45"/>
        <v>9167</v>
      </c>
      <c r="M428" s="154" t="str">
        <f t="shared" si="46"/>
        <v>REV ASSURANCE USAGE</v>
      </c>
      <c r="N428" s="155">
        <f>+IF(OR($Q428=Parametres!$G$2,$Q428=Parametres!$G$3),I428,C428)</f>
        <v>-1563.3</v>
      </c>
      <c r="O428" s="155">
        <f>+IF(OR($Q428=Parametres!$G$2,$Q428=Parametres!$G$3),J428,D428)</f>
        <v>-3184.19</v>
      </c>
      <c r="P428" s="155">
        <f>+IF(OR($Q428=Parametres!$G$2,$Q428=Parametres!$G$3),K428,E428)</f>
        <v>-4747.49</v>
      </c>
      <c r="Q428" s="154" t="str">
        <f t="shared" si="47"/>
        <v>8-Autres revenus</v>
      </c>
      <c r="R428" s="153" t="str">
        <f t="shared" si="48"/>
        <v>9163</v>
      </c>
      <c r="S428" s="154">
        <f t="shared" si="49"/>
        <v>0</v>
      </c>
      <c r="T428" s="156" t="str">
        <f>+VLOOKUP($L428,Data_Validation!$A:$D,1,0)</f>
        <v>9167</v>
      </c>
      <c r="U428" s="156" t="str">
        <f>+VLOOKUP($L428,Data_Validation!$A:$D,3,0)</f>
        <v>Véhicules usagés</v>
      </c>
      <c r="V428" s="156" t="str">
        <f>+VLOOKUP($L428,Data_Validation!$A:$D,4,0)</f>
        <v>Rev. Autres</v>
      </c>
      <c r="W428" s="156" t="str">
        <f>+VLOOKUP($L428,Data_Validation!$A:$E,5,0)</f>
        <v>$</v>
      </c>
      <c r="X428" s="156">
        <f>+VLOOKUP($L428,Data_Validation!$A:$F,6,0)</f>
        <v>0</v>
      </c>
    </row>
    <row r="429" spans="1:24" ht="15" hidden="1" customHeight="1">
      <c r="A429" s="947" t="s">
        <v>2092</v>
      </c>
      <c r="B429" s="947" t="s">
        <v>2093</v>
      </c>
      <c r="C429" s="948">
        <v>-12795</v>
      </c>
      <c r="D429" s="948">
        <v>-5647</v>
      </c>
      <c r="E429" s="948">
        <v>-18442</v>
      </c>
      <c r="F429" s="947" t="s">
        <v>304</v>
      </c>
      <c r="G429" s="947" t="s">
        <v>2076</v>
      </c>
      <c r="H429" s="150"/>
      <c r="I429" s="157"/>
      <c r="J429" s="157"/>
      <c r="K429" s="157"/>
      <c r="L429" s="153" t="str">
        <f t="shared" si="45"/>
        <v>9169</v>
      </c>
      <c r="M429" s="154" t="str">
        <f t="shared" si="46"/>
        <v>REV GARANTIE PROLONGEE NEUF</v>
      </c>
      <c r="N429" s="155">
        <f>+IF(OR($Q429=Parametres!$G$2,$Q429=Parametres!$G$3),I429,C429)</f>
        <v>-12795</v>
      </c>
      <c r="O429" s="155">
        <f>+IF(OR($Q429=Parametres!$G$2,$Q429=Parametres!$G$3),J429,D429)</f>
        <v>-5647</v>
      </c>
      <c r="P429" s="155">
        <f>+IF(OR($Q429=Parametres!$G$2,$Q429=Parametres!$G$3),K429,E429)</f>
        <v>-18442</v>
      </c>
      <c r="Q429" s="154" t="str">
        <f t="shared" si="47"/>
        <v>8-Autres revenus</v>
      </c>
      <c r="R429" s="153" t="str">
        <f t="shared" si="48"/>
        <v>9161</v>
      </c>
      <c r="S429" s="154">
        <f t="shared" si="49"/>
        <v>0</v>
      </c>
      <c r="T429" s="156" t="str">
        <f>+VLOOKUP($L429,Data_Validation!$A:$D,1,0)</f>
        <v>9169</v>
      </c>
      <c r="U429" s="156" t="str">
        <f>+VLOOKUP($L429,Data_Validation!$A:$D,3,0)</f>
        <v>Véhicules neufs</v>
      </c>
      <c r="V429" s="156" t="str">
        <f>+VLOOKUP($L429,Data_Validation!$A:$D,4,0)</f>
        <v>Rev. Protections</v>
      </c>
      <c r="W429" s="156" t="str">
        <f>+VLOOKUP($L429,Data_Validation!$A:$E,5,0)</f>
        <v>$</v>
      </c>
      <c r="X429" s="156" t="str">
        <f>+VLOOKUP($L429,Data_Validation!$A:$F,6,0)</f>
        <v>oui</v>
      </c>
    </row>
    <row r="430" spans="1:24" ht="15" hidden="1" customHeight="1">
      <c r="A430" s="947" t="s">
        <v>2074</v>
      </c>
      <c r="B430" s="947" t="s">
        <v>2075</v>
      </c>
      <c r="C430" s="948">
        <v>-34742.089999999997</v>
      </c>
      <c r="D430" s="948">
        <v>-46992.08</v>
      </c>
      <c r="E430" s="948">
        <v>-81734.17</v>
      </c>
      <c r="F430" s="947" t="s">
        <v>304</v>
      </c>
      <c r="G430" s="947" t="s">
        <v>2076</v>
      </c>
      <c r="H430" s="150"/>
      <c r="I430" s="157"/>
      <c r="J430" s="157"/>
      <c r="K430" s="157"/>
      <c r="L430" s="153" t="str">
        <f t="shared" si="45"/>
        <v>9170</v>
      </c>
      <c r="M430" s="154" t="str">
        <f t="shared" si="46"/>
        <v>PROFIT PROTECTIONS - NEUFS</v>
      </c>
      <c r="N430" s="155">
        <f>+IF(OR($Q430=Parametres!$G$2,$Q430=Parametres!$G$3),I430,C430)</f>
        <v>-34742.089999999997</v>
      </c>
      <c r="O430" s="155">
        <f>+IF(OR($Q430=Parametres!$G$2,$Q430=Parametres!$G$3),J430,D430)</f>
        <v>-46992.08</v>
      </c>
      <c r="P430" s="155">
        <f>+IF(OR($Q430=Parametres!$G$2,$Q430=Parametres!$G$3),K430,E430)</f>
        <v>-81734.17</v>
      </c>
      <c r="Q430" s="154" t="str">
        <f t="shared" si="47"/>
        <v>8-Autres revenus</v>
      </c>
      <c r="R430" s="153" t="str">
        <f t="shared" si="48"/>
        <v>9161</v>
      </c>
      <c r="S430" s="154">
        <f t="shared" si="49"/>
        <v>0</v>
      </c>
      <c r="T430" s="156" t="str">
        <f>+VLOOKUP($L430,Data_Validation!$A:$D,1,0)</f>
        <v>9170</v>
      </c>
      <c r="U430" s="156" t="str">
        <f>+VLOOKUP($L430,Data_Validation!$A:$D,3,0)</f>
        <v>Véhicules neufs</v>
      </c>
      <c r="V430" s="156" t="str">
        <f>+VLOOKUP($L430,Data_Validation!$A:$D,4,0)</f>
        <v>Rev. Protections</v>
      </c>
      <c r="W430" s="156" t="str">
        <f>+VLOOKUP($L430,Data_Validation!$A:$E,5,0)</f>
        <v>$</v>
      </c>
      <c r="X430" s="156" t="str">
        <f>+VLOOKUP($L430,Data_Validation!$A:$F,6,0)</f>
        <v>oui</v>
      </c>
    </row>
    <row r="431" spans="1:24" ht="15.75" hidden="1" customHeight="1">
      <c r="A431" s="947" t="s">
        <v>2088</v>
      </c>
      <c r="B431" s="947" t="s">
        <v>2089</v>
      </c>
      <c r="C431" s="948">
        <v>-36159</v>
      </c>
      <c r="D431" s="948">
        <v>-26615</v>
      </c>
      <c r="E431" s="948">
        <v>-62774</v>
      </c>
      <c r="F431" s="947" t="s">
        <v>304</v>
      </c>
      <c r="G431" s="947" t="s">
        <v>2085</v>
      </c>
      <c r="H431" s="150"/>
      <c r="I431" s="151"/>
      <c r="J431" s="151"/>
      <c r="K431" s="151"/>
      <c r="L431" s="153" t="str">
        <f t="shared" si="45"/>
        <v>9171</v>
      </c>
      <c r="M431" s="154" t="str">
        <f t="shared" si="46"/>
        <v>REV GARANTIE PROLONGEE USAGE</v>
      </c>
      <c r="N431" s="155">
        <f>+IF(OR($Q431=Parametres!$G$2,$Q431=Parametres!$G$3),I431,C431)</f>
        <v>-36159</v>
      </c>
      <c r="O431" s="155">
        <f>+IF(OR($Q431=Parametres!$G$2,$Q431=Parametres!$G$3),J431,D431)</f>
        <v>-26615</v>
      </c>
      <c r="P431" s="155">
        <f>+IF(OR($Q431=Parametres!$G$2,$Q431=Parametres!$G$3),K431,E431)</f>
        <v>-62774</v>
      </c>
      <c r="Q431" s="154" t="str">
        <f t="shared" si="47"/>
        <v>8-Autres revenus</v>
      </c>
      <c r="R431" s="153" t="str">
        <f t="shared" si="48"/>
        <v>9163</v>
      </c>
      <c r="S431" s="154">
        <f t="shared" si="49"/>
        <v>0</v>
      </c>
      <c r="T431" s="156" t="str">
        <f>+VLOOKUP($L431,Data_Validation!$A:$D,1,0)</f>
        <v>9171</v>
      </c>
      <c r="U431" s="156" t="str">
        <f>+VLOOKUP($L431,Data_Validation!$A:$D,3,0)</f>
        <v>Véhicules usagés</v>
      </c>
      <c r="V431" s="156" t="str">
        <f>+VLOOKUP($L431,Data_Validation!$A:$D,4,0)</f>
        <v>Rev. Protections</v>
      </c>
      <c r="W431" s="156" t="str">
        <f>+VLOOKUP($L431,Data_Validation!$A:$E,5,0)</f>
        <v>$</v>
      </c>
      <c r="X431" s="156">
        <f>+VLOOKUP($L431,Data_Validation!$A:$F,6,0)</f>
        <v>0</v>
      </c>
    </row>
    <row r="432" spans="1:24" ht="15" hidden="1" customHeight="1">
      <c r="A432" s="947" t="s">
        <v>2096</v>
      </c>
      <c r="B432" s="947" t="s">
        <v>2097</v>
      </c>
      <c r="C432" s="948">
        <v>-19252.37</v>
      </c>
      <c r="D432" s="948">
        <v>-13358.56</v>
      </c>
      <c r="E432" s="948">
        <v>-32610.93</v>
      </c>
      <c r="F432" s="947" t="s">
        <v>304</v>
      </c>
      <c r="G432" s="947" t="s">
        <v>2085</v>
      </c>
      <c r="H432" s="150"/>
      <c r="I432" s="151"/>
      <c r="J432" s="151"/>
      <c r="K432" s="151"/>
      <c r="L432" s="153" t="str">
        <f t="shared" si="45"/>
        <v>9172</v>
      </c>
      <c r="M432" s="154" t="str">
        <f t="shared" si="46"/>
        <v>PROFIT PROTECTIONS - USAGES</v>
      </c>
      <c r="N432" s="155">
        <f>+IF(OR($Q432=Parametres!$G$2,$Q432=Parametres!$G$3),I432,C432)</f>
        <v>-19252.37</v>
      </c>
      <c r="O432" s="155">
        <f>+IF(OR($Q432=Parametres!$G$2,$Q432=Parametres!$G$3),J432,D432)</f>
        <v>-13358.56</v>
      </c>
      <c r="P432" s="155">
        <f>+IF(OR($Q432=Parametres!$G$2,$Q432=Parametres!$G$3),K432,E432)</f>
        <v>-32610.93</v>
      </c>
      <c r="Q432" s="154" t="str">
        <f t="shared" si="47"/>
        <v>8-Autres revenus</v>
      </c>
      <c r="R432" s="153" t="str">
        <f t="shared" si="48"/>
        <v>9163</v>
      </c>
      <c r="S432" s="154">
        <f t="shared" si="49"/>
        <v>0</v>
      </c>
      <c r="T432" s="156" t="str">
        <f>+VLOOKUP($L432,Data_Validation!$A:$D,1,0)</f>
        <v>9172</v>
      </c>
      <c r="U432" s="156" t="str">
        <f>+VLOOKUP($L432,Data_Validation!$A:$D,3,0)</f>
        <v>Véhicules usagés</v>
      </c>
      <c r="V432" s="156" t="str">
        <f>+VLOOKUP($L432,Data_Validation!$A:$D,4,0)</f>
        <v>Rev. Protections</v>
      </c>
      <c r="W432" s="156" t="str">
        <f>+VLOOKUP($L432,Data_Validation!$A:$E,5,0)</f>
        <v>$</v>
      </c>
      <c r="X432" s="156">
        <f>+VLOOKUP($L432,Data_Validation!$A:$F,6,0)</f>
        <v>0</v>
      </c>
    </row>
    <row r="433" spans="1:24" ht="15" hidden="1" customHeight="1">
      <c r="A433" s="947" t="s">
        <v>2080</v>
      </c>
      <c r="B433" s="947" t="s">
        <v>2081</v>
      </c>
      <c r="C433" s="1036">
        <v>-37868.699999999997</v>
      </c>
      <c r="D433" s="1036">
        <v>-34846</v>
      </c>
      <c r="E433" s="1036">
        <v>-72714.7</v>
      </c>
      <c r="F433" s="947" t="s">
        <v>304</v>
      </c>
      <c r="G433" s="947" t="s">
        <v>2063</v>
      </c>
      <c r="H433" s="949"/>
      <c r="I433" s="948"/>
      <c r="J433" s="948"/>
      <c r="K433" s="948"/>
      <c r="L433" s="153" t="str">
        <f t="shared" si="45"/>
        <v>9173</v>
      </c>
      <c r="M433" s="154" t="str">
        <f t="shared" si="46"/>
        <v>FRAIS ADMIN. VOLKS</v>
      </c>
      <c r="N433" s="155">
        <f>+IF(OR($Q433=Parametres!$G$2,$Q433=Parametres!$G$3),I433,C433)</f>
        <v>-37868.699999999997</v>
      </c>
      <c r="O433" s="155">
        <f>+IF(OR($Q433=Parametres!$G$2,$Q433=Parametres!$G$3),J433,D433)</f>
        <v>-34846</v>
      </c>
      <c r="P433" s="155">
        <f>+IF(OR($Q433=Parametres!$G$2,$Q433=Parametres!$G$3),K433,E433)</f>
        <v>-72714.7</v>
      </c>
      <c r="Q433" s="154" t="str">
        <f t="shared" si="47"/>
        <v>8-Autres revenus</v>
      </c>
      <c r="R433" s="153" t="str">
        <f t="shared" si="48"/>
        <v>9191</v>
      </c>
      <c r="S433" s="154">
        <f t="shared" si="49"/>
        <v>0</v>
      </c>
      <c r="T433" s="156" t="str">
        <f>+VLOOKUP($L433,Data_Validation!$A:$D,1,0)</f>
        <v>9173</v>
      </c>
      <c r="U433" s="156" t="str">
        <f>+VLOOKUP($L433,Data_Validation!$A:$D,3,0)</f>
        <v>Véhicules neufs</v>
      </c>
      <c r="V433" s="156" t="str">
        <f>+VLOOKUP($L433,Data_Validation!$A:$D,4,0)</f>
        <v>Frais administration</v>
      </c>
      <c r="W433" s="156" t="str">
        <f>+VLOOKUP($L433,Data_Validation!$A:$E,5,0)</f>
        <v>$</v>
      </c>
      <c r="X433" s="156">
        <f>+VLOOKUP($L433,Data_Validation!$A:$F,6,0)</f>
        <v>0</v>
      </c>
    </row>
    <row r="434" spans="1:24" ht="15" hidden="1" customHeight="1">
      <c r="A434" s="947" t="s">
        <v>2062</v>
      </c>
      <c r="B434" s="947" t="s">
        <v>2063</v>
      </c>
      <c r="C434" s="948">
        <v>-65936.73</v>
      </c>
      <c r="D434" s="948">
        <v>-72972.09</v>
      </c>
      <c r="E434" s="948">
        <v>-138908.82</v>
      </c>
      <c r="F434" s="947" t="s">
        <v>304</v>
      </c>
      <c r="G434" s="947" t="s">
        <v>2063</v>
      </c>
      <c r="H434" s="949"/>
      <c r="I434" s="949"/>
      <c r="J434" s="949"/>
      <c r="K434" s="949"/>
      <c r="L434" s="153" t="str">
        <f t="shared" si="45"/>
        <v>9191</v>
      </c>
      <c r="M434" s="154" t="str">
        <f t="shared" si="46"/>
        <v>REVENUS DIVERS</v>
      </c>
      <c r="N434" s="155">
        <f>+IF(OR($Q434=Parametres!$G$2,$Q434=Parametres!$G$3),I434,C434)</f>
        <v>-65936.73</v>
      </c>
      <c r="O434" s="575">
        <f>+IF(OR($Q434=Parametres!$G$2,$Q434=Parametres!$G$3),J434,D434)</f>
        <v>-72972.09</v>
      </c>
      <c r="P434" s="155">
        <f>+IF(OR($Q434=Parametres!$G$2,$Q434=Parametres!$G$3),K434,E434)</f>
        <v>-138908.82</v>
      </c>
      <c r="Q434" s="154" t="str">
        <f t="shared" si="47"/>
        <v>8-Autres revenus</v>
      </c>
      <c r="R434" s="153" t="str">
        <f t="shared" si="48"/>
        <v>9191</v>
      </c>
      <c r="S434" s="154">
        <f t="shared" si="49"/>
        <v>0</v>
      </c>
      <c r="T434" s="156" t="str">
        <f>+VLOOKUP($L434,Data_Validation!$A:$D,1,0)</f>
        <v>9191</v>
      </c>
      <c r="U434" s="156" t="str">
        <f>+VLOOKUP($L434,Data_Validation!$A:$D,3,0)</f>
        <v>TOTAL  DES  REVENUS  ET  DÉPENSES</v>
      </c>
      <c r="V434" s="156" t="str">
        <f>+VLOOKUP($L434,Data_Validation!$A:$D,4,0)</f>
        <v>Revenus autres</v>
      </c>
      <c r="W434" s="156" t="str">
        <f>+VLOOKUP($L434,Data_Validation!$A:$E,5,0)</f>
        <v>$</v>
      </c>
      <c r="X434" s="156">
        <f>+VLOOKUP($L434,Data_Validation!$A:$F,6,0)</f>
        <v>0</v>
      </c>
    </row>
    <row r="435" spans="1:24" ht="15.75" hidden="1" customHeight="1">
      <c r="A435" s="947" t="s">
        <v>2650</v>
      </c>
      <c r="B435" s="947" t="s">
        <v>2176</v>
      </c>
      <c r="C435" s="948">
        <v>796.68</v>
      </c>
      <c r="D435" s="948">
        <v>398.34</v>
      </c>
      <c r="E435" s="948">
        <v>1195.02</v>
      </c>
      <c r="F435" s="947" t="s">
        <v>1235</v>
      </c>
      <c r="G435" s="947" t="s">
        <v>2176</v>
      </c>
      <c r="H435" s="949"/>
      <c r="I435" s="949"/>
      <c r="J435" s="949"/>
      <c r="K435" s="949"/>
      <c r="L435" s="153" t="str">
        <f t="shared" si="45"/>
        <v>9402</v>
      </c>
      <c r="M435" s="154" t="str">
        <f t="shared" si="46"/>
        <v>DEPENSE D'INTERETS</v>
      </c>
      <c r="N435" s="155">
        <f>+IF(OR($Q435=Parametres!$G$2,$Q435=Parametres!$G$3),I435,C435)</f>
        <v>796.68</v>
      </c>
      <c r="O435" s="155">
        <f>+IF(OR($Q435=Parametres!$G$2,$Q435=Parametres!$G$3),J435,D435)</f>
        <v>398.34</v>
      </c>
      <c r="P435" s="155">
        <f>+IF(OR($Q435=Parametres!$G$2,$Q435=Parametres!$G$3),K435,E435)</f>
        <v>1195.02</v>
      </c>
      <c r="Q435" s="154" t="str">
        <f t="shared" si="47"/>
        <v>9-Autres déductions</v>
      </c>
      <c r="R435" s="153" t="str">
        <f t="shared" si="48"/>
        <v>9402</v>
      </c>
      <c r="S435" s="154">
        <f t="shared" si="49"/>
        <v>0</v>
      </c>
      <c r="T435" s="156" t="str">
        <f>+VLOOKUP($L435,Data_Validation!$A:$D,1,0)</f>
        <v>9402</v>
      </c>
      <c r="U435" s="156" t="str">
        <f>+VLOOKUP($L435,Data_Validation!$A:$D,3,0)</f>
        <v>TOTAL  DES  REVENUS  ET  DÉPENSES</v>
      </c>
      <c r="V435" s="156" t="str">
        <f>+VLOOKUP($L435,Data_Validation!$A:$D,4,0)</f>
        <v>Intérêts sur prêt</v>
      </c>
      <c r="W435" s="156" t="str">
        <f>+VLOOKUP($L435,Data_Validation!$A:$E,5,0)</f>
        <v>$</v>
      </c>
      <c r="X435" s="156">
        <f>+VLOOKUP($L435,Data_Validation!$A:$F,6,0)</f>
        <v>0</v>
      </c>
    </row>
    <row r="436" spans="1:24" ht="15" hidden="1" customHeight="1">
      <c r="A436" s="947" t="s">
        <v>2174</v>
      </c>
      <c r="B436" s="947" t="s">
        <v>2175</v>
      </c>
      <c r="C436" s="948">
        <v>-3930.11</v>
      </c>
      <c r="D436" s="948">
        <v>213.88</v>
      </c>
      <c r="E436" s="948">
        <v>-3716.23</v>
      </c>
      <c r="F436" s="947" t="s">
        <v>1235</v>
      </c>
      <c r="G436" s="947" t="s">
        <v>2176</v>
      </c>
      <c r="H436" s="949"/>
      <c r="I436" s="949"/>
      <c r="J436" s="949"/>
      <c r="K436" s="949"/>
      <c r="L436" s="153" t="str">
        <f t="shared" si="45"/>
        <v>9403</v>
      </c>
      <c r="M436" s="154" t="str">
        <f t="shared" si="46"/>
        <v>INTERETS SUR MARGE CREDIT</v>
      </c>
      <c r="N436" s="155">
        <f>+IF(OR($Q436=Parametres!$G$2,$Q436=Parametres!$G$3),I436,C436)</f>
        <v>-3930.11</v>
      </c>
      <c r="O436" s="575">
        <f>+IF(OR($Q436=Parametres!$G$2,$Q436=Parametres!$G$3),J436,D436)</f>
        <v>213.88</v>
      </c>
      <c r="P436" s="155">
        <f>+IF(OR($Q436=Parametres!$G$2,$Q436=Parametres!$G$3),K436,E436)</f>
        <v>-3716.23</v>
      </c>
      <c r="Q436" s="154" t="str">
        <f t="shared" si="47"/>
        <v>9-Autres déductions</v>
      </c>
      <c r="R436" s="153" t="str">
        <f t="shared" si="48"/>
        <v>9402</v>
      </c>
      <c r="S436" s="154">
        <f t="shared" si="49"/>
        <v>0</v>
      </c>
      <c r="T436" s="156" t="str">
        <f>+VLOOKUP($L436,Data_Validation!$A:$D,1,0)</f>
        <v>9403</v>
      </c>
      <c r="U436" s="156" t="str">
        <f>+VLOOKUP($L436,Data_Validation!$A:$D,3,0)</f>
        <v>TOTAL  DES  REVENUS  ET  DÉPENSES</v>
      </c>
      <c r="V436" s="156" t="str">
        <f>+VLOOKUP($L436,Data_Validation!$A:$D,4,0)</f>
        <v>Intérêts sur marge</v>
      </c>
      <c r="W436" s="156" t="str">
        <f>+VLOOKUP($L436,Data_Validation!$A:$E,5,0)</f>
        <v>$</v>
      </c>
      <c r="X436" s="156">
        <f>+VLOOKUP($L436,Data_Validation!$A:$F,6,0)</f>
        <v>0</v>
      </c>
    </row>
    <row r="437" spans="1:24" ht="15" hidden="1" customHeight="1">
      <c r="A437" s="947" t="s">
        <v>1389</v>
      </c>
      <c r="B437" s="947" t="s">
        <v>2599</v>
      </c>
      <c r="C437" s="948">
        <v>344.5</v>
      </c>
      <c r="D437" s="948">
        <v>172.25</v>
      </c>
      <c r="E437" s="948">
        <v>516.75</v>
      </c>
      <c r="F437" s="947" t="s">
        <v>1235</v>
      </c>
      <c r="G437" s="947" t="s">
        <v>2176</v>
      </c>
      <c r="H437" s="150"/>
      <c r="I437" s="151"/>
      <c r="J437" s="151"/>
      <c r="K437" s="151"/>
      <c r="L437" s="153" t="str">
        <f t="shared" si="45"/>
        <v>9404</v>
      </c>
      <c r="M437" s="154" t="str">
        <f t="shared" si="46"/>
        <v>INTERETS SUR PRET</v>
      </c>
      <c r="N437" s="155">
        <f>+IF(OR($Q437=Parametres!$G$2,$Q437=Parametres!$G$3),I437,C437)</f>
        <v>344.5</v>
      </c>
      <c r="O437" s="155">
        <f>+IF(OR($Q437=Parametres!$G$2,$Q437=Parametres!$G$3),J437,D437)</f>
        <v>172.25</v>
      </c>
      <c r="P437" s="155">
        <f>+IF(OR($Q437=Parametres!$G$2,$Q437=Parametres!$G$3),K437,E437)</f>
        <v>516.75</v>
      </c>
      <c r="Q437" s="154" t="str">
        <f t="shared" si="47"/>
        <v>9-Autres déductions</v>
      </c>
      <c r="R437" s="153" t="str">
        <f t="shared" si="48"/>
        <v>9402</v>
      </c>
      <c r="S437" s="154">
        <f t="shared" si="49"/>
        <v>0</v>
      </c>
      <c r="T437" s="156" t="str">
        <f>+VLOOKUP($L437,Data_Validation!$A:$D,1,0)</f>
        <v>9404</v>
      </c>
      <c r="U437" s="156" t="str">
        <f>+VLOOKUP($L437,Data_Validation!$A:$D,3,0)</f>
        <v>TOTAL  DES  REVENUS  ET  DÉPENSES</v>
      </c>
      <c r="V437" s="156" t="str">
        <f>+VLOOKUP($L437,Data_Validation!$A:$D,4,0)</f>
        <v>Intérêts sur prêt</v>
      </c>
      <c r="W437" s="156" t="str">
        <f>+VLOOKUP($L437,Data_Validation!$A:$E,5,0)</f>
        <v>$</v>
      </c>
      <c r="X437" s="156">
        <f>+VLOOKUP($L437,Data_Validation!$A:$F,6,0)</f>
        <v>0</v>
      </c>
    </row>
    <row r="438" spans="1:24" ht="15" hidden="1" customHeight="1">
      <c r="A438" s="947" t="s">
        <v>1385</v>
      </c>
      <c r="B438" s="947" t="s">
        <v>2782</v>
      </c>
      <c r="C438" s="948">
        <v>9569.5499999999993</v>
      </c>
      <c r="D438" s="948">
        <v>6675.78</v>
      </c>
      <c r="E438" s="948">
        <v>16245.33</v>
      </c>
      <c r="F438" s="947" t="s">
        <v>1235</v>
      </c>
      <c r="G438" s="947" t="s">
        <v>2176</v>
      </c>
      <c r="H438" s="150"/>
      <c r="I438" s="157"/>
      <c r="J438" s="157"/>
      <c r="K438" s="157"/>
      <c r="L438" s="153" t="str">
        <f t="shared" si="45"/>
        <v>9406</v>
      </c>
      <c r="M438" s="154" t="str">
        <f t="shared" si="46"/>
        <v>FRAIS BANCAIRES</v>
      </c>
      <c r="N438" s="155">
        <f>+IF(OR($Q438=Parametres!$G$2,$Q438=Parametres!$G$3),I438,C438)</f>
        <v>9569.5499999999993</v>
      </c>
      <c r="O438" s="155">
        <f>+IF(OR($Q438=Parametres!$G$2,$Q438=Parametres!$G$3),J438,D438)</f>
        <v>6675.78</v>
      </c>
      <c r="P438" s="155">
        <f>+IF(OR($Q438=Parametres!$G$2,$Q438=Parametres!$G$3),K438,E438)</f>
        <v>16245.33</v>
      </c>
      <c r="Q438" s="154" t="str">
        <f t="shared" si="47"/>
        <v>9-Autres déductions</v>
      </c>
      <c r="R438" s="153" t="str">
        <f t="shared" si="48"/>
        <v>9402</v>
      </c>
      <c r="S438" s="154">
        <f t="shared" si="49"/>
        <v>0</v>
      </c>
      <c r="T438" s="156" t="str">
        <f>+VLOOKUP($L438,Data_Validation!$A:$D,1,0)</f>
        <v>9406</v>
      </c>
      <c r="U438" s="156" t="str">
        <f>+VLOOKUP($L438,Data_Validation!$A:$D,3,0)</f>
        <v>Véhicules neufs</v>
      </c>
      <c r="V438" s="156" t="str">
        <f>+VLOOKUP($L438,Data_Validation!$A:$D,4,0)</f>
        <v>Frais bancaires</v>
      </c>
      <c r="W438" s="156" t="str">
        <f>+VLOOKUP($L438,Data_Validation!$A:$E,5,0)</f>
        <v>$</v>
      </c>
      <c r="X438" s="156">
        <f>+VLOOKUP($L438,Data_Validation!$A:$F,6,0)</f>
        <v>0</v>
      </c>
    </row>
    <row r="439" spans="1:24" ht="15" hidden="1" customHeight="1">
      <c r="A439" s="947"/>
      <c r="B439" s="947"/>
      <c r="C439" s="1036"/>
      <c r="D439" s="1036"/>
      <c r="E439" s="1036"/>
      <c r="F439" s="947"/>
      <c r="G439" s="947"/>
      <c r="H439" s="949"/>
      <c r="I439" s="948"/>
      <c r="J439" s="948"/>
      <c r="K439" s="948"/>
      <c r="L439" s="153"/>
      <c r="M439" s="154"/>
      <c r="N439" s="155"/>
      <c r="O439" s="155"/>
      <c r="P439" s="155"/>
      <c r="Q439" s="154"/>
      <c r="R439" s="153"/>
      <c r="S439" s="154"/>
      <c r="T439" s="156"/>
      <c r="U439" s="156"/>
      <c r="V439" s="156"/>
      <c r="W439" s="156"/>
      <c r="X439" s="156"/>
    </row>
    <row r="440" spans="1:24" ht="15" hidden="1" customHeight="1">
      <c r="A440" s="947"/>
      <c r="B440" s="947"/>
      <c r="C440" s="948"/>
      <c r="D440" s="948"/>
      <c r="E440" s="948"/>
      <c r="F440" s="947"/>
      <c r="G440" s="947"/>
      <c r="H440" s="150"/>
      <c r="I440" s="151"/>
      <c r="J440" s="151"/>
      <c r="K440" s="151"/>
      <c r="L440" s="153">
        <f t="shared" si="45"/>
        <v>0</v>
      </c>
      <c r="M440" s="154">
        <f t="shared" si="46"/>
        <v>0</v>
      </c>
      <c r="N440" s="155">
        <f>+IF(OR($Q440=Parametres!$G$2,$Q440=Parametres!$G$3),I440,C440)</f>
        <v>0</v>
      </c>
      <c r="O440" s="155">
        <f>+IF(OR($Q440=Parametres!$G$2,$Q440=Parametres!$G$3),J440,D440)</f>
        <v>0</v>
      </c>
      <c r="P440" s="155">
        <f>+IF(OR($Q440=Parametres!$G$2,$Q440=Parametres!$G$3),K440,E440)</f>
        <v>0</v>
      </c>
      <c r="Q440" s="154">
        <f t="shared" si="47"/>
        <v>0</v>
      </c>
      <c r="R440" s="153">
        <f t="shared" si="48"/>
        <v>0</v>
      </c>
      <c r="S440" s="154">
        <f t="shared" si="49"/>
        <v>0</v>
      </c>
      <c r="T440" s="156" t="e">
        <f>+VLOOKUP($L440,Data_Validation!$A:$D,1,0)</f>
        <v>#N/A</v>
      </c>
      <c r="U440" s="156" t="e">
        <f>+VLOOKUP($L440,Data_Validation!$A:$D,3,0)</f>
        <v>#N/A</v>
      </c>
      <c r="V440" s="156" t="e">
        <f>+VLOOKUP($L440,Data_Validation!$A:$D,4,0)</f>
        <v>#N/A</v>
      </c>
      <c r="W440" s="156" t="e">
        <f>+VLOOKUP($L440,Data_Validation!$A:$E,5,0)</f>
        <v>#N/A</v>
      </c>
      <c r="X440" s="156" t="e">
        <f>+VLOOKUP($L440,Data_Validation!$A:$F,6,0)</f>
        <v>#N/A</v>
      </c>
    </row>
    <row r="441" spans="1:24" ht="15.75" hidden="1" customHeight="1">
      <c r="A441" s="947"/>
      <c r="B441" s="947"/>
      <c r="C441" s="948"/>
      <c r="D441" s="948"/>
      <c r="E441" s="948"/>
      <c r="F441" s="947"/>
      <c r="G441" s="947"/>
      <c r="H441" s="150"/>
      <c r="I441" s="157"/>
      <c r="J441" s="157"/>
      <c r="K441" s="157"/>
      <c r="L441" s="153">
        <f t="shared" si="45"/>
        <v>0</v>
      </c>
      <c r="M441" s="154">
        <f t="shared" si="46"/>
        <v>0</v>
      </c>
      <c r="N441" s="155">
        <f>+IF(OR($Q441=Parametres!$G$2,$Q441=Parametres!$G$3),I441,C441)</f>
        <v>0</v>
      </c>
      <c r="O441" s="155">
        <f>+IF(OR($Q441=Parametres!$G$2,$Q441=Parametres!$G$3),J441,D441)</f>
        <v>0</v>
      </c>
      <c r="P441" s="155">
        <f>+IF(OR($Q441=Parametres!$G$2,$Q441=Parametres!$G$3),K441,E441)</f>
        <v>0</v>
      </c>
      <c r="Q441" s="154">
        <f t="shared" si="47"/>
        <v>0</v>
      </c>
      <c r="R441" s="153">
        <f t="shared" si="48"/>
        <v>0</v>
      </c>
      <c r="S441" s="154">
        <f t="shared" si="49"/>
        <v>0</v>
      </c>
      <c r="T441" s="156" t="e">
        <f>+VLOOKUP($L441,Data_Validation!$A:$D,1,0)</f>
        <v>#N/A</v>
      </c>
      <c r="U441" s="156" t="e">
        <f>+VLOOKUP($L441,Data_Validation!$A:$D,3,0)</f>
        <v>#N/A</v>
      </c>
      <c r="V441" s="156" t="e">
        <f>+VLOOKUP($L441,Data_Validation!$A:$D,4,0)</f>
        <v>#N/A</v>
      </c>
      <c r="W441" s="156" t="e">
        <f>+VLOOKUP($L441,Data_Validation!$A:$E,5,0)</f>
        <v>#N/A</v>
      </c>
      <c r="X441" s="156" t="e">
        <f>+VLOOKUP($L441,Data_Validation!$A:$F,6,0)</f>
        <v>#N/A</v>
      </c>
    </row>
    <row r="442" spans="1:24" ht="15" hidden="1" customHeight="1">
      <c r="A442" s="947"/>
      <c r="B442" s="947"/>
      <c r="C442" s="948"/>
      <c r="D442" s="948"/>
      <c r="E442" s="948"/>
      <c r="F442" s="947"/>
      <c r="G442" s="947"/>
      <c r="H442" s="150"/>
      <c r="I442" s="157"/>
      <c r="J442" s="157"/>
      <c r="K442" s="157"/>
      <c r="L442" s="153">
        <f t="shared" si="45"/>
        <v>0</v>
      </c>
      <c r="M442" s="154">
        <f t="shared" si="46"/>
        <v>0</v>
      </c>
      <c r="N442" s="155">
        <f>+IF(OR($Q442=Parametres!$G$2,$Q442=Parametres!$G$3),I442,C442)</f>
        <v>0</v>
      </c>
      <c r="O442" s="155">
        <f>+IF(OR($Q442=Parametres!$G$2,$Q442=Parametres!$G$3),J442,D442)</f>
        <v>0</v>
      </c>
      <c r="P442" s="155">
        <f>+IF(OR($Q442=Parametres!$G$2,$Q442=Parametres!$G$3),K442,E442)</f>
        <v>0</v>
      </c>
      <c r="Q442" s="154">
        <f t="shared" si="47"/>
        <v>0</v>
      </c>
      <c r="R442" s="153">
        <f t="shared" si="48"/>
        <v>0</v>
      </c>
      <c r="S442" s="154">
        <f t="shared" si="49"/>
        <v>0</v>
      </c>
      <c r="T442" s="156" t="e">
        <f>+VLOOKUP($L442,Data_Validation!$A:$D,1,0)</f>
        <v>#N/A</v>
      </c>
      <c r="U442" s="156" t="e">
        <f>+VLOOKUP($L442,Data_Validation!$A:$D,3,0)</f>
        <v>#N/A</v>
      </c>
      <c r="V442" s="156" t="e">
        <f>+VLOOKUP($L442,Data_Validation!$A:$D,4,0)</f>
        <v>#N/A</v>
      </c>
      <c r="W442" s="156" t="e">
        <f>+VLOOKUP($L442,Data_Validation!$A:$E,5,0)</f>
        <v>#N/A</v>
      </c>
      <c r="X442" s="156" t="e">
        <f>+VLOOKUP($L442,Data_Validation!$A:$F,6,0)</f>
        <v>#N/A</v>
      </c>
    </row>
    <row r="443" spans="1:24" ht="15" hidden="1" customHeight="1">
      <c r="A443" s="947"/>
      <c r="B443" s="947"/>
      <c r="C443" s="948"/>
      <c r="D443" s="948"/>
      <c r="E443" s="948"/>
      <c r="F443" s="947"/>
      <c r="G443" s="947"/>
      <c r="H443" s="150"/>
      <c r="I443" s="157"/>
      <c r="J443" s="157"/>
      <c r="K443" s="157"/>
      <c r="L443" s="153">
        <f t="shared" si="45"/>
        <v>0</v>
      </c>
      <c r="M443" s="154">
        <f t="shared" si="46"/>
        <v>0</v>
      </c>
      <c r="N443" s="155">
        <f>+IF(OR($Q443=Parametres!$G$2,$Q443=Parametres!$G$3),I443,C443)</f>
        <v>0</v>
      </c>
      <c r="O443" s="155">
        <f>+IF(OR($Q443=Parametres!$G$2,$Q443=Parametres!$G$3),J443,D443)</f>
        <v>0</v>
      </c>
      <c r="P443" s="155">
        <f>+IF(OR($Q443=Parametres!$G$2,$Q443=Parametres!$G$3),K443,E443)</f>
        <v>0</v>
      </c>
      <c r="Q443" s="154">
        <f t="shared" si="47"/>
        <v>0</v>
      </c>
      <c r="R443" s="153">
        <f t="shared" si="48"/>
        <v>0</v>
      </c>
      <c r="S443" s="154">
        <f t="shared" si="49"/>
        <v>0</v>
      </c>
      <c r="T443" s="156" t="e">
        <f>+VLOOKUP($L443,Data_Validation!$A:$D,1,0)</f>
        <v>#N/A</v>
      </c>
      <c r="U443" s="156" t="e">
        <f>+VLOOKUP($L443,Data_Validation!$A:$D,3,0)</f>
        <v>#N/A</v>
      </c>
      <c r="V443" s="156" t="e">
        <f>+VLOOKUP($L443,Data_Validation!$A:$D,4,0)</f>
        <v>#N/A</v>
      </c>
      <c r="W443" s="156" t="e">
        <f>+VLOOKUP($L443,Data_Validation!$A:$E,5,0)</f>
        <v>#N/A</v>
      </c>
      <c r="X443" s="156" t="e">
        <f>+VLOOKUP($L443,Data_Validation!$A:$F,6,0)</f>
        <v>#N/A</v>
      </c>
    </row>
    <row r="444" spans="1:24" ht="15" hidden="1" customHeight="1">
      <c r="A444" s="947"/>
      <c r="B444" s="947"/>
      <c r="C444" s="948"/>
      <c r="D444" s="948"/>
      <c r="E444" s="948"/>
      <c r="F444" s="947"/>
      <c r="G444" s="947"/>
      <c r="H444" s="949"/>
      <c r="I444" s="949"/>
      <c r="J444" s="949"/>
      <c r="K444" s="949"/>
      <c r="L444" s="153">
        <f t="shared" si="45"/>
        <v>0</v>
      </c>
      <c r="M444" s="154">
        <f t="shared" si="46"/>
        <v>0</v>
      </c>
      <c r="N444" s="155">
        <f>+IF(OR($Q444=Parametres!$G$2,$Q444=Parametres!$G$3),I444,C444)</f>
        <v>0</v>
      </c>
      <c r="O444" s="155">
        <f>+IF(OR($Q444=Parametres!$G$2,$Q444=Parametres!$G$3),J444,D444)</f>
        <v>0</v>
      </c>
      <c r="P444" s="155">
        <f>+IF(OR($Q444=Parametres!$G$2,$Q444=Parametres!$G$3),K444,E444)</f>
        <v>0</v>
      </c>
      <c r="Q444" s="154">
        <f t="shared" si="47"/>
        <v>0</v>
      </c>
      <c r="R444" s="153">
        <f t="shared" si="48"/>
        <v>0</v>
      </c>
      <c r="S444" s="154">
        <f t="shared" si="49"/>
        <v>0</v>
      </c>
      <c r="T444" s="156" t="e">
        <f>+VLOOKUP($L444,Data_Validation!$A:$D,1,0)</f>
        <v>#N/A</v>
      </c>
      <c r="U444" s="156" t="e">
        <f>+VLOOKUP($L444,Data_Validation!$A:$D,3,0)</f>
        <v>#N/A</v>
      </c>
      <c r="V444" s="156" t="e">
        <f>+VLOOKUP($L444,Data_Validation!$A:$D,4,0)</f>
        <v>#N/A</v>
      </c>
      <c r="W444" s="156" t="e">
        <f>+VLOOKUP($L444,Data_Validation!$A:$E,5,0)</f>
        <v>#N/A</v>
      </c>
      <c r="X444" s="156" t="e">
        <f>+VLOOKUP($L444,Data_Validation!$A:$F,6,0)</f>
        <v>#N/A</v>
      </c>
    </row>
    <row r="445" spans="1:24" ht="15" hidden="1" customHeight="1">
      <c r="A445" s="947"/>
      <c r="B445" s="947"/>
      <c r="C445" s="948"/>
      <c r="D445" s="948"/>
      <c r="E445" s="948"/>
      <c r="F445" s="947"/>
      <c r="G445" s="947"/>
      <c r="H445" s="150"/>
      <c r="I445" s="151"/>
      <c r="J445" s="151"/>
      <c r="K445" s="151"/>
      <c r="L445" s="153">
        <f t="shared" si="45"/>
        <v>0</v>
      </c>
      <c r="M445" s="154">
        <f t="shared" si="46"/>
        <v>0</v>
      </c>
      <c r="N445" s="155">
        <f>+IF(OR($Q445=Parametres!$G$2,$Q445=Parametres!$G$3),I445,C445)</f>
        <v>0</v>
      </c>
      <c r="O445" s="155">
        <f>+IF(OR($Q445=Parametres!$G$2,$Q445=Parametres!$G$3),J445,D445)</f>
        <v>0</v>
      </c>
      <c r="P445" s="155">
        <f>+IF(OR($Q445=Parametres!$G$2,$Q445=Parametres!$G$3),K445,E445)</f>
        <v>0</v>
      </c>
      <c r="Q445" s="154">
        <f t="shared" si="47"/>
        <v>0</v>
      </c>
      <c r="R445" s="153">
        <f t="shared" si="48"/>
        <v>0</v>
      </c>
      <c r="S445" s="154">
        <f t="shared" si="49"/>
        <v>0</v>
      </c>
      <c r="T445" s="156" t="e">
        <f>+VLOOKUP($L445,Data_Validation!$A:$D,1,0)</f>
        <v>#N/A</v>
      </c>
      <c r="U445" s="156" t="e">
        <f>+VLOOKUP($L445,Data_Validation!$A:$D,3,0)</f>
        <v>#N/A</v>
      </c>
      <c r="V445" s="156" t="e">
        <f>+VLOOKUP($L445,Data_Validation!$A:$D,4,0)</f>
        <v>#N/A</v>
      </c>
      <c r="W445" s="156" t="e">
        <f>+VLOOKUP($L445,Data_Validation!$A:$E,5,0)</f>
        <v>#N/A</v>
      </c>
      <c r="X445" s="156" t="e">
        <f>+VLOOKUP($L445,Data_Validation!$A:$F,6,0)</f>
        <v>#N/A</v>
      </c>
    </row>
    <row r="446" spans="1:24" ht="15.75" hidden="1" customHeight="1">
      <c r="A446" s="947"/>
      <c r="B446" s="947"/>
      <c r="C446" s="948"/>
      <c r="D446" s="948"/>
      <c r="E446" s="948"/>
      <c r="F446" s="947"/>
      <c r="G446" s="947"/>
      <c r="H446" s="150"/>
      <c r="I446" s="151"/>
      <c r="J446" s="151"/>
      <c r="K446" s="151"/>
      <c r="L446" s="153">
        <f t="shared" si="45"/>
        <v>0</v>
      </c>
      <c r="M446" s="154">
        <f t="shared" si="46"/>
        <v>0</v>
      </c>
      <c r="N446" s="155">
        <f>+IF(OR($Q446=Parametres!$G$2,$Q446=Parametres!$G$3),I446,C446)</f>
        <v>0</v>
      </c>
      <c r="O446" s="155">
        <f>+IF(OR($Q446=Parametres!$G$2,$Q446=Parametres!$G$3),J446,D446)</f>
        <v>0</v>
      </c>
      <c r="P446" s="155">
        <f>+IF(OR($Q446=Parametres!$G$2,$Q446=Parametres!$G$3),K446,E446)</f>
        <v>0</v>
      </c>
      <c r="Q446" s="154">
        <f t="shared" si="47"/>
        <v>0</v>
      </c>
      <c r="R446" s="153">
        <f t="shared" si="48"/>
        <v>0</v>
      </c>
      <c r="S446" s="154">
        <f t="shared" si="49"/>
        <v>0</v>
      </c>
      <c r="T446" s="156" t="e">
        <f>+VLOOKUP($L446,Data_Validation!$A:$D,1,0)</f>
        <v>#N/A</v>
      </c>
      <c r="U446" s="156" t="e">
        <f>+VLOOKUP($L446,Data_Validation!$A:$D,3,0)</f>
        <v>#N/A</v>
      </c>
      <c r="V446" s="156" t="e">
        <f>+VLOOKUP($L446,Data_Validation!$A:$D,4,0)</f>
        <v>#N/A</v>
      </c>
      <c r="W446" s="156" t="e">
        <f>+VLOOKUP($L446,Data_Validation!$A:$E,5,0)</f>
        <v>#N/A</v>
      </c>
      <c r="X446" s="156" t="e">
        <f>+VLOOKUP($L446,Data_Validation!$A:$F,6,0)</f>
        <v>#N/A</v>
      </c>
    </row>
    <row r="447" spans="1:24" ht="15.75" hidden="1" customHeight="1">
      <c r="A447" s="947"/>
      <c r="B447" s="947"/>
      <c r="C447" s="948"/>
      <c r="D447" s="948"/>
      <c r="E447" s="948"/>
      <c r="F447" s="947"/>
      <c r="G447" s="947"/>
      <c r="H447" s="949"/>
      <c r="I447" s="949"/>
      <c r="J447" s="949"/>
      <c r="K447" s="949"/>
      <c r="L447" s="153">
        <f t="shared" si="45"/>
        <v>0</v>
      </c>
      <c r="M447" s="154">
        <f t="shared" si="46"/>
        <v>0</v>
      </c>
      <c r="N447" s="155">
        <f>+IF(OR($Q447=Parametres!$G$2,$Q447=Parametres!$G$3),I447,C447)</f>
        <v>0</v>
      </c>
      <c r="O447" s="155">
        <f>+IF(OR($Q447=Parametres!$G$2,$Q447=Parametres!$G$3),J447,D447)</f>
        <v>0</v>
      </c>
      <c r="P447" s="155">
        <f>+IF(OR($Q447=Parametres!$G$2,$Q447=Parametres!$G$3),K447,E447)</f>
        <v>0</v>
      </c>
      <c r="Q447" s="154">
        <f t="shared" si="47"/>
        <v>0</v>
      </c>
      <c r="R447" s="153">
        <f t="shared" si="48"/>
        <v>0</v>
      </c>
      <c r="S447" s="154">
        <f t="shared" si="49"/>
        <v>0</v>
      </c>
      <c r="T447" s="156" t="e">
        <f>+VLOOKUP($L447,Data_Validation!$A:$D,1,0)</f>
        <v>#N/A</v>
      </c>
      <c r="U447" s="156" t="e">
        <f>+VLOOKUP($L447,Data_Validation!$A:$D,3,0)</f>
        <v>#N/A</v>
      </c>
      <c r="V447" s="156" t="e">
        <f>+VLOOKUP($L447,Data_Validation!$A:$D,4,0)</f>
        <v>#N/A</v>
      </c>
      <c r="W447" s="156" t="e">
        <f>+VLOOKUP($L447,Data_Validation!$A:$E,5,0)</f>
        <v>#N/A</v>
      </c>
      <c r="X447" s="156" t="e">
        <f>+VLOOKUP($L447,Data_Validation!$A:$F,6,0)</f>
        <v>#N/A</v>
      </c>
    </row>
    <row r="448" spans="1:24" ht="15" hidden="1" customHeight="1">
      <c r="A448" s="947"/>
      <c r="B448" s="947"/>
      <c r="C448" s="949"/>
      <c r="D448" s="949"/>
      <c r="E448" s="949"/>
      <c r="F448" s="947"/>
      <c r="G448" s="947"/>
      <c r="H448" s="949"/>
      <c r="I448" s="948"/>
      <c r="J448" s="948"/>
      <c r="K448" s="948"/>
      <c r="L448" s="153">
        <f t="shared" si="45"/>
        <v>0</v>
      </c>
      <c r="M448" s="154">
        <f t="shared" si="46"/>
        <v>0</v>
      </c>
      <c r="N448" s="155">
        <f>+IF(OR($Q448=Parametres!$G$2,$Q448=Parametres!$G$3),I448,C448)</f>
        <v>0</v>
      </c>
      <c r="O448" s="155">
        <f>+IF(OR($Q448=Parametres!$G$2,$Q448=Parametres!$G$3),J448,D448)</f>
        <v>0</v>
      </c>
      <c r="P448" s="155">
        <f>+IF(OR($Q448=Parametres!$G$2,$Q448=Parametres!$G$3),K448,E448)</f>
        <v>0</v>
      </c>
      <c r="Q448" s="154">
        <f t="shared" si="47"/>
        <v>0</v>
      </c>
      <c r="R448" s="153">
        <f t="shared" si="48"/>
        <v>0</v>
      </c>
      <c r="S448" s="154">
        <f t="shared" si="49"/>
        <v>0</v>
      </c>
      <c r="T448" s="156" t="e">
        <f>+VLOOKUP($L448,Data_Validation!$A:$D,1,0)</f>
        <v>#N/A</v>
      </c>
      <c r="U448" s="156" t="e">
        <f>+VLOOKUP($L448,Data_Validation!$A:$D,3,0)</f>
        <v>#N/A</v>
      </c>
      <c r="V448" s="156" t="e">
        <f>+VLOOKUP($L448,Data_Validation!$A:$D,4,0)</f>
        <v>#N/A</v>
      </c>
      <c r="W448" s="156" t="e">
        <f>+VLOOKUP($L448,Data_Validation!$A:$E,5,0)</f>
        <v>#N/A</v>
      </c>
      <c r="X448" s="156" t="e">
        <f>+VLOOKUP($L448,Data_Validation!$A:$F,6,0)</f>
        <v>#N/A</v>
      </c>
    </row>
    <row r="449" spans="1:24" ht="15" hidden="1" customHeight="1">
      <c r="A449" s="947"/>
      <c r="B449" s="947"/>
      <c r="C449" s="948"/>
      <c r="D449" s="948"/>
      <c r="E449" s="948"/>
      <c r="F449" s="947"/>
      <c r="G449" s="947"/>
      <c r="H449" s="150"/>
      <c r="I449" s="157"/>
      <c r="J449" s="157"/>
      <c r="K449" s="157"/>
      <c r="L449" s="153">
        <f t="shared" si="45"/>
        <v>0</v>
      </c>
      <c r="M449" s="154">
        <f t="shared" si="46"/>
        <v>0</v>
      </c>
      <c r="N449" s="155">
        <f>+IF(OR($Q449=Parametres!$G$2,$Q449=Parametres!$G$3),I449,C449)</f>
        <v>0</v>
      </c>
      <c r="O449" s="155">
        <f>+IF(OR($Q449=Parametres!$G$2,$Q449=Parametres!$G$3),J449,D449)</f>
        <v>0</v>
      </c>
      <c r="P449" s="155">
        <f>+IF(OR($Q449=Parametres!$G$2,$Q449=Parametres!$G$3),K449,E449)</f>
        <v>0</v>
      </c>
      <c r="Q449" s="154">
        <f t="shared" si="47"/>
        <v>0</v>
      </c>
      <c r="R449" s="153">
        <f t="shared" si="48"/>
        <v>0</v>
      </c>
      <c r="S449" s="154">
        <f t="shared" si="49"/>
        <v>0</v>
      </c>
      <c r="T449" s="156" t="e">
        <f>+VLOOKUP($L449,Data_Validation!$A:$D,1,0)</f>
        <v>#N/A</v>
      </c>
      <c r="U449" s="156" t="e">
        <f>+VLOOKUP($L449,Data_Validation!$A:$D,3,0)</f>
        <v>#N/A</v>
      </c>
      <c r="V449" s="156" t="e">
        <f>+VLOOKUP($L449,Data_Validation!$A:$D,4,0)</f>
        <v>#N/A</v>
      </c>
      <c r="W449" s="156" t="e">
        <f>+VLOOKUP($L449,Data_Validation!$A:$E,5,0)</f>
        <v>#N/A</v>
      </c>
      <c r="X449" s="156" t="e">
        <f>+VLOOKUP($L449,Data_Validation!$A:$F,6,0)</f>
        <v>#N/A</v>
      </c>
    </row>
    <row r="450" spans="1:24" ht="15" hidden="1" customHeight="1">
      <c r="A450" s="947"/>
      <c r="B450" s="947"/>
      <c r="C450" s="948"/>
      <c r="D450" s="948"/>
      <c r="E450" s="948"/>
      <c r="F450" s="947"/>
      <c r="G450" s="947"/>
      <c r="H450" s="150"/>
      <c r="I450" s="151"/>
      <c r="J450" s="151"/>
      <c r="K450" s="151"/>
      <c r="L450" s="153">
        <f t="shared" ref="L450:L513" si="50">+B450</f>
        <v>0</v>
      </c>
      <c r="M450" s="154">
        <f t="shared" ref="M450:M513" si="51">+A450</f>
        <v>0</v>
      </c>
      <c r="N450" s="155">
        <f>+IF(OR($Q450=Parametres!$G$2,$Q450=Parametres!$G$3),I450,C450)</f>
        <v>0</v>
      </c>
      <c r="O450" s="155">
        <f>+IF(OR($Q450=Parametres!$G$2,$Q450=Parametres!$G$3),J450,D450)</f>
        <v>0</v>
      </c>
      <c r="P450" s="155">
        <f>+IF(OR($Q450=Parametres!$G$2,$Q450=Parametres!$G$3),K450,E450)</f>
        <v>0</v>
      </c>
      <c r="Q450" s="154">
        <f t="shared" ref="Q450:Q513" si="52">+F450</f>
        <v>0</v>
      </c>
      <c r="R450" s="153">
        <f t="shared" ref="R450:R513" si="53">+G450</f>
        <v>0</v>
      </c>
      <c r="S450" s="154">
        <f t="shared" ref="S450:S513" si="54">+H450</f>
        <v>0</v>
      </c>
      <c r="T450" s="156" t="e">
        <f>+VLOOKUP($L450,Data_Validation!$A:$D,1,0)</f>
        <v>#N/A</v>
      </c>
      <c r="U450" s="156" t="e">
        <f>+VLOOKUP($L450,Data_Validation!$A:$D,3,0)</f>
        <v>#N/A</v>
      </c>
      <c r="V450" s="156" t="e">
        <f>+VLOOKUP($L450,Data_Validation!$A:$D,4,0)</f>
        <v>#N/A</v>
      </c>
      <c r="W450" s="156" t="e">
        <f>+VLOOKUP($L450,Data_Validation!$A:$E,5,0)</f>
        <v>#N/A</v>
      </c>
      <c r="X450" s="156" t="e">
        <f>+VLOOKUP($L450,Data_Validation!$A:$F,6,0)</f>
        <v>#N/A</v>
      </c>
    </row>
    <row r="451" spans="1:24" ht="15" hidden="1" customHeight="1">
      <c r="A451" s="947"/>
      <c r="B451" s="947"/>
      <c r="C451" s="948"/>
      <c r="D451" s="948"/>
      <c r="E451" s="948"/>
      <c r="F451" s="947"/>
      <c r="G451" s="947"/>
      <c r="H451" s="150"/>
      <c r="I451" s="157"/>
      <c r="J451" s="157"/>
      <c r="K451" s="157"/>
      <c r="L451" s="153">
        <f t="shared" si="50"/>
        <v>0</v>
      </c>
      <c r="M451" s="154">
        <f t="shared" si="51"/>
        <v>0</v>
      </c>
      <c r="N451" s="155">
        <f>+IF(OR($Q451=Parametres!$G$2,$Q451=Parametres!$G$3),I451,C451)</f>
        <v>0</v>
      </c>
      <c r="O451" s="155">
        <f>+IF(OR($Q451=Parametres!$G$2,$Q451=Parametres!$G$3),J451,D451)</f>
        <v>0</v>
      </c>
      <c r="P451" s="155">
        <f>+IF(OR($Q451=Parametres!$G$2,$Q451=Parametres!$G$3),K451,E451)</f>
        <v>0</v>
      </c>
      <c r="Q451" s="154">
        <f t="shared" si="52"/>
        <v>0</v>
      </c>
      <c r="R451" s="153">
        <f t="shared" si="53"/>
        <v>0</v>
      </c>
      <c r="S451" s="154">
        <f t="shared" si="54"/>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75" hidden="1" customHeight="1">
      <c r="A452" s="947"/>
      <c r="B452" s="947"/>
      <c r="C452" s="948"/>
      <c r="D452" s="948"/>
      <c r="E452" s="948"/>
      <c r="F452" s="947"/>
      <c r="G452" s="947"/>
      <c r="H452" s="150"/>
      <c r="I452" s="157"/>
      <c r="J452" s="157"/>
      <c r="K452" s="157"/>
      <c r="L452" s="153">
        <f t="shared" si="50"/>
        <v>0</v>
      </c>
      <c r="M452" s="154">
        <f t="shared" si="51"/>
        <v>0</v>
      </c>
      <c r="N452" s="155">
        <f>+IF(OR($Q452=Parametres!$G$2,$Q452=Parametres!$G$3),I452,C452)</f>
        <v>0</v>
      </c>
      <c r="O452" s="155">
        <f>+IF(OR($Q452=Parametres!$G$2,$Q452=Parametres!$G$3),J452,D452)</f>
        <v>0</v>
      </c>
      <c r="P452" s="155">
        <f>+IF(OR($Q452=Parametres!$G$2,$Q452=Parametres!$G$3),K452,E452)</f>
        <v>0</v>
      </c>
      <c r="Q452" s="154">
        <f t="shared" si="52"/>
        <v>0</v>
      </c>
      <c r="R452" s="153">
        <f t="shared" si="53"/>
        <v>0</v>
      </c>
      <c r="S452" s="154">
        <f t="shared" si="54"/>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hidden="1" customHeight="1">
      <c r="A453" s="947"/>
      <c r="B453" s="947"/>
      <c r="C453" s="948"/>
      <c r="D453" s="948"/>
      <c r="E453" s="948"/>
      <c r="F453" s="947"/>
      <c r="G453" s="947"/>
      <c r="H453" s="150"/>
      <c r="I453" s="157"/>
      <c r="J453" s="157"/>
      <c r="K453" s="157"/>
      <c r="L453" s="153">
        <f t="shared" si="50"/>
        <v>0</v>
      </c>
      <c r="M453" s="154">
        <f t="shared" si="51"/>
        <v>0</v>
      </c>
      <c r="N453" s="155">
        <f>+IF(OR($Q453=Parametres!$G$2,$Q453=Parametres!$G$3),I453,C453)</f>
        <v>0</v>
      </c>
      <c r="O453" s="155">
        <f>+IF(OR($Q453=Parametres!$G$2,$Q453=Parametres!$G$3),J453,D453)</f>
        <v>0</v>
      </c>
      <c r="P453" s="155">
        <f>+IF(OR($Q453=Parametres!$G$2,$Q453=Parametres!$G$3),K453,E453)</f>
        <v>0</v>
      </c>
      <c r="Q453" s="154">
        <f t="shared" si="52"/>
        <v>0</v>
      </c>
      <c r="R453" s="153">
        <f t="shared" si="53"/>
        <v>0</v>
      </c>
      <c r="S453" s="154">
        <f t="shared" si="54"/>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hidden="1" customHeight="1">
      <c r="A454" s="947"/>
      <c r="B454" s="947"/>
      <c r="C454" s="948"/>
      <c r="D454" s="948"/>
      <c r="E454" s="948"/>
      <c r="F454" s="947"/>
      <c r="G454" s="947"/>
      <c r="H454" s="150"/>
      <c r="I454" s="157"/>
      <c r="J454" s="157"/>
      <c r="K454" s="157"/>
      <c r="L454" s="153">
        <f t="shared" si="50"/>
        <v>0</v>
      </c>
      <c r="M454" s="154">
        <f t="shared" si="51"/>
        <v>0</v>
      </c>
      <c r="N454" s="155">
        <f>+IF(OR($Q454=Parametres!$G$2,$Q454=Parametres!$G$3),I454,C454)</f>
        <v>0</v>
      </c>
      <c r="O454" s="155">
        <f>+IF(OR($Q454=Parametres!$G$2,$Q454=Parametres!$G$3),J454,D454)</f>
        <v>0</v>
      </c>
      <c r="P454" s="155">
        <f>+IF(OR($Q454=Parametres!$G$2,$Q454=Parametres!$G$3),K454,E454)</f>
        <v>0</v>
      </c>
      <c r="Q454" s="154">
        <f t="shared" si="52"/>
        <v>0</v>
      </c>
      <c r="R454" s="153">
        <f t="shared" si="53"/>
        <v>0</v>
      </c>
      <c r="S454" s="154">
        <f t="shared" si="54"/>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 hidden="1" customHeight="1">
      <c r="A455" s="947"/>
      <c r="B455" s="947"/>
      <c r="C455" s="949"/>
      <c r="D455" s="949"/>
      <c r="E455" s="949"/>
      <c r="F455" s="947"/>
      <c r="G455" s="947"/>
      <c r="H455" s="949"/>
      <c r="I455" s="948"/>
      <c r="J455" s="948"/>
      <c r="K455" s="948"/>
      <c r="L455" s="153">
        <f t="shared" si="50"/>
        <v>0</v>
      </c>
      <c r="M455" s="154">
        <f t="shared" si="51"/>
        <v>0</v>
      </c>
      <c r="N455" s="155">
        <f>+IF(OR($Q455=Parametres!$G$2,$Q455=Parametres!$G$3),I455,C455)</f>
        <v>0</v>
      </c>
      <c r="O455" s="155">
        <f>+IF(OR($Q455=Parametres!$G$2,$Q455=Parametres!$G$3),J455,D455)</f>
        <v>0</v>
      </c>
      <c r="P455" s="155">
        <f>+IF(OR($Q455=Parametres!$G$2,$Q455=Parametres!$G$3),K455,E455)</f>
        <v>0</v>
      </c>
      <c r="Q455" s="154">
        <f t="shared" si="52"/>
        <v>0</v>
      </c>
      <c r="R455" s="153">
        <f t="shared" si="53"/>
        <v>0</v>
      </c>
      <c r="S455" s="154">
        <f t="shared" si="54"/>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75" hidden="1" customHeight="1">
      <c r="A456" s="947"/>
      <c r="B456" s="947"/>
      <c r="C456" s="949"/>
      <c r="D456" s="949"/>
      <c r="E456" s="949"/>
      <c r="F456" s="947"/>
      <c r="G456" s="947"/>
      <c r="H456" s="949"/>
      <c r="I456" s="948"/>
      <c r="J456" s="948"/>
      <c r="K456" s="948"/>
      <c r="L456" s="153">
        <f t="shared" si="50"/>
        <v>0</v>
      </c>
      <c r="M456" s="154">
        <f t="shared" si="51"/>
        <v>0</v>
      </c>
      <c r="N456" s="155">
        <f>+IF(OR($Q456=Parametres!$G$2,$Q456=Parametres!$G$3),I456,C456)</f>
        <v>0</v>
      </c>
      <c r="O456" s="155">
        <f>+IF(OR($Q456=Parametres!$G$2,$Q456=Parametres!$G$3),J456,D456)</f>
        <v>0</v>
      </c>
      <c r="P456" s="155">
        <f>+IF(OR($Q456=Parametres!$G$2,$Q456=Parametres!$G$3),K456,E456)</f>
        <v>0</v>
      </c>
      <c r="Q456" s="154">
        <f t="shared" si="52"/>
        <v>0</v>
      </c>
      <c r="R456" s="153">
        <f t="shared" si="53"/>
        <v>0</v>
      </c>
      <c r="S456" s="154">
        <f t="shared" si="54"/>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hidden="1" customHeight="1">
      <c r="A457" s="947"/>
      <c r="B457" s="947"/>
      <c r="C457" s="949"/>
      <c r="D457" s="949"/>
      <c r="E457" s="949"/>
      <c r="F457" s="947"/>
      <c r="G457" s="947"/>
      <c r="H457" s="949"/>
      <c r="I457" s="948"/>
      <c r="J457" s="948"/>
      <c r="K457" s="948"/>
      <c r="L457" s="153">
        <f t="shared" si="50"/>
        <v>0</v>
      </c>
      <c r="M457" s="154">
        <f t="shared" si="51"/>
        <v>0</v>
      </c>
      <c r="N457" s="155">
        <f>+IF(OR($Q457=Parametres!$G$2,$Q457=Parametres!$G$3),I457,C457)</f>
        <v>0</v>
      </c>
      <c r="O457" s="155">
        <f>+IF(OR($Q457=Parametres!$G$2,$Q457=Parametres!$G$3),J457,D457)</f>
        <v>0</v>
      </c>
      <c r="P457" s="155">
        <f>+IF(OR($Q457=Parametres!$G$2,$Q457=Parametres!$G$3),K457,E457)</f>
        <v>0</v>
      </c>
      <c r="Q457" s="154">
        <f t="shared" si="52"/>
        <v>0</v>
      </c>
      <c r="R457" s="153">
        <f t="shared" si="53"/>
        <v>0</v>
      </c>
      <c r="S457" s="154">
        <f t="shared" si="54"/>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hidden="1" customHeight="1">
      <c r="A458" s="947"/>
      <c r="B458" s="947"/>
      <c r="C458" s="949"/>
      <c r="D458" s="949"/>
      <c r="E458" s="949"/>
      <c r="F458" s="947"/>
      <c r="G458" s="947"/>
      <c r="H458" s="949"/>
      <c r="I458" s="948"/>
      <c r="J458" s="948"/>
      <c r="K458" s="948"/>
      <c r="L458" s="153">
        <f t="shared" si="50"/>
        <v>0</v>
      </c>
      <c r="M458" s="154">
        <f t="shared" si="51"/>
        <v>0</v>
      </c>
      <c r="N458" s="155">
        <f>+IF(OR($Q458=Parametres!$G$2,$Q458=Parametres!$G$3),I458,C458)</f>
        <v>0</v>
      </c>
      <c r="O458" s="155">
        <f>+IF(OR($Q458=Parametres!$G$2,$Q458=Parametres!$G$3),J458,D458)</f>
        <v>0</v>
      </c>
      <c r="P458" s="155">
        <f>+IF(OR($Q458=Parametres!$G$2,$Q458=Parametres!$G$3),K458,E458)</f>
        <v>0</v>
      </c>
      <c r="Q458" s="154">
        <f t="shared" si="52"/>
        <v>0</v>
      </c>
      <c r="R458" s="153">
        <f t="shared" si="53"/>
        <v>0</v>
      </c>
      <c r="S458" s="154">
        <f t="shared" si="54"/>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hidden="1" customHeight="1">
      <c r="A459" s="947"/>
      <c r="B459" s="947"/>
      <c r="C459" s="948"/>
      <c r="D459" s="948"/>
      <c r="E459" s="948"/>
      <c r="F459" s="947"/>
      <c r="G459" s="947"/>
      <c r="H459" s="949"/>
      <c r="I459" s="949"/>
      <c r="J459" s="949"/>
      <c r="K459" s="949"/>
      <c r="L459" s="153">
        <f t="shared" si="50"/>
        <v>0</v>
      </c>
      <c r="M459" s="154">
        <f t="shared" si="51"/>
        <v>0</v>
      </c>
      <c r="N459" s="155">
        <f>+IF(OR($Q459=Parametres!$G$2,$Q459=Parametres!$G$3),I459,C459)</f>
        <v>0</v>
      </c>
      <c r="O459" s="155">
        <f>+IF(OR($Q459=Parametres!$G$2,$Q459=Parametres!$G$3),J459,D459)</f>
        <v>0</v>
      </c>
      <c r="P459" s="155">
        <f>+IF(OR($Q459=Parametres!$G$2,$Q459=Parametres!$G$3),K459,E459)</f>
        <v>0</v>
      </c>
      <c r="Q459" s="154">
        <f t="shared" si="52"/>
        <v>0</v>
      </c>
      <c r="R459" s="153">
        <f t="shared" si="53"/>
        <v>0</v>
      </c>
      <c r="S459" s="154">
        <f t="shared" si="54"/>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hidden="1" customHeight="1">
      <c r="A460" s="947"/>
      <c r="B460" s="947"/>
      <c r="C460" s="948"/>
      <c r="D460" s="948"/>
      <c r="E460" s="948"/>
      <c r="F460" s="947"/>
      <c r="G460" s="947"/>
      <c r="H460" s="949"/>
      <c r="I460" s="949"/>
      <c r="J460" s="949"/>
      <c r="K460" s="949"/>
      <c r="L460" s="153">
        <f t="shared" si="50"/>
        <v>0</v>
      </c>
      <c r="M460" s="154">
        <f t="shared" si="51"/>
        <v>0</v>
      </c>
      <c r="N460" s="155">
        <f>+IF(OR($Q460=Parametres!$G$2,$Q460=Parametres!$G$3),I460,C460)</f>
        <v>0</v>
      </c>
      <c r="O460" s="155">
        <f>+IF(OR($Q460=Parametres!$G$2,$Q460=Parametres!$G$3),J460,D460)</f>
        <v>0</v>
      </c>
      <c r="P460" s="155">
        <f>+IF(OR($Q460=Parametres!$G$2,$Q460=Parametres!$G$3),K460,E460)</f>
        <v>0</v>
      </c>
      <c r="Q460" s="154">
        <f t="shared" si="52"/>
        <v>0</v>
      </c>
      <c r="R460" s="153">
        <f t="shared" si="53"/>
        <v>0</v>
      </c>
      <c r="S460" s="154">
        <f t="shared" si="54"/>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 hidden="1" customHeight="1">
      <c r="A461" s="947"/>
      <c r="B461" s="947"/>
      <c r="C461" s="948"/>
      <c r="D461" s="948"/>
      <c r="E461" s="948"/>
      <c r="F461" s="947"/>
      <c r="G461" s="947"/>
      <c r="H461" s="150"/>
      <c r="I461" s="151"/>
      <c r="J461" s="151"/>
      <c r="K461" s="151"/>
      <c r="L461" s="153">
        <f t="shared" si="50"/>
        <v>0</v>
      </c>
      <c r="M461" s="154">
        <f t="shared" si="51"/>
        <v>0</v>
      </c>
      <c r="N461" s="155">
        <f>+IF(OR($Q461=Parametres!$G$2,$Q461=Parametres!$G$3),I461,C461)</f>
        <v>0</v>
      </c>
      <c r="O461" s="155">
        <f>+IF(OR($Q461=Parametres!$G$2,$Q461=Parametres!$G$3),J461,D461)</f>
        <v>0</v>
      </c>
      <c r="P461" s="155">
        <f>+IF(OR($Q461=Parametres!$G$2,$Q461=Parametres!$G$3),K461,E461)</f>
        <v>0</v>
      </c>
      <c r="Q461" s="154">
        <f t="shared" si="52"/>
        <v>0</v>
      </c>
      <c r="R461" s="153">
        <f t="shared" si="53"/>
        <v>0</v>
      </c>
      <c r="S461" s="154">
        <f t="shared" si="54"/>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75" hidden="1" customHeight="1">
      <c r="A462" s="947"/>
      <c r="B462" s="947"/>
      <c r="C462" s="948"/>
      <c r="D462" s="948"/>
      <c r="E462" s="948"/>
      <c r="F462" s="947"/>
      <c r="G462" s="947"/>
      <c r="H462" s="150"/>
      <c r="I462" s="151"/>
      <c r="J462" s="151"/>
      <c r="K462" s="151"/>
      <c r="L462" s="153">
        <f t="shared" si="50"/>
        <v>0</v>
      </c>
      <c r="M462" s="154">
        <f t="shared" si="51"/>
        <v>0</v>
      </c>
      <c r="N462" s="155">
        <f>+IF(OR($Q462=Parametres!$G$2,$Q462=Parametres!$G$3),I462,C462)</f>
        <v>0</v>
      </c>
      <c r="O462" s="155">
        <f>+IF(OR($Q462=Parametres!$G$2,$Q462=Parametres!$G$3),J462,D462)</f>
        <v>0</v>
      </c>
      <c r="P462" s="155">
        <f>+IF(OR($Q462=Parametres!$G$2,$Q462=Parametres!$G$3),K462,E462)</f>
        <v>0</v>
      </c>
      <c r="Q462" s="154">
        <f t="shared" si="52"/>
        <v>0</v>
      </c>
      <c r="R462" s="153">
        <f t="shared" si="53"/>
        <v>0</v>
      </c>
      <c r="S462" s="154">
        <f t="shared" si="54"/>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hidden="1" customHeight="1">
      <c r="A463" s="947"/>
      <c r="B463" s="947"/>
      <c r="C463" s="948"/>
      <c r="D463" s="948"/>
      <c r="E463" s="948"/>
      <c r="F463" s="947"/>
      <c r="G463" s="947"/>
      <c r="H463" s="150"/>
      <c r="I463" s="152"/>
      <c r="J463" s="152"/>
      <c r="K463" s="152"/>
      <c r="L463" s="153">
        <f t="shared" si="50"/>
        <v>0</v>
      </c>
      <c r="M463" s="154">
        <f t="shared" si="51"/>
        <v>0</v>
      </c>
      <c r="N463" s="155">
        <f>+IF(OR($Q463=Parametres!$G$2,$Q463=Parametres!$G$3),I463,C463)</f>
        <v>0</v>
      </c>
      <c r="O463" s="155">
        <f>+IF(OR($Q463=Parametres!$G$2,$Q463=Parametres!$G$3),J463,D463)</f>
        <v>0</v>
      </c>
      <c r="P463" s="155">
        <f>+IF(OR($Q463=Parametres!$G$2,$Q463=Parametres!$G$3),K463,E463)</f>
        <v>0</v>
      </c>
      <c r="Q463" s="154">
        <f t="shared" si="52"/>
        <v>0</v>
      </c>
      <c r="R463" s="153">
        <f t="shared" si="53"/>
        <v>0</v>
      </c>
      <c r="S463" s="154">
        <f t="shared" si="54"/>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hidden="1" customHeight="1">
      <c r="A464" s="947"/>
      <c r="B464" s="947"/>
      <c r="C464" s="948"/>
      <c r="D464" s="948"/>
      <c r="E464" s="948"/>
      <c r="F464" s="947"/>
      <c r="G464" s="947"/>
      <c r="H464" s="150"/>
      <c r="I464" s="151"/>
      <c r="J464" s="151"/>
      <c r="K464" s="151"/>
      <c r="L464" s="153">
        <f t="shared" si="50"/>
        <v>0</v>
      </c>
      <c r="M464" s="154">
        <f t="shared" si="51"/>
        <v>0</v>
      </c>
      <c r="N464" s="155">
        <f>+IF(OR($Q464=Parametres!$G$2,$Q464=Parametres!$G$3),I464,C464)</f>
        <v>0</v>
      </c>
      <c r="O464" s="155">
        <f>+IF(OR($Q464=Parametres!$G$2,$Q464=Parametres!$G$3),J464,D464)</f>
        <v>0</v>
      </c>
      <c r="P464" s="155">
        <f>+IF(OR($Q464=Parametres!$G$2,$Q464=Parametres!$G$3),K464,E464)</f>
        <v>0</v>
      </c>
      <c r="Q464" s="154">
        <f t="shared" si="52"/>
        <v>0</v>
      </c>
      <c r="R464" s="153">
        <f t="shared" si="53"/>
        <v>0</v>
      </c>
      <c r="S464" s="154">
        <f t="shared" si="54"/>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hidden="1" customHeight="1">
      <c r="A465" s="947"/>
      <c r="B465" s="947"/>
      <c r="C465" s="948"/>
      <c r="D465" s="948"/>
      <c r="E465" s="948"/>
      <c r="F465" s="947"/>
      <c r="G465" s="947"/>
      <c r="H465" s="150"/>
      <c r="I465" s="157"/>
      <c r="J465" s="157"/>
      <c r="K465" s="157"/>
      <c r="L465" s="153">
        <f t="shared" si="50"/>
        <v>0</v>
      </c>
      <c r="M465" s="154">
        <f t="shared" si="51"/>
        <v>0</v>
      </c>
      <c r="N465" s="155">
        <f>+IF(OR($Q465=Parametres!$G$2,$Q465=Parametres!$G$3),I465,C465)</f>
        <v>0</v>
      </c>
      <c r="O465" s="155">
        <f>+IF(OR($Q465=Parametres!$G$2,$Q465=Parametres!$G$3),J465,D465)</f>
        <v>0</v>
      </c>
      <c r="P465" s="155">
        <f>+IF(OR($Q465=Parametres!$G$2,$Q465=Parametres!$G$3),K465,E465)</f>
        <v>0</v>
      </c>
      <c r="Q465" s="154">
        <f t="shared" si="52"/>
        <v>0</v>
      </c>
      <c r="R465" s="153">
        <f t="shared" si="53"/>
        <v>0</v>
      </c>
      <c r="S465" s="154">
        <f t="shared" si="54"/>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 hidden="1" customHeight="1">
      <c r="A466" s="947"/>
      <c r="B466" s="947"/>
      <c r="C466" s="948"/>
      <c r="D466" s="948"/>
      <c r="E466" s="948"/>
      <c r="F466" s="947"/>
      <c r="G466" s="947"/>
      <c r="H466" s="150"/>
      <c r="I466" s="151"/>
      <c r="J466" s="151"/>
      <c r="K466" s="151"/>
      <c r="L466" s="153">
        <f t="shared" si="50"/>
        <v>0</v>
      </c>
      <c r="M466" s="154">
        <f t="shared" si="51"/>
        <v>0</v>
      </c>
      <c r="N466" s="155">
        <f>+IF(OR($Q466=Parametres!$G$2,$Q466=Parametres!$G$3),I466,C466)</f>
        <v>0</v>
      </c>
      <c r="O466" s="155">
        <f>+IF(OR($Q466=Parametres!$G$2,$Q466=Parametres!$G$3),J466,D466)</f>
        <v>0</v>
      </c>
      <c r="P466" s="155">
        <f>+IF(OR($Q466=Parametres!$G$2,$Q466=Parametres!$G$3),K466,E466)</f>
        <v>0</v>
      </c>
      <c r="Q466" s="154">
        <f t="shared" si="52"/>
        <v>0</v>
      </c>
      <c r="R466" s="153">
        <f t="shared" si="53"/>
        <v>0</v>
      </c>
      <c r="S466" s="154">
        <f t="shared" si="54"/>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hidden="1" customHeight="1">
      <c r="A467" s="947"/>
      <c r="B467" s="947"/>
      <c r="C467" s="948"/>
      <c r="D467" s="948"/>
      <c r="E467" s="948"/>
      <c r="F467" s="947"/>
      <c r="G467" s="947"/>
      <c r="H467" s="150"/>
      <c r="I467" s="151"/>
      <c r="J467" s="151"/>
      <c r="K467" s="151"/>
      <c r="L467" s="153">
        <f t="shared" si="50"/>
        <v>0</v>
      </c>
      <c r="M467" s="154">
        <f t="shared" si="51"/>
        <v>0</v>
      </c>
      <c r="N467" s="155">
        <f>+IF(OR($Q467=Parametres!$G$2,$Q467=Parametres!$G$3),I467,C467)</f>
        <v>0</v>
      </c>
      <c r="O467" s="155">
        <f>+IF(OR($Q467=Parametres!$G$2,$Q467=Parametres!$G$3),J467,D467)</f>
        <v>0</v>
      </c>
      <c r="P467" s="155">
        <f>+IF(OR($Q467=Parametres!$G$2,$Q467=Parametres!$G$3),K467,E467)</f>
        <v>0</v>
      </c>
      <c r="Q467" s="154">
        <f t="shared" si="52"/>
        <v>0</v>
      </c>
      <c r="R467" s="153">
        <f t="shared" si="53"/>
        <v>0</v>
      </c>
      <c r="S467" s="154">
        <f t="shared" si="54"/>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hidden="1" customHeight="1">
      <c r="A468" s="947"/>
      <c r="B468" s="947"/>
      <c r="C468" s="948"/>
      <c r="D468" s="948"/>
      <c r="E468" s="948"/>
      <c r="F468" s="947"/>
      <c r="G468" s="947"/>
      <c r="H468" s="150"/>
      <c r="I468" s="151"/>
      <c r="J468" s="151"/>
      <c r="K468" s="151"/>
      <c r="L468" s="153">
        <f t="shared" si="50"/>
        <v>0</v>
      </c>
      <c r="M468" s="154">
        <f t="shared" si="51"/>
        <v>0</v>
      </c>
      <c r="N468" s="155">
        <f>+IF(OR($Q468=Parametres!$G$2,$Q468=Parametres!$G$3),I468,C468)</f>
        <v>0</v>
      </c>
      <c r="O468" s="155">
        <f>+IF(OR($Q468=Parametres!$G$2,$Q468=Parametres!$G$3),J468,D468)</f>
        <v>0</v>
      </c>
      <c r="P468" s="155">
        <f>+IF(OR($Q468=Parametres!$G$2,$Q468=Parametres!$G$3),K468,E468)</f>
        <v>0</v>
      </c>
      <c r="Q468" s="154">
        <f t="shared" si="52"/>
        <v>0</v>
      </c>
      <c r="R468" s="153">
        <f t="shared" si="53"/>
        <v>0</v>
      </c>
      <c r="S468" s="154">
        <f t="shared" si="54"/>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hidden="1" customHeight="1">
      <c r="A469" s="947"/>
      <c r="B469" s="947"/>
      <c r="C469" s="948"/>
      <c r="D469" s="948"/>
      <c r="E469" s="948"/>
      <c r="F469" s="947"/>
      <c r="G469" s="947"/>
      <c r="H469" s="150"/>
      <c r="I469" s="157"/>
      <c r="J469" s="157"/>
      <c r="K469" s="157"/>
      <c r="L469" s="153">
        <f t="shared" si="50"/>
        <v>0</v>
      </c>
      <c r="M469" s="154">
        <f t="shared" si="51"/>
        <v>0</v>
      </c>
      <c r="N469" s="155">
        <f>+IF(OR($Q469=Parametres!$G$2,$Q469=Parametres!$G$3),I469,C469)</f>
        <v>0</v>
      </c>
      <c r="O469" s="155">
        <f>+IF(OR($Q469=Parametres!$G$2,$Q469=Parametres!$G$3),J469,D469)</f>
        <v>0</v>
      </c>
      <c r="P469" s="155">
        <f>+IF(OR($Q469=Parametres!$G$2,$Q469=Parametres!$G$3),K469,E469)</f>
        <v>0</v>
      </c>
      <c r="Q469" s="154">
        <f t="shared" si="52"/>
        <v>0</v>
      </c>
      <c r="R469" s="153">
        <f t="shared" si="53"/>
        <v>0</v>
      </c>
      <c r="S469" s="154">
        <f t="shared" si="54"/>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hidden="1" customHeight="1">
      <c r="A470" s="947"/>
      <c r="B470" s="947"/>
      <c r="C470" s="948"/>
      <c r="D470" s="948"/>
      <c r="E470" s="948"/>
      <c r="F470" s="947"/>
      <c r="G470" s="947"/>
      <c r="H470" s="150"/>
      <c r="I470" s="151"/>
      <c r="J470" s="151"/>
      <c r="K470" s="151"/>
      <c r="L470" s="153">
        <f t="shared" si="50"/>
        <v>0</v>
      </c>
      <c r="M470" s="154">
        <f t="shared" si="51"/>
        <v>0</v>
      </c>
      <c r="N470" s="155">
        <f>+IF(OR($Q470=Parametres!$G$2,$Q470=Parametres!$G$3),I470,C470)</f>
        <v>0</v>
      </c>
      <c r="O470" s="155">
        <f>+IF(OR($Q470=Parametres!$G$2,$Q470=Parametres!$G$3),J470,D470)</f>
        <v>0</v>
      </c>
      <c r="P470" s="155">
        <f>+IF(OR($Q470=Parametres!$G$2,$Q470=Parametres!$G$3),K470,E470)</f>
        <v>0</v>
      </c>
      <c r="Q470" s="154">
        <f t="shared" si="52"/>
        <v>0</v>
      </c>
      <c r="R470" s="153">
        <f t="shared" si="53"/>
        <v>0</v>
      </c>
      <c r="S470" s="154">
        <f t="shared" si="54"/>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hidden="1" customHeight="1">
      <c r="A471" s="947"/>
      <c r="B471" s="947"/>
      <c r="C471" s="948"/>
      <c r="D471" s="948"/>
      <c r="E471" s="948"/>
      <c r="F471" s="947"/>
      <c r="G471" s="947"/>
      <c r="H471" s="150"/>
      <c r="I471" s="157"/>
      <c r="J471" s="157"/>
      <c r="K471" s="157"/>
      <c r="L471" s="153">
        <f t="shared" si="50"/>
        <v>0</v>
      </c>
      <c r="M471" s="154">
        <f t="shared" si="51"/>
        <v>0</v>
      </c>
      <c r="N471" s="155">
        <f>+IF(OR($Q471=Parametres!$G$2,$Q471=Parametres!$G$3),I471,C471)</f>
        <v>0</v>
      </c>
      <c r="O471" s="155">
        <f>+IF(OR($Q471=Parametres!$G$2,$Q471=Parametres!$G$3),J471,D471)</f>
        <v>0</v>
      </c>
      <c r="P471" s="155">
        <f>+IF(OR($Q471=Parametres!$G$2,$Q471=Parametres!$G$3),K471,E471)</f>
        <v>0</v>
      </c>
      <c r="Q471" s="154">
        <f t="shared" si="52"/>
        <v>0</v>
      </c>
      <c r="R471" s="153">
        <f t="shared" si="53"/>
        <v>0</v>
      </c>
      <c r="S471" s="154">
        <f t="shared" si="54"/>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hidden="1" customHeight="1">
      <c r="A472" s="947"/>
      <c r="B472" s="947"/>
      <c r="C472" s="948"/>
      <c r="D472" s="948"/>
      <c r="E472" s="948"/>
      <c r="F472" s="947"/>
      <c r="G472" s="947"/>
      <c r="H472" s="949"/>
      <c r="I472" s="949"/>
      <c r="J472" s="949"/>
      <c r="K472" s="949"/>
      <c r="L472" s="153">
        <f t="shared" si="50"/>
        <v>0</v>
      </c>
      <c r="M472" s="154">
        <f t="shared" si="51"/>
        <v>0</v>
      </c>
      <c r="N472" s="155">
        <f>+IF(OR($Q472=Parametres!$G$2,$Q472=Parametres!$G$3),I472,C472)</f>
        <v>0</v>
      </c>
      <c r="O472" s="155">
        <f>+IF(OR($Q472=Parametres!$G$2,$Q472=Parametres!$G$3),J472,D472)</f>
        <v>0</v>
      </c>
      <c r="P472" s="155">
        <f>+IF(OR($Q472=Parametres!$G$2,$Q472=Parametres!$G$3),K472,E472)</f>
        <v>0</v>
      </c>
      <c r="Q472" s="154">
        <f t="shared" si="52"/>
        <v>0</v>
      </c>
      <c r="R472" s="153">
        <f t="shared" si="53"/>
        <v>0</v>
      </c>
      <c r="S472" s="154">
        <f t="shared" si="54"/>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hidden="1" customHeight="1">
      <c r="A473" s="947"/>
      <c r="B473" s="947"/>
      <c r="C473" s="948"/>
      <c r="D473" s="948"/>
      <c r="E473" s="948"/>
      <c r="F473" s="947"/>
      <c r="G473" s="947"/>
      <c r="H473" s="150"/>
      <c r="I473" s="157"/>
      <c r="J473" s="157"/>
      <c r="K473" s="157"/>
      <c r="L473" s="153">
        <f t="shared" si="50"/>
        <v>0</v>
      </c>
      <c r="M473" s="154">
        <f t="shared" si="51"/>
        <v>0</v>
      </c>
      <c r="N473" s="155">
        <f>+IF(OR($Q473=Parametres!$G$2,$Q473=Parametres!$G$3),I473,C473)</f>
        <v>0</v>
      </c>
      <c r="O473" s="575">
        <f>+IF(OR($Q473=Parametres!$G$2,$Q473=Parametres!$G$3),J473,D473)</f>
        <v>0</v>
      </c>
      <c r="P473" s="155">
        <f>+IF(OR($Q473=Parametres!$G$2,$Q473=Parametres!$G$3),K473,E473)</f>
        <v>0</v>
      </c>
      <c r="Q473" s="154">
        <f t="shared" si="52"/>
        <v>0</v>
      </c>
      <c r="R473" s="153">
        <f t="shared" si="53"/>
        <v>0</v>
      </c>
      <c r="S473" s="154">
        <f t="shared" si="54"/>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hidden="1" customHeight="1">
      <c r="A474" s="947"/>
      <c r="B474" s="947"/>
      <c r="C474" s="948"/>
      <c r="D474" s="948"/>
      <c r="E474" s="948"/>
      <c r="F474" s="947"/>
      <c r="G474" s="947"/>
      <c r="H474" s="150"/>
      <c r="I474" s="157"/>
      <c r="J474" s="157"/>
      <c r="K474" s="157"/>
      <c r="L474" s="153">
        <f t="shared" si="50"/>
        <v>0</v>
      </c>
      <c r="M474" s="154">
        <f t="shared" si="51"/>
        <v>0</v>
      </c>
      <c r="N474" s="155">
        <f>+IF(OR($Q474=Parametres!$G$2,$Q474=Parametres!$G$3),I474,C474)</f>
        <v>0</v>
      </c>
      <c r="O474" s="155">
        <f>+IF(OR($Q474=Parametres!$G$2,$Q474=Parametres!$G$3),J474,D474)</f>
        <v>0</v>
      </c>
      <c r="P474" s="155">
        <f>+IF(OR($Q474=Parametres!$G$2,$Q474=Parametres!$G$3),K474,E474)</f>
        <v>0</v>
      </c>
      <c r="Q474" s="154">
        <f t="shared" si="52"/>
        <v>0</v>
      </c>
      <c r="R474" s="153">
        <f t="shared" si="53"/>
        <v>0</v>
      </c>
      <c r="S474" s="154">
        <f t="shared" si="54"/>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hidden="1" customHeight="1">
      <c r="A475" s="947"/>
      <c r="B475" s="947"/>
      <c r="C475" s="948"/>
      <c r="D475" s="948"/>
      <c r="E475" s="948"/>
      <c r="F475" s="947"/>
      <c r="G475" s="947"/>
      <c r="H475" s="150"/>
      <c r="I475" s="157"/>
      <c r="J475" s="157"/>
      <c r="K475" s="157"/>
      <c r="L475" s="153">
        <f t="shared" si="50"/>
        <v>0</v>
      </c>
      <c r="M475" s="154">
        <f t="shared" si="51"/>
        <v>0</v>
      </c>
      <c r="N475" s="155">
        <f>+IF(OR($Q475=Parametres!$G$2,$Q475=Parametres!$G$3),I475,C475)</f>
        <v>0</v>
      </c>
      <c r="O475" s="155">
        <f>+IF(OR($Q475=Parametres!$G$2,$Q475=Parametres!$G$3),J475,D475)</f>
        <v>0</v>
      </c>
      <c r="P475" s="155">
        <f>+IF(OR($Q475=Parametres!$G$2,$Q475=Parametres!$G$3),K475,E475)</f>
        <v>0</v>
      </c>
      <c r="Q475" s="154">
        <f t="shared" si="52"/>
        <v>0</v>
      </c>
      <c r="R475" s="153">
        <f t="shared" si="53"/>
        <v>0</v>
      </c>
      <c r="S475" s="154">
        <f t="shared" si="54"/>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hidden="1" customHeight="1">
      <c r="A476" s="947"/>
      <c r="B476" s="947"/>
      <c r="C476" s="948"/>
      <c r="D476" s="948"/>
      <c r="E476" s="948"/>
      <c r="F476" s="947"/>
      <c r="G476" s="947"/>
      <c r="H476" s="150"/>
      <c r="I476" s="151"/>
      <c r="J476" s="151"/>
      <c r="K476" s="151"/>
      <c r="L476" s="153">
        <f t="shared" si="50"/>
        <v>0</v>
      </c>
      <c r="M476" s="154">
        <f t="shared" si="51"/>
        <v>0</v>
      </c>
      <c r="N476" s="155">
        <f>+IF(OR($Q476=Parametres!$G$2,$Q476=Parametres!$G$3),I476,C476)</f>
        <v>0</v>
      </c>
      <c r="O476" s="155">
        <f>+IF(OR($Q476=Parametres!$G$2,$Q476=Parametres!$G$3),J476,D476)</f>
        <v>0</v>
      </c>
      <c r="P476" s="155">
        <f>+IF(OR($Q476=Parametres!$G$2,$Q476=Parametres!$G$3),K476,E476)</f>
        <v>0</v>
      </c>
      <c r="Q476" s="154">
        <f t="shared" si="52"/>
        <v>0</v>
      </c>
      <c r="R476" s="153">
        <f t="shared" si="53"/>
        <v>0</v>
      </c>
      <c r="S476" s="154">
        <f t="shared" si="54"/>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hidden="1" customHeight="1">
      <c r="A477" s="947"/>
      <c r="B477" s="947"/>
      <c r="C477" s="948"/>
      <c r="D477" s="948"/>
      <c r="E477" s="948"/>
      <c r="F477" s="947"/>
      <c r="G477" s="947"/>
      <c r="H477" s="150"/>
      <c r="I477" s="152"/>
      <c r="J477" s="152"/>
      <c r="K477" s="152"/>
      <c r="L477" s="153">
        <f t="shared" si="50"/>
        <v>0</v>
      </c>
      <c r="M477" s="154">
        <f t="shared" si="51"/>
        <v>0</v>
      </c>
      <c r="N477" s="155">
        <f>+IF(OR($Q477=Parametres!$G$2,$Q477=Parametres!$G$3),I477,C477)</f>
        <v>0</v>
      </c>
      <c r="O477" s="155">
        <f>+IF(OR($Q477=Parametres!$G$2,$Q477=Parametres!$G$3),J477,D477)</f>
        <v>0</v>
      </c>
      <c r="P477" s="155">
        <f>+IF(OR($Q477=Parametres!$G$2,$Q477=Parametres!$G$3),K477,E477)</f>
        <v>0</v>
      </c>
      <c r="Q477" s="154">
        <f t="shared" si="52"/>
        <v>0</v>
      </c>
      <c r="R477" s="153">
        <f t="shared" si="53"/>
        <v>0</v>
      </c>
      <c r="S477" s="154">
        <f t="shared" si="54"/>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hidden="1" customHeight="1">
      <c r="A478" s="947"/>
      <c r="B478" s="947"/>
      <c r="C478" s="948"/>
      <c r="D478" s="948"/>
      <c r="E478" s="948"/>
      <c r="F478" s="947"/>
      <c r="G478" s="947"/>
      <c r="H478" s="150"/>
      <c r="I478" s="157"/>
      <c r="J478" s="157"/>
      <c r="K478" s="157"/>
      <c r="L478" s="153">
        <f t="shared" si="50"/>
        <v>0</v>
      </c>
      <c r="M478" s="154">
        <f t="shared" si="51"/>
        <v>0</v>
      </c>
      <c r="N478" s="155">
        <f>+IF(OR($Q478=Parametres!$G$2,$Q478=Parametres!$G$3),I478,C478)</f>
        <v>0</v>
      </c>
      <c r="O478" s="155">
        <f>+IF(OR($Q478=Parametres!$G$2,$Q478=Parametres!$G$3),J478,D478)</f>
        <v>0</v>
      </c>
      <c r="P478" s="155">
        <f>+IF(OR($Q478=Parametres!$G$2,$Q478=Parametres!$G$3),K478,E478)</f>
        <v>0</v>
      </c>
      <c r="Q478" s="154">
        <f t="shared" si="52"/>
        <v>0</v>
      </c>
      <c r="R478" s="153">
        <f t="shared" si="53"/>
        <v>0</v>
      </c>
      <c r="S478" s="154">
        <f t="shared" si="54"/>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hidden="1" customHeight="1">
      <c r="A479" s="947"/>
      <c r="B479" s="947"/>
      <c r="C479" s="948"/>
      <c r="D479" s="948"/>
      <c r="E479" s="948"/>
      <c r="F479" s="947"/>
      <c r="G479" s="947"/>
      <c r="H479" s="150"/>
      <c r="I479" s="151"/>
      <c r="J479" s="151"/>
      <c r="K479" s="151"/>
      <c r="L479" s="153">
        <f t="shared" si="50"/>
        <v>0</v>
      </c>
      <c r="M479" s="154">
        <f t="shared" si="51"/>
        <v>0</v>
      </c>
      <c r="N479" s="155">
        <f>+IF(OR($Q479=Parametres!$G$2,$Q479=Parametres!$G$3),I479,C479)</f>
        <v>0</v>
      </c>
      <c r="O479" s="155">
        <f>+IF(OR($Q479=Parametres!$G$2,$Q479=Parametres!$G$3),J479,D479)</f>
        <v>0</v>
      </c>
      <c r="P479" s="155">
        <f>+IF(OR($Q479=Parametres!$G$2,$Q479=Parametres!$G$3),K479,E479)</f>
        <v>0</v>
      </c>
      <c r="Q479" s="154">
        <f t="shared" si="52"/>
        <v>0</v>
      </c>
      <c r="R479" s="153">
        <f t="shared" si="53"/>
        <v>0</v>
      </c>
      <c r="S479" s="154">
        <f t="shared" si="54"/>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hidden="1" customHeight="1">
      <c r="A480" s="947"/>
      <c r="B480" s="947"/>
      <c r="C480" s="948"/>
      <c r="D480" s="948"/>
      <c r="E480" s="948"/>
      <c r="F480" s="947"/>
      <c r="G480" s="947"/>
      <c r="H480" s="949"/>
      <c r="I480" s="949"/>
      <c r="J480" s="949"/>
      <c r="K480" s="949"/>
      <c r="L480" s="153">
        <f t="shared" si="50"/>
        <v>0</v>
      </c>
      <c r="M480" s="154">
        <f t="shared" si="51"/>
        <v>0</v>
      </c>
      <c r="N480" s="155">
        <f>+IF(OR($Q480=Parametres!$G$2,$Q480=Parametres!$G$3),I480,C480)</f>
        <v>0</v>
      </c>
      <c r="O480" s="155">
        <f>+IF(OR($Q480=Parametres!$G$2,$Q480=Parametres!$G$3),J480,D480)</f>
        <v>0</v>
      </c>
      <c r="P480" s="155">
        <f>+IF(OR($Q480=Parametres!$G$2,$Q480=Parametres!$G$3),K480,E480)</f>
        <v>0</v>
      </c>
      <c r="Q480" s="154">
        <f t="shared" si="52"/>
        <v>0</v>
      </c>
      <c r="R480" s="153">
        <f t="shared" si="53"/>
        <v>0</v>
      </c>
      <c r="S480" s="154">
        <f t="shared" si="54"/>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hidden="1" customHeight="1">
      <c r="A481" s="947"/>
      <c r="B481" s="947"/>
      <c r="C481" s="948"/>
      <c r="D481" s="948"/>
      <c r="E481" s="948"/>
      <c r="F481" s="947"/>
      <c r="G481" s="947"/>
      <c r="H481" s="150"/>
      <c r="I481" s="157"/>
      <c r="J481" s="157"/>
      <c r="K481" s="157"/>
      <c r="L481" s="153">
        <f t="shared" si="50"/>
        <v>0</v>
      </c>
      <c r="M481" s="154">
        <f t="shared" si="51"/>
        <v>0</v>
      </c>
      <c r="N481" s="155">
        <f>+IF(OR($Q481=Parametres!$G$2,$Q481=Parametres!$G$3),I481,C481)</f>
        <v>0</v>
      </c>
      <c r="O481" s="155">
        <f>+IF(OR($Q481=Parametres!$G$2,$Q481=Parametres!$G$3),J481,D481)</f>
        <v>0</v>
      </c>
      <c r="P481" s="155">
        <f>+IF(OR($Q481=Parametres!$G$2,$Q481=Parametres!$G$3),K481,E481)</f>
        <v>0</v>
      </c>
      <c r="Q481" s="154">
        <f t="shared" si="52"/>
        <v>0</v>
      </c>
      <c r="R481" s="153">
        <f t="shared" si="53"/>
        <v>0</v>
      </c>
      <c r="S481" s="154">
        <f t="shared" si="54"/>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hidden="1" customHeight="1">
      <c r="A482" s="947"/>
      <c r="B482" s="947"/>
      <c r="C482" s="948"/>
      <c r="D482" s="948"/>
      <c r="E482" s="948"/>
      <c r="F482" s="947"/>
      <c r="G482" s="947"/>
      <c r="H482" s="150"/>
      <c r="I482" s="151"/>
      <c r="J482" s="151"/>
      <c r="K482" s="151"/>
      <c r="L482" s="153">
        <f t="shared" si="50"/>
        <v>0</v>
      </c>
      <c r="M482" s="154">
        <f t="shared" si="51"/>
        <v>0</v>
      </c>
      <c r="N482" s="155">
        <f>+IF(OR($Q482=Parametres!$G$2,$Q482=Parametres!$G$3),I482,C482)</f>
        <v>0</v>
      </c>
      <c r="O482" s="155">
        <f>+IF(OR($Q482=Parametres!$G$2,$Q482=Parametres!$G$3),J482,D482)</f>
        <v>0</v>
      </c>
      <c r="P482" s="155">
        <f>+IF(OR($Q482=Parametres!$G$2,$Q482=Parametres!$G$3),K482,E482)</f>
        <v>0</v>
      </c>
      <c r="Q482" s="154">
        <f t="shared" si="52"/>
        <v>0</v>
      </c>
      <c r="R482" s="153">
        <f t="shared" si="53"/>
        <v>0</v>
      </c>
      <c r="S482" s="154">
        <f t="shared" si="5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hidden="1" customHeight="1">
      <c r="A483" s="947"/>
      <c r="B483" s="947"/>
      <c r="C483" s="948"/>
      <c r="D483" s="948"/>
      <c r="E483" s="948"/>
      <c r="F483" s="947"/>
      <c r="G483" s="947"/>
      <c r="H483" s="949"/>
      <c r="I483" s="949"/>
      <c r="J483" s="949"/>
      <c r="K483" s="949"/>
      <c r="L483" s="153">
        <f t="shared" si="50"/>
        <v>0</v>
      </c>
      <c r="M483" s="154">
        <f t="shared" si="51"/>
        <v>0</v>
      </c>
      <c r="N483" s="155">
        <f>+IF(OR($Q483=Parametres!$G$2,$Q483=Parametres!$G$3),I483,C483)</f>
        <v>0</v>
      </c>
      <c r="O483" s="155">
        <f>+IF(OR($Q483=Parametres!$G$2,$Q483=Parametres!$G$3),J483,D483)</f>
        <v>0</v>
      </c>
      <c r="P483" s="155">
        <f>+IF(OR($Q483=Parametres!$G$2,$Q483=Parametres!$G$3),K483,E483)</f>
        <v>0</v>
      </c>
      <c r="Q483" s="154">
        <f t="shared" si="52"/>
        <v>0</v>
      </c>
      <c r="R483" s="153">
        <f t="shared" si="53"/>
        <v>0</v>
      </c>
      <c r="S483" s="154">
        <f t="shared" si="5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hidden="1" customHeight="1">
      <c r="A484" s="947"/>
      <c r="B484" s="947"/>
      <c r="C484" s="949"/>
      <c r="D484" s="949"/>
      <c r="E484" s="949"/>
      <c r="F484" s="947"/>
      <c r="G484" s="947"/>
      <c r="H484" s="949"/>
      <c r="I484" s="948"/>
      <c r="J484" s="948"/>
      <c r="K484" s="948"/>
      <c r="L484" s="153">
        <f t="shared" si="50"/>
        <v>0</v>
      </c>
      <c r="M484" s="154">
        <f t="shared" si="51"/>
        <v>0</v>
      </c>
      <c r="N484" s="155">
        <f>+IF(OR($Q484=Parametres!$G$2,$Q484=Parametres!$G$3),I484,C484)</f>
        <v>0</v>
      </c>
      <c r="O484" s="155">
        <f>+IF(OR($Q484=Parametres!$G$2,$Q484=Parametres!$G$3),J484,D484)</f>
        <v>0</v>
      </c>
      <c r="P484" s="155">
        <f>+IF(OR($Q484=Parametres!$G$2,$Q484=Parametres!$G$3),K484,E484)</f>
        <v>0</v>
      </c>
      <c r="Q484" s="154">
        <f t="shared" si="52"/>
        <v>0</v>
      </c>
      <c r="R484" s="153">
        <f t="shared" si="53"/>
        <v>0</v>
      </c>
      <c r="S484" s="154">
        <f t="shared" si="5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hidden="1" customHeight="1">
      <c r="A485" s="947"/>
      <c r="B485" s="947"/>
      <c r="C485" s="948"/>
      <c r="D485" s="948"/>
      <c r="E485" s="948"/>
      <c r="F485" s="947"/>
      <c r="G485" s="947"/>
      <c r="H485" s="150"/>
      <c r="I485" s="151"/>
      <c r="J485" s="151"/>
      <c r="K485" s="151"/>
      <c r="L485" s="153">
        <f t="shared" si="50"/>
        <v>0</v>
      </c>
      <c r="M485" s="154">
        <f t="shared" si="51"/>
        <v>0</v>
      </c>
      <c r="N485" s="155">
        <f>+IF(OR($Q485=Parametres!$G$2,$Q485=Parametres!$G$3),I485,C485)</f>
        <v>0</v>
      </c>
      <c r="O485" s="155">
        <f>+IF(OR($Q485=Parametres!$G$2,$Q485=Parametres!$G$3),J485,D485)</f>
        <v>0</v>
      </c>
      <c r="P485" s="155">
        <f>+IF(OR($Q485=Parametres!$G$2,$Q485=Parametres!$G$3),K485,E485)</f>
        <v>0</v>
      </c>
      <c r="Q485" s="154">
        <f t="shared" si="52"/>
        <v>0</v>
      </c>
      <c r="R485" s="153">
        <f t="shared" si="53"/>
        <v>0</v>
      </c>
      <c r="S485" s="154">
        <f t="shared" si="5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hidden="1" customHeight="1">
      <c r="A486" s="947"/>
      <c r="B486" s="947"/>
      <c r="C486" s="948"/>
      <c r="D486" s="948"/>
      <c r="E486" s="948"/>
      <c r="F486" s="947"/>
      <c r="G486" s="947"/>
      <c r="H486" s="150"/>
      <c r="I486" s="152"/>
      <c r="J486" s="152"/>
      <c r="K486" s="152"/>
      <c r="L486" s="153">
        <f t="shared" si="50"/>
        <v>0</v>
      </c>
      <c r="M486" s="154">
        <f t="shared" si="51"/>
        <v>0</v>
      </c>
      <c r="N486" s="155">
        <f>+IF(OR($Q486=Parametres!$G$2,$Q486=Parametres!$G$3),I486,C486)</f>
        <v>0</v>
      </c>
      <c r="O486" s="155">
        <f>+IF(OR($Q486=Parametres!$G$2,$Q486=Parametres!$G$3),J486,D486)</f>
        <v>0</v>
      </c>
      <c r="P486" s="155">
        <f>+IF(OR($Q486=Parametres!$G$2,$Q486=Parametres!$G$3),K486,E486)</f>
        <v>0</v>
      </c>
      <c r="Q486" s="154">
        <f t="shared" si="52"/>
        <v>0</v>
      </c>
      <c r="R486" s="153">
        <f t="shared" si="53"/>
        <v>0</v>
      </c>
      <c r="S486" s="154">
        <f t="shared" si="5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hidden="1" customHeight="1">
      <c r="A487" s="947"/>
      <c r="B487" s="947"/>
      <c r="C487" s="948"/>
      <c r="D487" s="948"/>
      <c r="E487" s="948"/>
      <c r="F487" s="947"/>
      <c r="G487" s="947"/>
      <c r="H487" s="150"/>
      <c r="I487" s="151"/>
      <c r="J487" s="151"/>
      <c r="K487" s="151"/>
      <c r="L487" s="153">
        <f t="shared" si="50"/>
        <v>0</v>
      </c>
      <c r="M487" s="154">
        <f t="shared" si="51"/>
        <v>0</v>
      </c>
      <c r="N487" s="155">
        <f>+IF(OR($Q487=Parametres!$G$2,$Q487=Parametres!$G$3),I487,C487)</f>
        <v>0</v>
      </c>
      <c r="O487" s="155">
        <f>+IF(OR($Q487=Parametres!$G$2,$Q487=Parametres!$G$3),J487,D487)</f>
        <v>0</v>
      </c>
      <c r="P487" s="155">
        <f>+IF(OR($Q487=Parametres!$G$2,$Q487=Parametres!$G$3),K487,E487)</f>
        <v>0</v>
      </c>
      <c r="Q487" s="154">
        <f t="shared" si="52"/>
        <v>0</v>
      </c>
      <c r="R487" s="153">
        <f t="shared" si="53"/>
        <v>0</v>
      </c>
      <c r="S487" s="154">
        <f t="shared" si="5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hidden="1" customHeight="1">
      <c r="A488" s="947"/>
      <c r="B488" s="947"/>
      <c r="C488" s="948"/>
      <c r="D488" s="948"/>
      <c r="E488" s="948"/>
      <c r="F488" s="947"/>
      <c r="G488" s="947"/>
      <c r="H488" s="150"/>
      <c r="I488" s="151"/>
      <c r="J488" s="151"/>
      <c r="K488" s="151"/>
      <c r="L488" s="153">
        <f t="shared" si="50"/>
        <v>0</v>
      </c>
      <c r="M488" s="154">
        <f t="shared" si="51"/>
        <v>0</v>
      </c>
      <c r="N488" s="155">
        <f>+IF(OR($Q488=Parametres!$G$2,$Q488=Parametres!$G$3),I488,C488)</f>
        <v>0</v>
      </c>
      <c r="O488" s="155">
        <f>+IF(OR($Q488=Parametres!$G$2,$Q488=Parametres!$G$3),J488,D488)</f>
        <v>0</v>
      </c>
      <c r="P488" s="155">
        <f>+IF(OR($Q488=Parametres!$G$2,$Q488=Parametres!$G$3),K488,E488)</f>
        <v>0</v>
      </c>
      <c r="Q488" s="154">
        <f t="shared" si="52"/>
        <v>0</v>
      </c>
      <c r="R488" s="153">
        <f t="shared" si="53"/>
        <v>0</v>
      </c>
      <c r="S488" s="154">
        <f t="shared" si="5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hidden="1" customHeight="1">
      <c r="A489" s="947"/>
      <c r="B489" s="947"/>
      <c r="C489" s="948"/>
      <c r="D489" s="948"/>
      <c r="E489" s="948"/>
      <c r="F489" s="947"/>
      <c r="G489" s="947"/>
      <c r="H489" s="150"/>
      <c r="I489" s="151"/>
      <c r="J489" s="151"/>
      <c r="K489" s="151"/>
      <c r="L489" s="153">
        <f t="shared" si="50"/>
        <v>0</v>
      </c>
      <c r="M489" s="154">
        <f t="shared" si="51"/>
        <v>0</v>
      </c>
      <c r="N489" s="155">
        <f>+IF(OR($Q489=Parametres!$G$2,$Q489=Parametres!$G$3),I489,C489)</f>
        <v>0</v>
      </c>
      <c r="O489" s="155">
        <f>+IF(OR($Q489=Parametres!$G$2,$Q489=Parametres!$G$3),J489,D489)</f>
        <v>0</v>
      </c>
      <c r="P489" s="155">
        <f>+IF(OR($Q489=Parametres!$G$2,$Q489=Parametres!$G$3),K489,E489)</f>
        <v>0</v>
      </c>
      <c r="Q489" s="154">
        <f t="shared" si="52"/>
        <v>0</v>
      </c>
      <c r="R489" s="153">
        <f t="shared" si="53"/>
        <v>0</v>
      </c>
      <c r="S489" s="154">
        <f t="shared" si="5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hidden="1" customHeight="1">
      <c r="A490" s="947"/>
      <c r="B490" s="947"/>
      <c r="C490" s="948"/>
      <c r="D490" s="948"/>
      <c r="E490" s="948"/>
      <c r="F490" s="947"/>
      <c r="G490" s="947"/>
      <c r="H490" s="150"/>
      <c r="I490" s="151"/>
      <c r="J490" s="151"/>
      <c r="K490" s="151"/>
      <c r="L490" s="153">
        <f t="shared" si="50"/>
        <v>0</v>
      </c>
      <c r="M490" s="154">
        <f t="shared" si="51"/>
        <v>0</v>
      </c>
      <c r="N490" s="155">
        <f>+IF(OR($Q490=Parametres!$G$2,$Q490=Parametres!$G$3),I490,C490)</f>
        <v>0</v>
      </c>
      <c r="O490" s="155">
        <f>+IF(OR($Q490=Parametres!$G$2,$Q490=Parametres!$G$3),J490,D490)</f>
        <v>0</v>
      </c>
      <c r="P490" s="155">
        <f>+IF(OR($Q490=Parametres!$G$2,$Q490=Parametres!$G$3),K490,E490)</f>
        <v>0</v>
      </c>
      <c r="Q490" s="154">
        <f t="shared" si="52"/>
        <v>0</v>
      </c>
      <c r="R490" s="153">
        <f t="shared" si="53"/>
        <v>0</v>
      </c>
      <c r="S490" s="154">
        <f t="shared" si="5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hidden="1" customHeight="1">
      <c r="A491" s="947"/>
      <c r="B491" s="947"/>
      <c r="C491" s="949"/>
      <c r="D491" s="949"/>
      <c r="E491" s="949"/>
      <c r="F491" s="947"/>
      <c r="G491" s="947"/>
      <c r="H491" s="949"/>
      <c r="I491" s="948"/>
      <c r="J491" s="948"/>
      <c r="K491" s="948"/>
      <c r="L491" s="153">
        <f t="shared" si="50"/>
        <v>0</v>
      </c>
      <c r="M491" s="154">
        <f t="shared" si="51"/>
        <v>0</v>
      </c>
      <c r="N491" s="155">
        <f>+IF(OR($Q491=Parametres!$G$2,$Q491=Parametres!$G$3),I491,C491)</f>
        <v>0</v>
      </c>
      <c r="O491" s="155">
        <f>+IF(OR($Q491=Parametres!$G$2,$Q491=Parametres!$G$3),J491,D491)</f>
        <v>0</v>
      </c>
      <c r="P491" s="155">
        <f>+IF(OR($Q491=Parametres!$G$2,$Q491=Parametres!$G$3),K491,E491)</f>
        <v>0</v>
      </c>
      <c r="Q491" s="154">
        <f t="shared" si="52"/>
        <v>0</v>
      </c>
      <c r="R491" s="153">
        <f t="shared" si="53"/>
        <v>0</v>
      </c>
      <c r="S491" s="154">
        <f t="shared" si="5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hidden="1" customHeight="1">
      <c r="A492" s="947"/>
      <c r="B492" s="947"/>
      <c r="C492" s="949"/>
      <c r="D492" s="949"/>
      <c r="E492" s="949"/>
      <c r="F492" s="947"/>
      <c r="G492" s="947"/>
      <c r="H492" s="949"/>
      <c r="I492" s="948"/>
      <c r="J492" s="948"/>
      <c r="K492" s="948"/>
      <c r="L492" s="153">
        <f t="shared" si="50"/>
        <v>0</v>
      </c>
      <c r="M492" s="154">
        <f t="shared" si="51"/>
        <v>0</v>
      </c>
      <c r="N492" s="155">
        <f>+IF(OR($Q492=Parametres!$G$2,$Q492=Parametres!$G$3),I492,C492)</f>
        <v>0</v>
      </c>
      <c r="O492" s="155">
        <f>+IF(OR($Q492=Parametres!$G$2,$Q492=Parametres!$G$3),J492,D492)</f>
        <v>0</v>
      </c>
      <c r="P492" s="155">
        <f>+IF(OR($Q492=Parametres!$G$2,$Q492=Parametres!$G$3),K492,E492)</f>
        <v>0</v>
      </c>
      <c r="Q492" s="154">
        <f t="shared" si="52"/>
        <v>0</v>
      </c>
      <c r="R492" s="153">
        <f t="shared" si="53"/>
        <v>0</v>
      </c>
      <c r="S492" s="154">
        <f t="shared" si="5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hidden="1" customHeight="1">
      <c r="A493" s="947"/>
      <c r="B493" s="947"/>
      <c r="C493" s="949"/>
      <c r="D493" s="949"/>
      <c r="E493" s="949"/>
      <c r="F493" s="947"/>
      <c r="G493" s="947"/>
      <c r="H493" s="949"/>
      <c r="I493" s="948"/>
      <c r="J493" s="948"/>
      <c r="K493" s="948"/>
      <c r="L493" s="153">
        <f t="shared" si="50"/>
        <v>0</v>
      </c>
      <c r="M493" s="154">
        <f t="shared" si="51"/>
        <v>0</v>
      </c>
      <c r="N493" s="155">
        <f>+IF(OR($Q493=Parametres!$G$2,$Q493=Parametres!$G$3),I493,C493)</f>
        <v>0</v>
      </c>
      <c r="O493" s="575">
        <f>+IF(OR($Q493=Parametres!$G$2,$Q493=Parametres!$G$3),J493,D493)</f>
        <v>0</v>
      </c>
      <c r="P493" s="155">
        <f>+IF(OR($Q493=Parametres!$G$2,$Q493=Parametres!$G$3),K493,E493)</f>
        <v>0</v>
      </c>
      <c r="Q493" s="154">
        <f t="shared" si="52"/>
        <v>0</v>
      </c>
      <c r="R493" s="153">
        <f t="shared" si="53"/>
        <v>0</v>
      </c>
      <c r="S493" s="154">
        <f t="shared" si="5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hidden="1" customHeight="1">
      <c r="A494" s="947"/>
      <c r="B494" s="947"/>
      <c r="C494" s="948"/>
      <c r="D494" s="948"/>
      <c r="E494" s="948"/>
      <c r="F494" s="947"/>
      <c r="G494" s="947"/>
      <c r="H494" s="150"/>
      <c r="I494" s="157"/>
      <c r="J494" s="157"/>
      <c r="K494" s="157"/>
      <c r="L494" s="153">
        <f t="shared" si="50"/>
        <v>0</v>
      </c>
      <c r="M494" s="154">
        <f t="shared" si="51"/>
        <v>0</v>
      </c>
      <c r="N494" s="155">
        <f>+IF(OR($Q494=Parametres!$G$2,$Q494=Parametres!$G$3),I494,C494)</f>
        <v>0</v>
      </c>
      <c r="O494" s="576">
        <f>+IF(OR($Q494=Parametres!$G$2,$Q494=Parametres!$G$3),J494,D494)</f>
        <v>0</v>
      </c>
      <c r="P494" s="155">
        <f>+IF(OR($Q494=Parametres!$G$2,$Q494=Parametres!$G$3),K494,E494)</f>
        <v>0</v>
      </c>
      <c r="Q494" s="154">
        <f t="shared" si="52"/>
        <v>0</v>
      </c>
      <c r="R494" s="153">
        <f t="shared" si="53"/>
        <v>0</v>
      </c>
      <c r="S494" s="154">
        <f t="shared" si="5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hidden="1" customHeight="1">
      <c r="A495" s="947"/>
      <c r="B495" s="947"/>
      <c r="C495" s="948"/>
      <c r="D495" s="948"/>
      <c r="E495" s="948"/>
      <c r="F495" s="947"/>
      <c r="G495" s="947"/>
      <c r="H495" s="150"/>
      <c r="I495" s="157"/>
      <c r="J495" s="157"/>
      <c r="K495" s="157"/>
      <c r="L495" s="153">
        <f t="shared" si="50"/>
        <v>0</v>
      </c>
      <c r="M495" s="154">
        <f t="shared" si="51"/>
        <v>0</v>
      </c>
      <c r="N495" s="155">
        <f>+IF(OR($Q495=Parametres!$G$2,$Q495=Parametres!$G$3),I495,C495)</f>
        <v>0</v>
      </c>
      <c r="O495" s="155">
        <f>+IF(OR($Q495=Parametres!$G$2,$Q495=Parametres!$G$3),J495,D495)</f>
        <v>0</v>
      </c>
      <c r="P495" s="155">
        <f>+IF(OR($Q495=Parametres!$G$2,$Q495=Parametres!$G$3),K495,E495)</f>
        <v>0</v>
      </c>
      <c r="Q495" s="154">
        <f t="shared" si="52"/>
        <v>0</v>
      </c>
      <c r="R495" s="153">
        <f t="shared" si="53"/>
        <v>0</v>
      </c>
      <c r="S495" s="154">
        <f t="shared" si="5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hidden="1" customHeight="1">
      <c r="A496" s="947"/>
      <c r="B496" s="947"/>
      <c r="C496" s="948"/>
      <c r="D496" s="948"/>
      <c r="E496" s="948"/>
      <c r="F496" s="947"/>
      <c r="G496" s="947"/>
      <c r="H496" s="150"/>
      <c r="I496" s="157"/>
      <c r="J496" s="157"/>
      <c r="K496" s="157"/>
      <c r="L496" s="153">
        <f t="shared" si="50"/>
        <v>0</v>
      </c>
      <c r="M496" s="154">
        <f t="shared" si="51"/>
        <v>0</v>
      </c>
      <c r="N496" s="155">
        <f>+IF(OR($Q496=Parametres!$G$2,$Q496=Parametres!$G$3),I496,C496)</f>
        <v>0</v>
      </c>
      <c r="O496" s="575">
        <f>+IF(OR($Q496=Parametres!$G$2,$Q496=Parametres!$G$3),J496,D496)</f>
        <v>0</v>
      </c>
      <c r="P496" s="155">
        <f>+IF(OR($Q496=Parametres!$G$2,$Q496=Parametres!$G$3),K496,E496)</f>
        <v>0</v>
      </c>
      <c r="Q496" s="154">
        <f t="shared" si="52"/>
        <v>0</v>
      </c>
      <c r="R496" s="153">
        <f t="shared" si="53"/>
        <v>0</v>
      </c>
      <c r="S496" s="154">
        <f t="shared" si="5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hidden="1" customHeight="1">
      <c r="A497" s="947"/>
      <c r="B497" s="947"/>
      <c r="C497" s="948"/>
      <c r="D497" s="948"/>
      <c r="E497" s="948"/>
      <c r="F497" s="947"/>
      <c r="G497" s="947"/>
      <c r="H497" s="150"/>
      <c r="I497" s="157"/>
      <c r="J497" s="157"/>
      <c r="K497" s="157"/>
      <c r="L497" s="153">
        <f t="shared" si="50"/>
        <v>0</v>
      </c>
      <c r="M497" s="154">
        <f t="shared" si="51"/>
        <v>0</v>
      </c>
      <c r="N497" s="155">
        <f>+IF(OR($Q497=Parametres!$G$2,$Q497=Parametres!$G$3),I497,C497)</f>
        <v>0</v>
      </c>
      <c r="O497" s="155">
        <f>+IF(OR($Q497=Parametres!$G$2,$Q497=Parametres!$G$3),J497,D497)</f>
        <v>0</v>
      </c>
      <c r="P497" s="155">
        <f>+IF(OR($Q497=Parametres!$G$2,$Q497=Parametres!$G$3),K497,E497)</f>
        <v>0</v>
      </c>
      <c r="Q497" s="154">
        <f t="shared" si="52"/>
        <v>0</v>
      </c>
      <c r="R497" s="153">
        <f t="shared" si="53"/>
        <v>0</v>
      </c>
      <c r="S497" s="154">
        <f t="shared" si="5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hidden="1" customHeight="1">
      <c r="A498" s="947"/>
      <c r="B498" s="947"/>
      <c r="C498" s="948"/>
      <c r="D498" s="948"/>
      <c r="E498" s="948"/>
      <c r="F498" s="947"/>
      <c r="G498" s="947"/>
      <c r="H498" s="150"/>
      <c r="I498" s="157"/>
      <c r="J498" s="157"/>
      <c r="K498" s="157"/>
      <c r="L498" s="153">
        <f t="shared" si="50"/>
        <v>0</v>
      </c>
      <c r="M498" s="154">
        <f t="shared" si="51"/>
        <v>0</v>
      </c>
      <c r="N498" s="155">
        <f>+IF(OR($Q498=Parametres!$G$2,$Q498=Parametres!$G$3),I498,C498)</f>
        <v>0</v>
      </c>
      <c r="O498" s="575">
        <f>+IF(OR($Q498=Parametres!$G$2,$Q498=Parametres!$G$3),J498,D498)</f>
        <v>0</v>
      </c>
      <c r="P498" s="155">
        <f>+IF(OR($Q498=Parametres!$G$2,$Q498=Parametres!$G$3),K498,E498)</f>
        <v>0</v>
      </c>
      <c r="Q498" s="154">
        <f t="shared" si="52"/>
        <v>0</v>
      </c>
      <c r="R498" s="153">
        <f t="shared" si="53"/>
        <v>0</v>
      </c>
      <c r="S498" s="154">
        <f t="shared" si="54"/>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hidden="1" customHeight="1">
      <c r="A499" s="947"/>
      <c r="B499" s="947"/>
      <c r="C499" s="948"/>
      <c r="D499" s="948"/>
      <c r="E499" s="948"/>
      <c r="F499" s="947"/>
      <c r="G499" s="947"/>
      <c r="H499" s="150"/>
      <c r="I499" s="157"/>
      <c r="J499" s="157"/>
      <c r="K499" s="157"/>
      <c r="L499" s="153">
        <f t="shared" si="50"/>
        <v>0</v>
      </c>
      <c r="M499" s="154">
        <f t="shared" si="51"/>
        <v>0</v>
      </c>
      <c r="N499" s="155">
        <f>+IF(OR($Q499=Parametres!$G$2,$Q499=Parametres!$G$3),I499,C499)</f>
        <v>0</v>
      </c>
      <c r="O499" s="155">
        <f>+IF(OR($Q499=Parametres!$G$2,$Q499=Parametres!$G$3),J499,D499)</f>
        <v>0</v>
      </c>
      <c r="P499" s="155">
        <f>+IF(OR($Q499=Parametres!$G$2,$Q499=Parametres!$G$3),K499,E499)</f>
        <v>0</v>
      </c>
      <c r="Q499" s="154">
        <f t="shared" si="52"/>
        <v>0</v>
      </c>
      <c r="R499" s="153">
        <f t="shared" si="53"/>
        <v>0</v>
      </c>
      <c r="S499" s="154">
        <f t="shared" si="54"/>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hidden="1" customHeight="1">
      <c r="A500" s="947"/>
      <c r="B500" s="947"/>
      <c r="C500" s="948"/>
      <c r="D500" s="948"/>
      <c r="E500" s="948"/>
      <c r="F500" s="947"/>
      <c r="G500" s="947"/>
      <c r="H500" s="150"/>
      <c r="I500" s="157"/>
      <c r="J500" s="157"/>
      <c r="K500" s="157"/>
      <c r="L500" s="153">
        <f t="shared" si="50"/>
        <v>0</v>
      </c>
      <c r="M500" s="154">
        <f t="shared" si="51"/>
        <v>0</v>
      </c>
      <c r="N500" s="155">
        <f>+IF(OR($Q500=Parametres!$G$2,$Q500=Parametres!$G$3),I500,C500)</f>
        <v>0</v>
      </c>
      <c r="O500" s="155">
        <f>+IF(OR($Q500=Parametres!$G$2,$Q500=Parametres!$G$3),J500,D500)</f>
        <v>0</v>
      </c>
      <c r="P500" s="155">
        <f>+IF(OR($Q500=Parametres!$G$2,$Q500=Parametres!$G$3),K500,E500)</f>
        <v>0</v>
      </c>
      <c r="Q500" s="154">
        <f t="shared" si="52"/>
        <v>0</v>
      </c>
      <c r="R500" s="153">
        <f t="shared" si="53"/>
        <v>0</v>
      </c>
      <c r="S500" s="154">
        <f t="shared" si="54"/>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hidden="1" customHeight="1">
      <c r="A501" s="947"/>
      <c r="B501" s="947"/>
      <c r="C501" s="948"/>
      <c r="D501" s="948"/>
      <c r="E501" s="948"/>
      <c r="F501" s="947"/>
      <c r="G501" s="947"/>
      <c r="H501" s="150"/>
      <c r="I501" s="157"/>
      <c r="J501" s="157"/>
      <c r="K501" s="157"/>
      <c r="L501" s="153">
        <f t="shared" si="50"/>
        <v>0</v>
      </c>
      <c r="M501" s="154">
        <f t="shared" si="51"/>
        <v>0</v>
      </c>
      <c r="N501" s="155">
        <f>+IF(OR($Q501=Parametres!$G$2,$Q501=Parametres!$G$3),I501,C501)</f>
        <v>0</v>
      </c>
      <c r="O501" s="576">
        <f>+IF(OR($Q501=Parametres!$G$2,$Q501=Parametres!$G$3),J501,D501)</f>
        <v>0</v>
      </c>
      <c r="P501" s="155">
        <f>+IF(OR($Q501=Parametres!$G$2,$Q501=Parametres!$G$3),K501,E501)</f>
        <v>0</v>
      </c>
      <c r="Q501" s="154">
        <f t="shared" si="52"/>
        <v>0</v>
      </c>
      <c r="R501" s="153">
        <f t="shared" si="53"/>
        <v>0</v>
      </c>
      <c r="S501" s="154">
        <f t="shared" si="54"/>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hidden="1" customHeight="1">
      <c r="A502" s="947"/>
      <c r="B502" s="947"/>
      <c r="C502" s="948"/>
      <c r="D502" s="948"/>
      <c r="E502" s="948"/>
      <c r="F502" s="947"/>
      <c r="G502" s="947"/>
      <c r="H502" s="150"/>
      <c r="I502" s="157"/>
      <c r="J502" s="157"/>
      <c r="K502" s="157"/>
      <c r="L502" s="153">
        <f t="shared" si="50"/>
        <v>0</v>
      </c>
      <c r="M502" s="154">
        <f t="shared" si="51"/>
        <v>0</v>
      </c>
      <c r="N502" s="155">
        <f>+IF(OR($Q502=Parametres!$G$2,$Q502=Parametres!$G$3),I502,C502)</f>
        <v>0</v>
      </c>
      <c r="O502" s="155">
        <f>+IF(OR($Q502=Parametres!$G$2,$Q502=Parametres!$G$3),J502,D502)</f>
        <v>0</v>
      </c>
      <c r="P502" s="155">
        <f>+IF(OR($Q502=Parametres!$G$2,$Q502=Parametres!$G$3),K502,E502)</f>
        <v>0</v>
      </c>
      <c r="Q502" s="154">
        <f t="shared" si="52"/>
        <v>0</v>
      </c>
      <c r="R502" s="153">
        <f t="shared" si="53"/>
        <v>0</v>
      </c>
      <c r="S502" s="154">
        <f t="shared" si="54"/>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hidden="1" customHeight="1">
      <c r="A503" s="947"/>
      <c r="B503" s="947"/>
      <c r="C503" s="948"/>
      <c r="D503" s="948"/>
      <c r="E503" s="948"/>
      <c r="F503" s="947"/>
      <c r="G503" s="947"/>
      <c r="H503" s="150"/>
      <c r="I503" s="157"/>
      <c r="J503" s="157"/>
      <c r="K503" s="157"/>
      <c r="L503" s="153">
        <f t="shared" si="50"/>
        <v>0</v>
      </c>
      <c r="M503" s="154">
        <f t="shared" si="51"/>
        <v>0</v>
      </c>
      <c r="N503" s="155">
        <f>+IF(OR($Q503=Parametres!$G$2,$Q503=Parametres!$G$3),I503,C503)</f>
        <v>0</v>
      </c>
      <c r="O503" s="576">
        <f>+IF(OR($Q503=Parametres!$G$2,$Q503=Parametres!$G$3),J503,D503)</f>
        <v>0</v>
      </c>
      <c r="P503" s="155">
        <f>+IF(OR($Q503=Parametres!$G$2,$Q503=Parametres!$G$3),K503,E503)</f>
        <v>0</v>
      </c>
      <c r="Q503" s="154">
        <f t="shared" si="52"/>
        <v>0</v>
      </c>
      <c r="R503" s="153">
        <f t="shared" si="53"/>
        <v>0</v>
      </c>
      <c r="S503" s="154">
        <f t="shared" si="54"/>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hidden="1" customHeight="1">
      <c r="A504" s="947"/>
      <c r="B504" s="947"/>
      <c r="C504" s="948"/>
      <c r="D504" s="948"/>
      <c r="E504" s="948"/>
      <c r="F504" s="947"/>
      <c r="G504" s="947"/>
      <c r="H504" s="150"/>
      <c r="I504" s="157"/>
      <c r="J504" s="157"/>
      <c r="K504" s="157"/>
      <c r="L504" s="153">
        <f t="shared" si="50"/>
        <v>0</v>
      </c>
      <c r="M504" s="154">
        <f t="shared" si="51"/>
        <v>0</v>
      </c>
      <c r="N504" s="155">
        <f>+IF(OR($Q504=Parametres!$G$2,$Q504=Parametres!$G$3),I504,C504)</f>
        <v>0</v>
      </c>
      <c r="O504" s="155">
        <f>+IF(OR($Q504=Parametres!$G$2,$Q504=Parametres!$G$3),J504,D504)</f>
        <v>0</v>
      </c>
      <c r="P504" s="155">
        <f>+IF(OR($Q504=Parametres!$G$2,$Q504=Parametres!$G$3),K504,E504)</f>
        <v>0</v>
      </c>
      <c r="Q504" s="154">
        <f t="shared" si="52"/>
        <v>0</v>
      </c>
      <c r="R504" s="153">
        <f t="shared" si="53"/>
        <v>0</v>
      </c>
      <c r="S504" s="154">
        <f t="shared" si="54"/>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hidden="1" customHeight="1">
      <c r="A505" s="947"/>
      <c r="B505" s="947"/>
      <c r="C505" s="948"/>
      <c r="D505" s="948"/>
      <c r="E505" s="948"/>
      <c r="F505" s="947"/>
      <c r="G505" s="947"/>
      <c r="H505" s="150"/>
      <c r="I505" s="157"/>
      <c r="J505" s="157"/>
      <c r="K505" s="157"/>
      <c r="L505" s="153">
        <f t="shared" si="50"/>
        <v>0</v>
      </c>
      <c r="M505" s="154">
        <f t="shared" si="51"/>
        <v>0</v>
      </c>
      <c r="N505" s="155">
        <f>+IF(OR($Q505=Parametres!$G$2,$Q505=Parametres!$G$3),I505,C505)</f>
        <v>0</v>
      </c>
      <c r="O505" s="577">
        <f>+IF(OR($Q505=Parametres!$G$2,$Q505=Parametres!$G$3),J505,D505)</f>
        <v>0</v>
      </c>
      <c r="P505" s="155">
        <f>+IF(OR($Q505=Parametres!$G$2,$Q505=Parametres!$G$3),K505,E505)</f>
        <v>0</v>
      </c>
      <c r="Q505" s="154">
        <f t="shared" si="52"/>
        <v>0</v>
      </c>
      <c r="R505" s="153">
        <f t="shared" si="53"/>
        <v>0</v>
      </c>
      <c r="S505" s="154">
        <f t="shared" si="54"/>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hidden="1" customHeight="1">
      <c r="A506" s="947"/>
      <c r="B506" s="947"/>
      <c r="C506" s="948"/>
      <c r="D506" s="948"/>
      <c r="E506" s="948"/>
      <c r="F506" s="947"/>
      <c r="G506" s="947"/>
      <c r="H506" s="150"/>
      <c r="I506" s="157"/>
      <c r="J506" s="157"/>
      <c r="K506" s="157"/>
      <c r="L506" s="153">
        <f t="shared" si="50"/>
        <v>0</v>
      </c>
      <c r="M506" s="154">
        <f t="shared" si="51"/>
        <v>0</v>
      </c>
      <c r="N506" s="155">
        <f>+IF(OR($Q506=Parametres!$G$2,$Q506=Parametres!$G$3),I506,C506)</f>
        <v>0</v>
      </c>
      <c r="O506" s="576">
        <f>+IF(OR($Q506=Parametres!$G$2,$Q506=Parametres!$G$3),J506,D506)</f>
        <v>0</v>
      </c>
      <c r="P506" s="155">
        <f>+IF(OR($Q506=Parametres!$G$2,$Q506=Parametres!$G$3),K506,E506)</f>
        <v>0</v>
      </c>
      <c r="Q506" s="154">
        <f t="shared" si="52"/>
        <v>0</v>
      </c>
      <c r="R506" s="153">
        <f t="shared" si="53"/>
        <v>0</v>
      </c>
      <c r="S506" s="154">
        <f t="shared" si="54"/>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hidden="1" customHeight="1">
      <c r="A507" s="947"/>
      <c r="B507" s="947"/>
      <c r="C507" s="948"/>
      <c r="D507" s="948"/>
      <c r="E507" s="948"/>
      <c r="F507" s="947"/>
      <c r="G507" s="947"/>
      <c r="H507" s="150"/>
      <c r="I507" s="152"/>
      <c r="J507" s="152"/>
      <c r="K507" s="152"/>
      <c r="L507" s="153">
        <f t="shared" si="50"/>
        <v>0</v>
      </c>
      <c r="M507" s="154">
        <f t="shared" si="51"/>
        <v>0</v>
      </c>
      <c r="N507" s="155">
        <f>+IF(OR($Q507=Parametres!$G$2,$Q507=Parametres!$G$3),I507,C507)</f>
        <v>0</v>
      </c>
      <c r="O507" s="155">
        <f>+IF(OR($Q507=Parametres!$G$2,$Q507=Parametres!$G$3),J507,D507)</f>
        <v>0</v>
      </c>
      <c r="P507" s="155">
        <f>+IF(OR($Q507=Parametres!$G$2,$Q507=Parametres!$G$3),K507,E507)</f>
        <v>0</v>
      </c>
      <c r="Q507" s="154">
        <f t="shared" si="52"/>
        <v>0</v>
      </c>
      <c r="R507" s="153">
        <f t="shared" si="53"/>
        <v>0</v>
      </c>
      <c r="S507" s="154">
        <f t="shared" si="54"/>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hidden="1" customHeight="1">
      <c r="A508" s="947"/>
      <c r="B508" s="947"/>
      <c r="C508" s="948"/>
      <c r="D508" s="948"/>
      <c r="E508" s="948"/>
      <c r="F508" s="947"/>
      <c r="G508" s="947"/>
      <c r="H508" s="150"/>
      <c r="I508" s="157"/>
      <c r="J508" s="157"/>
      <c r="K508" s="157"/>
      <c r="L508" s="153">
        <f t="shared" si="50"/>
        <v>0</v>
      </c>
      <c r="M508" s="154">
        <f t="shared" si="51"/>
        <v>0</v>
      </c>
      <c r="N508" s="155">
        <f>+IF(OR($Q508=Parametres!$G$2,$Q508=Parametres!$G$3),I508,C508)</f>
        <v>0</v>
      </c>
      <c r="O508" s="575">
        <f>+IF(OR($Q508=Parametres!$G$2,$Q508=Parametres!$G$3),J508,D508)</f>
        <v>0</v>
      </c>
      <c r="P508" s="155">
        <f>+IF(OR($Q508=Parametres!$G$2,$Q508=Parametres!$G$3),K508,E508)</f>
        <v>0</v>
      </c>
      <c r="Q508" s="154">
        <f t="shared" si="52"/>
        <v>0</v>
      </c>
      <c r="R508" s="153">
        <f t="shared" si="53"/>
        <v>0</v>
      </c>
      <c r="S508" s="154">
        <f t="shared" si="54"/>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hidden="1" customHeight="1">
      <c r="A509" s="947"/>
      <c r="B509" s="947"/>
      <c r="C509" s="948"/>
      <c r="D509" s="948"/>
      <c r="E509" s="948"/>
      <c r="F509" s="947"/>
      <c r="G509" s="947"/>
      <c r="H509" s="150"/>
      <c r="I509" s="157"/>
      <c r="J509" s="157"/>
      <c r="K509" s="157"/>
      <c r="L509" s="153">
        <f t="shared" si="50"/>
        <v>0</v>
      </c>
      <c r="M509" s="154">
        <f t="shared" si="51"/>
        <v>0</v>
      </c>
      <c r="N509" s="155">
        <f>+IF(OR($Q509=Parametres!$G$2,$Q509=Parametres!$G$3),I509,C509)</f>
        <v>0</v>
      </c>
      <c r="O509" s="155">
        <f>+IF(OR($Q509=Parametres!$G$2,$Q509=Parametres!$G$3),J509,D509)</f>
        <v>0</v>
      </c>
      <c r="P509" s="155">
        <f>+IF(OR($Q509=Parametres!$G$2,$Q509=Parametres!$G$3),K509,E509)</f>
        <v>0</v>
      </c>
      <c r="Q509" s="154">
        <f t="shared" si="52"/>
        <v>0</v>
      </c>
      <c r="R509" s="153">
        <f t="shared" si="53"/>
        <v>0</v>
      </c>
      <c r="S509" s="154">
        <f t="shared" si="54"/>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hidden="1" customHeight="1">
      <c r="A510" s="947"/>
      <c r="B510" s="947"/>
      <c r="C510" s="948"/>
      <c r="D510" s="948"/>
      <c r="E510" s="948"/>
      <c r="F510" s="947"/>
      <c r="G510" s="947"/>
      <c r="H510" s="150"/>
      <c r="I510" s="157"/>
      <c r="J510" s="157"/>
      <c r="K510" s="157"/>
      <c r="L510" s="153">
        <f t="shared" si="50"/>
        <v>0</v>
      </c>
      <c r="M510" s="154">
        <f t="shared" si="51"/>
        <v>0</v>
      </c>
      <c r="N510" s="155">
        <f>+IF(OR($Q510=Parametres!$G$2,$Q510=Parametres!$G$3),I510,C510)</f>
        <v>0</v>
      </c>
      <c r="O510" s="155">
        <f>+IF(OR($Q510=Parametres!$G$2,$Q510=Parametres!$G$3),J510,D510)</f>
        <v>0</v>
      </c>
      <c r="P510" s="155">
        <f>+IF(OR($Q510=Parametres!$G$2,$Q510=Parametres!$G$3),K510,E510)</f>
        <v>0</v>
      </c>
      <c r="Q510" s="154">
        <f t="shared" si="52"/>
        <v>0</v>
      </c>
      <c r="R510" s="153">
        <f t="shared" si="53"/>
        <v>0</v>
      </c>
      <c r="S510" s="154">
        <f t="shared" si="54"/>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hidden="1" customHeight="1">
      <c r="A511" s="150"/>
      <c r="B511" s="150"/>
      <c r="C511" s="151"/>
      <c r="D511" s="151"/>
      <c r="E511" s="151"/>
      <c r="F511" s="150"/>
      <c r="G511" s="150"/>
      <c r="H511" s="150"/>
      <c r="I511" s="157"/>
      <c r="J511" s="157"/>
      <c r="K511" s="157"/>
      <c r="L511" s="153">
        <f t="shared" si="50"/>
        <v>0</v>
      </c>
      <c r="M511" s="154">
        <f t="shared" si="51"/>
        <v>0</v>
      </c>
      <c r="N511" s="155">
        <f>+IF(OR($Q511=Parametres!$G$2,$Q511=Parametres!$G$3),I511,C511)</f>
        <v>0</v>
      </c>
      <c r="O511" s="155">
        <f>+IF(OR($Q511=Parametres!$G$2,$Q511=Parametres!$G$3),J511,D511)</f>
        <v>0</v>
      </c>
      <c r="P511" s="155">
        <f>+IF(OR($Q511=Parametres!$G$2,$Q511=Parametres!$G$3),K511,E511)</f>
        <v>0</v>
      </c>
      <c r="Q511" s="154">
        <f t="shared" si="52"/>
        <v>0</v>
      </c>
      <c r="R511" s="153">
        <f t="shared" si="53"/>
        <v>0</v>
      </c>
      <c r="S511" s="154">
        <f t="shared" si="54"/>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hidden="1" customHeight="1">
      <c r="A512" s="150"/>
      <c r="B512" s="150"/>
      <c r="C512" s="151"/>
      <c r="D512" s="151"/>
      <c r="E512" s="151"/>
      <c r="F512" s="150"/>
      <c r="G512" s="150"/>
      <c r="H512" s="150"/>
      <c r="I512" s="157"/>
      <c r="J512" s="157"/>
      <c r="K512" s="157"/>
      <c r="L512" s="153">
        <f t="shared" si="50"/>
        <v>0</v>
      </c>
      <c r="M512" s="154">
        <f t="shared" si="51"/>
        <v>0</v>
      </c>
      <c r="N512" s="155">
        <f>+IF(OR($Q512=Parametres!$G$2,$Q512=Parametres!$G$3),I512,C512)</f>
        <v>0</v>
      </c>
      <c r="O512" s="155">
        <f>+IF(OR($Q512=Parametres!$G$2,$Q512=Parametres!$G$3),J512,D512)</f>
        <v>0</v>
      </c>
      <c r="P512" s="155">
        <f>+IF(OR($Q512=Parametres!$G$2,$Q512=Parametres!$G$3),K512,E512)</f>
        <v>0</v>
      </c>
      <c r="Q512" s="154">
        <f t="shared" si="52"/>
        <v>0</v>
      </c>
      <c r="R512" s="153">
        <f t="shared" si="53"/>
        <v>0</v>
      </c>
      <c r="S512" s="154">
        <f t="shared" si="54"/>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hidden="1" customHeight="1">
      <c r="A513" s="150"/>
      <c r="B513" s="150"/>
      <c r="C513" s="151"/>
      <c r="D513" s="151"/>
      <c r="E513" s="151"/>
      <c r="F513" s="150"/>
      <c r="G513" s="150"/>
      <c r="H513" s="150"/>
      <c r="I513" s="157"/>
      <c r="J513" s="157"/>
      <c r="K513" s="157"/>
      <c r="L513" s="153">
        <f t="shared" si="50"/>
        <v>0</v>
      </c>
      <c r="M513" s="154">
        <f t="shared" si="51"/>
        <v>0</v>
      </c>
      <c r="N513" s="155">
        <f>+IF(OR($Q513=Parametres!$G$2,$Q513=Parametres!$G$3),I513,C513)</f>
        <v>0</v>
      </c>
      <c r="O513" s="155">
        <f>+IF(OR($Q513=Parametres!$G$2,$Q513=Parametres!$G$3),J513,D513)</f>
        <v>0</v>
      </c>
      <c r="P513" s="155">
        <f>+IF(OR($Q513=Parametres!$G$2,$Q513=Parametres!$G$3),K513,E513)</f>
        <v>0</v>
      </c>
      <c r="Q513" s="154">
        <f t="shared" si="52"/>
        <v>0</v>
      </c>
      <c r="R513" s="153">
        <f t="shared" si="53"/>
        <v>0</v>
      </c>
      <c r="S513" s="154">
        <f t="shared" si="54"/>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hidden="1" customHeight="1">
      <c r="A514" s="150"/>
      <c r="B514" s="150"/>
      <c r="C514" s="151"/>
      <c r="D514" s="151"/>
      <c r="E514" s="151"/>
      <c r="F514" s="150"/>
      <c r="G514" s="150"/>
      <c r="H514" s="150"/>
      <c r="I514" s="157"/>
      <c r="J514" s="157"/>
      <c r="K514" s="157"/>
      <c r="L514" s="153">
        <f t="shared" ref="L514:L577" si="55">+B514</f>
        <v>0</v>
      </c>
      <c r="M514" s="154">
        <f t="shared" ref="M514:M577" si="56">+A514</f>
        <v>0</v>
      </c>
      <c r="N514" s="155">
        <f>+IF(OR($Q514=Parametres!$G$2,$Q514=Parametres!$G$3),I514,C514)</f>
        <v>0</v>
      </c>
      <c r="O514" s="155">
        <f>+IF(OR($Q514=Parametres!$G$2,$Q514=Parametres!$G$3),J514,D514)</f>
        <v>0</v>
      </c>
      <c r="P514" s="155">
        <f>+IF(OR($Q514=Parametres!$G$2,$Q514=Parametres!$G$3),K514,E514)</f>
        <v>0</v>
      </c>
      <c r="Q514" s="154">
        <f t="shared" ref="Q514:Q577" si="57">+F514</f>
        <v>0</v>
      </c>
      <c r="R514" s="153">
        <f t="shared" ref="R514:R577" si="58">+G514</f>
        <v>0</v>
      </c>
      <c r="S514" s="154">
        <f t="shared" ref="S514:S577" si="59">+H514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hidden="1" customHeight="1">
      <c r="A515" s="150"/>
      <c r="B515" s="150"/>
      <c r="C515" s="151"/>
      <c r="D515" s="151"/>
      <c r="E515" s="151"/>
      <c r="F515" s="150"/>
      <c r="G515" s="150"/>
      <c r="H515" s="150"/>
      <c r="I515" s="157"/>
      <c r="J515" s="157"/>
      <c r="K515" s="157"/>
      <c r="L515" s="153">
        <f t="shared" si="55"/>
        <v>0</v>
      </c>
      <c r="M515" s="154">
        <f t="shared" si="56"/>
        <v>0</v>
      </c>
      <c r="N515" s="155">
        <f>+IF(OR($Q515=Parametres!$G$2,$Q515=Parametres!$G$3),I515,C515)</f>
        <v>0</v>
      </c>
      <c r="O515" s="155">
        <f>+IF(OR($Q515=Parametres!$G$2,$Q515=Parametres!$G$3),J515,D515)</f>
        <v>0</v>
      </c>
      <c r="P515" s="155">
        <f>+IF(OR($Q515=Parametres!$G$2,$Q515=Parametres!$G$3),K515,E515)</f>
        <v>0</v>
      </c>
      <c r="Q515" s="154">
        <f t="shared" si="57"/>
        <v>0</v>
      </c>
      <c r="R515" s="153">
        <f t="shared" si="58"/>
        <v>0</v>
      </c>
      <c r="S515" s="154">
        <f t="shared" si="59"/>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hidden="1" customHeight="1">
      <c r="A516" s="150"/>
      <c r="B516" s="150"/>
      <c r="C516" s="151"/>
      <c r="D516" s="151"/>
      <c r="E516" s="151"/>
      <c r="F516" s="150"/>
      <c r="G516" s="150"/>
      <c r="H516" s="150"/>
      <c r="I516" s="157"/>
      <c r="J516" s="157"/>
      <c r="K516" s="157"/>
      <c r="L516" s="153">
        <f t="shared" si="55"/>
        <v>0</v>
      </c>
      <c r="M516" s="154">
        <f t="shared" si="56"/>
        <v>0</v>
      </c>
      <c r="N516" s="155">
        <f>+IF(OR($Q516=Parametres!$G$2,$Q516=Parametres!$G$3),I516,C516)</f>
        <v>0</v>
      </c>
      <c r="O516" s="155">
        <f>+IF(OR($Q516=Parametres!$G$2,$Q516=Parametres!$G$3),J516,D516)</f>
        <v>0</v>
      </c>
      <c r="P516" s="155">
        <f>+IF(OR($Q516=Parametres!$G$2,$Q516=Parametres!$G$3),K516,E516)</f>
        <v>0</v>
      </c>
      <c r="Q516" s="154">
        <f t="shared" si="57"/>
        <v>0</v>
      </c>
      <c r="R516" s="153">
        <f t="shared" si="58"/>
        <v>0</v>
      </c>
      <c r="S516" s="154">
        <f t="shared" si="59"/>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hidden="1" customHeight="1">
      <c r="A517" s="150"/>
      <c r="B517" s="150"/>
      <c r="C517" s="151"/>
      <c r="D517" s="151"/>
      <c r="E517" s="151"/>
      <c r="F517" s="150"/>
      <c r="G517" s="150"/>
      <c r="H517" s="150"/>
      <c r="I517" s="157"/>
      <c r="J517" s="157"/>
      <c r="K517" s="157"/>
      <c r="L517" s="153">
        <f t="shared" si="55"/>
        <v>0</v>
      </c>
      <c r="M517" s="154">
        <f t="shared" si="56"/>
        <v>0</v>
      </c>
      <c r="N517" s="155">
        <f>+IF(OR($Q517=Parametres!$G$2,$Q517=Parametres!$G$3),I517,C517)</f>
        <v>0</v>
      </c>
      <c r="O517" s="155">
        <f>+IF(OR($Q517=Parametres!$G$2,$Q517=Parametres!$G$3),J517,D517)</f>
        <v>0</v>
      </c>
      <c r="P517" s="155">
        <f>+IF(OR($Q517=Parametres!$G$2,$Q517=Parametres!$G$3),K517,E517)</f>
        <v>0</v>
      </c>
      <c r="Q517" s="154">
        <f t="shared" si="57"/>
        <v>0</v>
      </c>
      <c r="R517" s="153">
        <f t="shared" si="58"/>
        <v>0</v>
      </c>
      <c r="S517" s="154">
        <f t="shared" si="59"/>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hidden="1" customHeight="1">
      <c r="A518" s="150"/>
      <c r="B518" s="150"/>
      <c r="C518" s="151"/>
      <c r="D518" s="151"/>
      <c r="E518" s="151"/>
      <c r="F518" s="150"/>
      <c r="G518" s="150"/>
      <c r="H518" s="150"/>
      <c r="I518" s="157"/>
      <c r="J518" s="157"/>
      <c r="K518" s="157"/>
      <c r="L518" s="153">
        <f t="shared" si="55"/>
        <v>0</v>
      </c>
      <c r="M518" s="154">
        <f t="shared" si="56"/>
        <v>0</v>
      </c>
      <c r="N518" s="155">
        <f>+IF(OR($Q518=Parametres!$G$2,$Q518=Parametres!$G$3),I518,C518)</f>
        <v>0</v>
      </c>
      <c r="O518" s="155">
        <f>+IF(OR($Q518=Parametres!$G$2,$Q518=Parametres!$G$3),J518,D518)</f>
        <v>0</v>
      </c>
      <c r="P518" s="155">
        <f>+IF(OR($Q518=Parametres!$G$2,$Q518=Parametres!$G$3),K518,E518)</f>
        <v>0</v>
      </c>
      <c r="Q518" s="154">
        <f t="shared" si="57"/>
        <v>0</v>
      </c>
      <c r="R518" s="153">
        <f t="shared" si="58"/>
        <v>0</v>
      </c>
      <c r="S518" s="154">
        <f t="shared" si="59"/>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hidden="1" customHeight="1">
      <c r="A519" s="150"/>
      <c r="B519" s="150"/>
      <c r="C519" s="151"/>
      <c r="D519" s="151"/>
      <c r="E519" s="151"/>
      <c r="F519" s="150"/>
      <c r="G519" s="150"/>
      <c r="H519" s="150"/>
      <c r="I519" s="157"/>
      <c r="J519" s="157"/>
      <c r="K519" s="157"/>
      <c r="L519" s="153">
        <f t="shared" si="55"/>
        <v>0</v>
      </c>
      <c r="M519" s="154">
        <f t="shared" si="56"/>
        <v>0</v>
      </c>
      <c r="N519" s="155">
        <f>+IF(OR($Q519=Parametres!$G$2,$Q519=Parametres!$G$3),I519,C519)</f>
        <v>0</v>
      </c>
      <c r="O519" s="155">
        <f>+IF(OR($Q519=Parametres!$G$2,$Q519=Parametres!$G$3),J519,D519)</f>
        <v>0</v>
      </c>
      <c r="P519" s="155">
        <f>+IF(OR($Q519=Parametres!$G$2,$Q519=Parametres!$G$3),K519,E519)</f>
        <v>0</v>
      </c>
      <c r="Q519" s="154">
        <f t="shared" si="57"/>
        <v>0</v>
      </c>
      <c r="R519" s="153">
        <f t="shared" si="58"/>
        <v>0</v>
      </c>
      <c r="S519" s="154">
        <f t="shared" si="59"/>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hidden="1" customHeight="1">
      <c r="A520" s="150"/>
      <c r="B520" s="150"/>
      <c r="C520" s="151"/>
      <c r="D520" s="151"/>
      <c r="E520" s="151"/>
      <c r="F520" s="150"/>
      <c r="G520" s="150"/>
      <c r="H520" s="150"/>
      <c r="I520" s="157"/>
      <c r="J520" s="157"/>
      <c r="K520" s="157"/>
      <c r="L520" s="153">
        <f t="shared" si="55"/>
        <v>0</v>
      </c>
      <c r="M520" s="154">
        <f t="shared" si="56"/>
        <v>0</v>
      </c>
      <c r="N520" s="155">
        <f>+IF(OR($Q520=Parametres!$G$2,$Q520=Parametres!$G$3),I520,C520)</f>
        <v>0</v>
      </c>
      <c r="O520" s="155">
        <f>+IF(OR($Q520=Parametres!$G$2,$Q520=Parametres!$G$3),J520,D520)</f>
        <v>0</v>
      </c>
      <c r="P520" s="155">
        <f>+IF(OR($Q520=Parametres!$G$2,$Q520=Parametres!$G$3),K520,E520)</f>
        <v>0</v>
      </c>
      <c r="Q520" s="154">
        <f t="shared" si="57"/>
        <v>0</v>
      </c>
      <c r="R520" s="153">
        <f t="shared" si="58"/>
        <v>0</v>
      </c>
      <c r="S520" s="154">
        <f t="shared" si="59"/>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hidden="1" customHeight="1">
      <c r="A521" s="150"/>
      <c r="B521" s="150"/>
      <c r="C521" s="151"/>
      <c r="D521" s="151"/>
      <c r="E521" s="151"/>
      <c r="F521" s="150"/>
      <c r="G521" s="150"/>
      <c r="H521" s="150"/>
      <c r="I521" s="157"/>
      <c r="J521" s="157"/>
      <c r="K521" s="157"/>
      <c r="L521" s="153">
        <f t="shared" si="55"/>
        <v>0</v>
      </c>
      <c r="M521" s="154">
        <f t="shared" si="56"/>
        <v>0</v>
      </c>
      <c r="N521" s="155">
        <f>+IF(OR($Q521=Parametres!$G$2,$Q521=Parametres!$G$3),I521,C521)</f>
        <v>0</v>
      </c>
      <c r="O521" s="155">
        <f>+IF(OR($Q521=Parametres!$G$2,$Q521=Parametres!$G$3),J521,D521)</f>
        <v>0</v>
      </c>
      <c r="P521" s="155">
        <f>+IF(OR($Q521=Parametres!$G$2,$Q521=Parametres!$G$3),K521,E521)</f>
        <v>0</v>
      </c>
      <c r="Q521" s="154">
        <f t="shared" si="57"/>
        <v>0</v>
      </c>
      <c r="R521" s="153">
        <f t="shared" si="58"/>
        <v>0</v>
      </c>
      <c r="S521" s="154">
        <f t="shared" si="59"/>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hidden="1" customHeight="1">
      <c r="A522" s="150"/>
      <c r="B522" s="150"/>
      <c r="C522" s="151"/>
      <c r="D522" s="151"/>
      <c r="E522" s="151"/>
      <c r="F522" s="150"/>
      <c r="G522" s="150"/>
      <c r="H522" s="150"/>
      <c r="I522" s="157"/>
      <c r="J522" s="157"/>
      <c r="K522" s="157"/>
      <c r="L522" s="153">
        <f t="shared" si="55"/>
        <v>0</v>
      </c>
      <c r="M522" s="154">
        <f t="shared" si="56"/>
        <v>0</v>
      </c>
      <c r="N522" s="155">
        <f>+IF(OR($Q522=Parametres!$G$2,$Q522=Parametres!$G$3),I522,C522)</f>
        <v>0</v>
      </c>
      <c r="O522" s="155">
        <f>+IF(OR($Q522=Parametres!$G$2,$Q522=Parametres!$G$3),J522,D522)</f>
        <v>0</v>
      </c>
      <c r="P522" s="155">
        <f>+IF(OR($Q522=Parametres!$G$2,$Q522=Parametres!$G$3),K522,E522)</f>
        <v>0</v>
      </c>
      <c r="Q522" s="154">
        <f t="shared" si="57"/>
        <v>0</v>
      </c>
      <c r="R522" s="153">
        <f t="shared" si="58"/>
        <v>0</v>
      </c>
      <c r="S522" s="154">
        <f t="shared" si="59"/>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hidden="1" customHeight="1">
      <c r="A523" s="150"/>
      <c r="B523" s="150"/>
      <c r="C523" s="151"/>
      <c r="D523" s="151"/>
      <c r="E523" s="151"/>
      <c r="F523" s="150"/>
      <c r="G523" s="150"/>
      <c r="H523" s="150"/>
      <c r="I523" s="157"/>
      <c r="J523" s="157"/>
      <c r="K523" s="157"/>
      <c r="L523" s="153">
        <f t="shared" si="55"/>
        <v>0</v>
      </c>
      <c r="M523" s="154">
        <f t="shared" si="56"/>
        <v>0</v>
      </c>
      <c r="N523" s="155">
        <f>+IF(OR($Q523=Parametres!$G$2,$Q523=Parametres!$G$3),I523,C523)</f>
        <v>0</v>
      </c>
      <c r="O523" s="155">
        <f>+IF(OR($Q523=Parametres!$G$2,$Q523=Parametres!$G$3),J523,D523)</f>
        <v>0</v>
      </c>
      <c r="P523" s="155">
        <f>+IF(OR($Q523=Parametres!$G$2,$Q523=Parametres!$G$3),K523,E523)</f>
        <v>0</v>
      </c>
      <c r="Q523" s="154">
        <f t="shared" si="57"/>
        <v>0</v>
      </c>
      <c r="R523" s="153">
        <f t="shared" si="58"/>
        <v>0</v>
      </c>
      <c r="S523" s="154">
        <f t="shared" si="59"/>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hidden="1" customHeight="1">
      <c r="A524" s="150"/>
      <c r="B524" s="150"/>
      <c r="C524" s="151"/>
      <c r="D524" s="151"/>
      <c r="E524" s="151"/>
      <c r="F524" s="150"/>
      <c r="G524" s="150"/>
      <c r="H524" s="150"/>
      <c r="I524" s="157"/>
      <c r="J524" s="157"/>
      <c r="K524" s="157"/>
      <c r="L524" s="153">
        <f t="shared" si="55"/>
        <v>0</v>
      </c>
      <c r="M524" s="154">
        <f t="shared" si="56"/>
        <v>0</v>
      </c>
      <c r="N524" s="155">
        <f>+IF(OR($Q524=Parametres!$G$2,$Q524=Parametres!$G$3),I524,C524)</f>
        <v>0</v>
      </c>
      <c r="O524" s="155">
        <f>+IF(OR($Q524=Parametres!$G$2,$Q524=Parametres!$G$3),J524,D524)</f>
        <v>0</v>
      </c>
      <c r="P524" s="155">
        <f>+IF(OR($Q524=Parametres!$G$2,$Q524=Parametres!$G$3),K524,E524)</f>
        <v>0</v>
      </c>
      <c r="Q524" s="154">
        <f t="shared" si="57"/>
        <v>0</v>
      </c>
      <c r="R524" s="153">
        <f t="shared" si="58"/>
        <v>0</v>
      </c>
      <c r="S524" s="154">
        <f t="shared" si="59"/>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hidden="1" customHeight="1">
      <c r="A525" s="150"/>
      <c r="B525" s="150"/>
      <c r="C525" s="151"/>
      <c r="D525" s="151"/>
      <c r="E525" s="151"/>
      <c r="F525" s="150"/>
      <c r="G525" s="150"/>
      <c r="H525" s="150"/>
      <c r="I525" s="157"/>
      <c r="J525" s="157"/>
      <c r="K525" s="157"/>
      <c r="L525" s="153">
        <f t="shared" si="55"/>
        <v>0</v>
      </c>
      <c r="M525" s="154">
        <f t="shared" si="56"/>
        <v>0</v>
      </c>
      <c r="N525" s="155">
        <f>+IF(OR($Q525=Parametres!$G$2,$Q525=Parametres!$G$3),I525,C525)</f>
        <v>0</v>
      </c>
      <c r="O525" s="155">
        <f>+IF(OR($Q525=Parametres!$G$2,$Q525=Parametres!$G$3),J525,D525)</f>
        <v>0</v>
      </c>
      <c r="P525" s="155">
        <f>+IF(OR($Q525=Parametres!$G$2,$Q525=Parametres!$G$3),K525,E525)</f>
        <v>0</v>
      </c>
      <c r="Q525" s="154">
        <f t="shared" si="57"/>
        <v>0</v>
      </c>
      <c r="R525" s="153">
        <f t="shared" si="58"/>
        <v>0</v>
      </c>
      <c r="S525" s="154">
        <f t="shared" si="59"/>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hidden="1" customHeight="1">
      <c r="A526" s="150"/>
      <c r="B526" s="150"/>
      <c r="C526" s="151"/>
      <c r="D526" s="151"/>
      <c r="E526" s="151"/>
      <c r="F526" s="150"/>
      <c r="G526" s="150"/>
      <c r="H526" s="150"/>
      <c r="I526" s="157"/>
      <c r="J526" s="157"/>
      <c r="K526" s="157"/>
      <c r="L526" s="153">
        <f t="shared" si="55"/>
        <v>0</v>
      </c>
      <c r="M526" s="154">
        <f t="shared" si="56"/>
        <v>0</v>
      </c>
      <c r="N526" s="155">
        <f>+IF(OR($Q526=Parametres!$G$2,$Q526=Parametres!$G$3),I526,C526)</f>
        <v>0</v>
      </c>
      <c r="O526" s="155">
        <f>+IF(OR($Q526=Parametres!$G$2,$Q526=Parametres!$G$3),J526,D526)</f>
        <v>0</v>
      </c>
      <c r="P526" s="155">
        <f>+IF(OR($Q526=Parametres!$G$2,$Q526=Parametres!$G$3),K526,E526)</f>
        <v>0</v>
      </c>
      <c r="Q526" s="154">
        <f t="shared" si="57"/>
        <v>0</v>
      </c>
      <c r="R526" s="153">
        <f t="shared" si="58"/>
        <v>0</v>
      </c>
      <c r="S526" s="154">
        <f t="shared" si="59"/>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hidden="1" customHeight="1">
      <c r="A527" s="150"/>
      <c r="B527" s="150"/>
      <c r="C527" s="151"/>
      <c r="D527" s="151"/>
      <c r="E527" s="151"/>
      <c r="F527" s="150"/>
      <c r="G527" s="150"/>
      <c r="H527" s="150"/>
      <c r="I527" s="157"/>
      <c r="J527" s="157"/>
      <c r="K527" s="157"/>
      <c r="L527" s="153">
        <f t="shared" si="55"/>
        <v>0</v>
      </c>
      <c r="M527" s="154">
        <f t="shared" si="56"/>
        <v>0</v>
      </c>
      <c r="N527" s="155">
        <f>+IF(OR($Q527=Parametres!$G$2,$Q527=Parametres!$G$3),I527,C527)</f>
        <v>0</v>
      </c>
      <c r="O527" s="155">
        <f>+IF(OR($Q527=Parametres!$G$2,$Q527=Parametres!$G$3),J527,D527)</f>
        <v>0</v>
      </c>
      <c r="P527" s="155">
        <f>+IF(OR($Q527=Parametres!$G$2,$Q527=Parametres!$G$3),K527,E527)</f>
        <v>0</v>
      </c>
      <c r="Q527" s="154">
        <f t="shared" si="57"/>
        <v>0</v>
      </c>
      <c r="R527" s="153">
        <f t="shared" si="58"/>
        <v>0</v>
      </c>
      <c r="S527" s="154">
        <f t="shared" si="59"/>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hidden="1" customHeight="1">
      <c r="A528" s="150"/>
      <c r="B528" s="150"/>
      <c r="C528" s="151"/>
      <c r="D528" s="151"/>
      <c r="E528" s="151"/>
      <c r="F528" s="150"/>
      <c r="G528" s="150"/>
      <c r="H528" s="150"/>
      <c r="I528" s="157"/>
      <c r="J528" s="157"/>
      <c r="K528" s="157"/>
      <c r="L528" s="153">
        <f t="shared" si="55"/>
        <v>0</v>
      </c>
      <c r="M528" s="154">
        <f t="shared" si="56"/>
        <v>0</v>
      </c>
      <c r="N528" s="155">
        <f>+IF(OR($Q528=Parametres!$G$2,$Q528=Parametres!$G$3),I528,C528)</f>
        <v>0</v>
      </c>
      <c r="O528" s="155">
        <f>+IF(OR($Q528=Parametres!$G$2,$Q528=Parametres!$G$3),J528,D528)</f>
        <v>0</v>
      </c>
      <c r="P528" s="155">
        <f>+IF(OR($Q528=Parametres!$G$2,$Q528=Parametres!$G$3),K528,E528)</f>
        <v>0</v>
      </c>
      <c r="Q528" s="154">
        <f t="shared" si="57"/>
        <v>0</v>
      </c>
      <c r="R528" s="153">
        <f t="shared" si="58"/>
        <v>0</v>
      </c>
      <c r="S528" s="154">
        <f t="shared" si="59"/>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hidden="1" customHeight="1">
      <c r="A529" s="150"/>
      <c r="B529" s="150"/>
      <c r="C529" s="151"/>
      <c r="D529" s="151"/>
      <c r="E529" s="151"/>
      <c r="F529" s="150"/>
      <c r="G529" s="150"/>
      <c r="H529" s="150"/>
      <c r="I529" s="157"/>
      <c r="J529" s="157"/>
      <c r="K529" s="157"/>
      <c r="L529" s="153">
        <f t="shared" si="55"/>
        <v>0</v>
      </c>
      <c r="M529" s="154">
        <f t="shared" si="56"/>
        <v>0</v>
      </c>
      <c r="N529" s="155">
        <f>+IF(OR($Q529=Parametres!$G$2,$Q529=Parametres!$G$3),I529,C529)</f>
        <v>0</v>
      </c>
      <c r="O529" s="155">
        <f>+IF(OR($Q529=Parametres!$G$2,$Q529=Parametres!$G$3),J529,D529)</f>
        <v>0</v>
      </c>
      <c r="P529" s="155">
        <f>+IF(OR($Q529=Parametres!$G$2,$Q529=Parametres!$G$3),K529,E529)</f>
        <v>0</v>
      </c>
      <c r="Q529" s="154">
        <f t="shared" si="57"/>
        <v>0</v>
      </c>
      <c r="R529" s="153">
        <f t="shared" si="58"/>
        <v>0</v>
      </c>
      <c r="S529" s="154">
        <f t="shared" si="59"/>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hidden="1" customHeight="1">
      <c r="A530" s="150"/>
      <c r="B530" s="150"/>
      <c r="C530" s="151"/>
      <c r="D530" s="151"/>
      <c r="E530" s="151"/>
      <c r="F530" s="150"/>
      <c r="G530" s="150"/>
      <c r="H530" s="150"/>
      <c r="I530" s="157"/>
      <c r="J530" s="157"/>
      <c r="K530" s="157"/>
      <c r="L530" s="153">
        <f t="shared" si="55"/>
        <v>0</v>
      </c>
      <c r="M530" s="154">
        <f t="shared" si="56"/>
        <v>0</v>
      </c>
      <c r="N530" s="155">
        <f>+IF(OR($Q530=Parametres!$G$2,$Q530=Parametres!$G$3),I530,C530)</f>
        <v>0</v>
      </c>
      <c r="O530" s="572">
        <f>+IF(OR($Q530=Parametres!$G$2,$Q530=Parametres!$G$3),J530,D530)</f>
        <v>0</v>
      </c>
      <c r="P530" s="155">
        <f>+IF(OR($Q530=Parametres!$G$2,$Q530=Parametres!$G$3),K530,E530)</f>
        <v>0</v>
      </c>
      <c r="Q530" s="154">
        <f t="shared" si="57"/>
        <v>0</v>
      </c>
      <c r="R530" s="153">
        <f t="shared" si="58"/>
        <v>0</v>
      </c>
      <c r="S530" s="154">
        <f t="shared" si="5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hidden="1" customHeight="1">
      <c r="A531" s="150"/>
      <c r="B531" s="150"/>
      <c r="C531" s="151"/>
      <c r="D531" s="151"/>
      <c r="E531" s="151"/>
      <c r="F531" s="150"/>
      <c r="G531" s="150"/>
      <c r="H531" s="150"/>
      <c r="I531" s="157"/>
      <c r="J531" s="157"/>
      <c r="K531" s="157"/>
      <c r="L531" s="153">
        <f t="shared" si="55"/>
        <v>0</v>
      </c>
      <c r="M531" s="154">
        <f t="shared" si="56"/>
        <v>0</v>
      </c>
      <c r="N531" s="155">
        <f>+IF(OR($Q531=Parametres!$G$2,$Q531=Parametres!$G$3),I531,C531)</f>
        <v>0</v>
      </c>
      <c r="O531" s="155">
        <f>+IF(OR($Q531=Parametres!$G$2,$Q531=Parametres!$G$3),J531,D531)</f>
        <v>0</v>
      </c>
      <c r="P531" s="155">
        <f>+IF(OR($Q531=Parametres!$G$2,$Q531=Parametres!$G$3),K531,E531)</f>
        <v>0</v>
      </c>
      <c r="Q531" s="154">
        <f t="shared" si="57"/>
        <v>0</v>
      </c>
      <c r="R531" s="153">
        <f t="shared" si="58"/>
        <v>0</v>
      </c>
      <c r="S531" s="154">
        <f t="shared" si="5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hidden="1" customHeight="1">
      <c r="A532" s="150"/>
      <c r="B532" s="150"/>
      <c r="C532" s="151"/>
      <c r="D532" s="151"/>
      <c r="E532" s="151"/>
      <c r="F532" s="150"/>
      <c r="G532" s="150"/>
      <c r="H532" s="150"/>
      <c r="I532" s="157"/>
      <c r="J532" s="157"/>
      <c r="K532" s="157"/>
      <c r="L532" s="153">
        <f t="shared" si="55"/>
        <v>0</v>
      </c>
      <c r="M532" s="154">
        <f t="shared" si="56"/>
        <v>0</v>
      </c>
      <c r="N532" s="155">
        <f>+IF(OR($Q532=Parametres!$G$2,$Q532=Parametres!$G$3),I532,C532)</f>
        <v>0</v>
      </c>
      <c r="O532" s="155">
        <f>+IF(OR($Q532=Parametres!$G$2,$Q532=Parametres!$G$3),J532,D532)</f>
        <v>0</v>
      </c>
      <c r="P532" s="155">
        <f>+IF(OR($Q532=Parametres!$G$2,$Q532=Parametres!$G$3),K532,E532)</f>
        <v>0</v>
      </c>
      <c r="Q532" s="154">
        <f t="shared" si="57"/>
        <v>0</v>
      </c>
      <c r="R532" s="153">
        <f t="shared" si="58"/>
        <v>0</v>
      </c>
      <c r="S532" s="154">
        <f t="shared" si="5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hidden="1" customHeight="1">
      <c r="A533" s="150"/>
      <c r="B533" s="150"/>
      <c r="C533" s="151"/>
      <c r="D533" s="151"/>
      <c r="E533" s="151"/>
      <c r="F533" s="150"/>
      <c r="G533" s="150"/>
      <c r="H533" s="150"/>
      <c r="I533" s="157"/>
      <c r="J533" s="157"/>
      <c r="K533" s="157"/>
      <c r="L533" s="153">
        <f t="shared" si="55"/>
        <v>0</v>
      </c>
      <c r="M533" s="154">
        <f t="shared" si="56"/>
        <v>0</v>
      </c>
      <c r="N533" s="155">
        <f>+IF(OR($Q533=Parametres!$G$2,$Q533=Parametres!$G$3),I533,C533)</f>
        <v>0</v>
      </c>
      <c r="O533" s="155">
        <f>+IF(OR($Q533=Parametres!$G$2,$Q533=Parametres!$G$3),J533,D533)</f>
        <v>0</v>
      </c>
      <c r="P533" s="155">
        <f>+IF(OR($Q533=Parametres!$G$2,$Q533=Parametres!$G$3),K533,E533)</f>
        <v>0</v>
      </c>
      <c r="Q533" s="154">
        <f t="shared" si="57"/>
        <v>0</v>
      </c>
      <c r="R533" s="153">
        <f t="shared" si="58"/>
        <v>0</v>
      </c>
      <c r="S533" s="154">
        <f t="shared" si="5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hidden="1" customHeight="1">
      <c r="A534" s="150"/>
      <c r="B534" s="150"/>
      <c r="C534" s="151"/>
      <c r="D534" s="151"/>
      <c r="E534" s="151"/>
      <c r="F534" s="150"/>
      <c r="G534" s="150"/>
      <c r="H534" s="150"/>
      <c r="I534" s="157"/>
      <c r="J534" s="157"/>
      <c r="K534" s="157"/>
      <c r="L534" s="153">
        <f t="shared" si="55"/>
        <v>0</v>
      </c>
      <c r="M534" s="154">
        <f t="shared" si="56"/>
        <v>0</v>
      </c>
      <c r="N534" s="155">
        <f>+IF(OR($Q534=Parametres!$G$2,$Q534=Parametres!$G$3),I534,C534)</f>
        <v>0</v>
      </c>
      <c r="O534" s="155">
        <f>+IF(OR($Q534=Parametres!$G$2,$Q534=Parametres!$G$3),J534,D534)</f>
        <v>0</v>
      </c>
      <c r="P534" s="155">
        <f>+IF(OR($Q534=Parametres!$G$2,$Q534=Parametres!$G$3),K534,E534)</f>
        <v>0</v>
      </c>
      <c r="Q534" s="154">
        <f t="shared" si="57"/>
        <v>0</v>
      </c>
      <c r="R534" s="153">
        <f t="shared" si="58"/>
        <v>0</v>
      </c>
      <c r="S534" s="154">
        <f t="shared" si="5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hidden="1" customHeight="1">
      <c r="A535" s="150"/>
      <c r="B535" s="150"/>
      <c r="C535" s="151"/>
      <c r="D535" s="151"/>
      <c r="E535" s="151"/>
      <c r="F535" s="150"/>
      <c r="G535" s="150"/>
      <c r="H535" s="150"/>
      <c r="I535" s="157"/>
      <c r="J535" s="157"/>
      <c r="K535" s="157"/>
      <c r="L535" s="153">
        <f t="shared" si="55"/>
        <v>0</v>
      </c>
      <c r="M535" s="154">
        <f t="shared" si="56"/>
        <v>0</v>
      </c>
      <c r="N535" s="155">
        <f>+IF(OR($Q535=Parametres!$G$2,$Q535=Parametres!$G$3),I535,C535)</f>
        <v>0</v>
      </c>
      <c r="O535" s="155">
        <f>+IF(OR($Q535=Parametres!$G$2,$Q535=Parametres!$G$3),J535,D535)</f>
        <v>0</v>
      </c>
      <c r="P535" s="155">
        <f>+IF(OR($Q535=Parametres!$G$2,$Q535=Parametres!$G$3),K535,E535)</f>
        <v>0</v>
      </c>
      <c r="Q535" s="154">
        <f t="shared" si="57"/>
        <v>0</v>
      </c>
      <c r="R535" s="153">
        <f t="shared" si="58"/>
        <v>0</v>
      </c>
      <c r="S535" s="154">
        <f t="shared" si="5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hidden="1" customHeight="1">
      <c r="A536" s="150"/>
      <c r="B536" s="150"/>
      <c r="C536" s="151"/>
      <c r="D536" s="151"/>
      <c r="E536" s="151"/>
      <c r="F536" s="150"/>
      <c r="G536" s="150"/>
      <c r="H536" s="150"/>
      <c r="I536" s="157"/>
      <c r="J536" s="157"/>
      <c r="K536" s="157"/>
      <c r="L536" s="153">
        <f t="shared" si="55"/>
        <v>0</v>
      </c>
      <c r="M536" s="154">
        <f t="shared" si="56"/>
        <v>0</v>
      </c>
      <c r="N536" s="155">
        <f>+IF(OR($Q536=Parametres!$G$2,$Q536=Parametres!$G$3),I536,C536)</f>
        <v>0</v>
      </c>
      <c r="O536" s="155">
        <f>+IF(OR($Q536=Parametres!$G$2,$Q536=Parametres!$G$3),J536,D536)</f>
        <v>0</v>
      </c>
      <c r="P536" s="155">
        <f>+IF(OR($Q536=Parametres!$G$2,$Q536=Parametres!$G$3),K536,E536)</f>
        <v>0</v>
      </c>
      <c r="Q536" s="154">
        <f t="shared" si="57"/>
        <v>0</v>
      </c>
      <c r="R536" s="153">
        <f t="shared" si="58"/>
        <v>0</v>
      </c>
      <c r="S536" s="154">
        <f t="shared" si="5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hidden="1" customHeight="1">
      <c r="A537" s="150"/>
      <c r="B537" s="150"/>
      <c r="C537" s="151"/>
      <c r="D537" s="151"/>
      <c r="E537" s="151"/>
      <c r="F537" s="150"/>
      <c r="G537" s="150"/>
      <c r="H537" s="150"/>
      <c r="I537" s="157"/>
      <c r="J537" s="157"/>
      <c r="K537" s="157"/>
      <c r="L537" s="153">
        <f t="shared" si="55"/>
        <v>0</v>
      </c>
      <c r="M537" s="154">
        <f t="shared" si="56"/>
        <v>0</v>
      </c>
      <c r="N537" s="155">
        <f>+IF(OR($Q537=Parametres!$G$2,$Q537=Parametres!$G$3),I537,C537)</f>
        <v>0</v>
      </c>
      <c r="O537" s="155">
        <f>+IF(OR($Q537=Parametres!$G$2,$Q537=Parametres!$G$3),J537,D537)</f>
        <v>0</v>
      </c>
      <c r="P537" s="155">
        <f>+IF(OR($Q537=Parametres!$G$2,$Q537=Parametres!$G$3),K537,E537)</f>
        <v>0</v>
      </c>
      <c r="Q537" s="154">
        <f t="shared" si="57"/>
        <v>0</v>
      </c>
      <c r="R537" s="153">
        <f t="shared" si="58"/>
        <v>0</v>
      </c>
      <c r="S537" s="154">
        <f t="shared" si="5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hidden="1" customHeight="1">
      <c r="A538" s="150"/>
      <c r="B538" s="150"/>
      <c r="C538" s="151"/>
      <c r="D538" s="151"/>
      <c r="E538" s="151"/>
      <c r="F538" s="150"/>
      <c r="G538" s="150"/>
      <c r="H538" s="150"/>
      <c r="I538" s="157"/>
      <c r="J538" s="157"/>
      <c r="K538" s="157"/>
      <c r="L538" s="153">
        <f t="shared" si="55"/>
        <v>0</v>
      </c>
      <c r="M538" s="154">
        <f t="shared" si="56"/>
        <v>0</v>
      </c>
      <c r="N538" s="155">
        <f>+IF(OR($Q538=Parametres!$G$2,$Q538=Parametres!$G$3),I538,C538)</f>
        <v>0</v>
      </c>
      <c r="O538" s="155">
        <f>+IF(OR($Q538=Parametres!$G$2,$Q538=Parametres!$G$3),J538,D538)</f>
        <v>0</v>
      </c>
      <c r="P538" s="155">
        <f>+IF(OR($Q538=Parametres!$G$2,$Q538=Parametres!$G$3),K538,E538)</f>
        <v>0</v>
      </c>
      <c r="Q538" s="154">
        <f t="shared" si="57"/>
        <v>0</v>
      </c>
      <c r="R538" s="153">
        <f t="shared" si="58"/>
        <v>0</v>
      </c>
      <c r="S538" s="154">
        <f t="shared" si="5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hidden="1" customHeight="1">
      <c r="A539" s="150"/>
      <c r="B539" s="150"/>
      <c r="C539" s="151"/>
      <c r="D539" s="151"/>
      <c r="E539" s="151"/>
      <c r="F539" s="150"/>
      <c r="G539" s="150"/>
      <c r="H539" s="150"/>
      <c r="I539" s="157"/>
      <c r="J539" s="157"/>
      <c r="K539" s="157"/>
      <c r="L539" s="153">
        <f t="shared" si="55"/>
        <v>0</v>
      </c>
      <c r="M539" s="154">
        <f t="shared" si="56"/>
        <v>0</v>
      </c>
      <c r="N539" s="155">
        <f>+IF(OR($Q539=Parametres!$G$2,$Q539=Parametres!$G$3),I539,C539)</f>
        <v>0</v>
      </c>
      <c r="O539" s="155">
        <f>+IF(OR($Q539=Parametres!$G$2,$Q539=Parametres!$G$3),J539,D539)</f>
        <v>0</v>
      </c>
      <c r="P539" s="155">
        <f>+IF(OR($Q539=Parametres!$G$2,$Q539=Parametres!$G$3),K539,E539)</f>
        <v>0</v>
      </c>
      <c r="Q539" s="154">
        <f t="shared" si="57"/>
        <v>0</v>
      </c>
      <c r="R539" s="153">
        <f t="shared" si="58"/>
        <v>0</v>
      </c>
      <c r="S539" s="154">
        <f t="shared" si="5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hidden="1" customHeight="1">
      <c r="A540" s="150"/>
      <c r="B540" s="150"/>
      <c r="C540" s="151"/>
      <c r="D540" s="151"/>
      <c r="E540" s="151"/>
      <c r="F540" s="150"/>
      <c r="G540" s="150"/>
      <c r="H540" s="150"/>
      <c r="I540" s="157"/>
      <c r="J540" s="157"/>
      <c r="K540" s="157"/>
      <c r="L540" s="153">
        <f t="shared" si="55"/>
        <v>0</v>
      </c>
      <c r="M540" s="154">
        <f t="shared" si="56"/>
        <v>0</v>
      </c>
      <c r="N540" s="155">
        <f>+IF(OR($Q540=Parametres!$G$2,$Q540=Parametres!$G$3),I540,C540)</f>
        <v>0</v>
      </c>
      <c r="O540" s="155">
        <f>+IF(OR($Q540=Parametres!$G$2,$Q540=Parametres!$G$3),J540,D540)</f>
        <v>0</v>
      </c>
      <c r="P540" s="155">
        <f>+IF(OR($Q540=Parametres!$G$2,$Q540=Parametres!$G$3),K540,E540)</f>
        <v>0</v>
      </c>
      <c r="Q540" s="154">
        <f t="shared" si="57"/>
        <v>0</v>
      </c>
      <c r="R540" s="153">
        <f t="shared" si="58"/>
        <v>0</v>
      </c>
      <c r="S540" s="154">
        <f t="shared" si="5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hidden="1" customHeight="1">
      <c r="A541" s="150"/>
      <c r="B541" s="150"/>
      <c r="C541" s="151"/>
      <c r="D541" s="151"/>
      <c r="E541" s="151"/>
      <c r="F541" s="150"/>
      <c r="G541" s="150"/>
      <c r="H541" s="150"/>
      <c r="I541" s="157"/>
      <c r="J541" s="157"/>
      <c r="K541" s="157"/>
      <c r="L541" s="153">
        <f t="shared" si="55"/>
        <v>0</v>
      </c>
      <c r="M541" s="154">
        <f t="shared" si="56"/>
        <v>0</v>
      </c>
      <c r="N541" s="155">
        <f>+IF(OR($Q541=Parametres!$G$2,$Q541=Parametres!$G$3),I541,C541)</f>
        <v>0</v>
      </c>
      <c r="O541" s="155">
        <f>+IF(OR($Q541=Parametres!$G$2,$Q541=Parametres!$G$3),J541,D541)</f>
        <v>0</v>
      </c>
      <c r="P541" s="155">
        <f>+IF(OR($Q541=Parametres!$G$2,$Q541=Parametres!$G$3),K541,E541)</f>
        <v>0</v>
      </c>
      <c r="Q541" s="154">
        <f t="shared" si="57"/>
        <v>0</v>
      </c>
      <c r="R541" s="153">
        <f t="shared" si="58"/>
        <v>0</v>
      </c>
      <c r="S541" s="154">
        <f t="shared" si="5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hidden="1" customHeight="1">
      <c r="A542" s="150"/>
      <c r="B542" s="150"/>
      <c r="C542" s="151"/>
      <c r="D542" s="151"/>
      <c r="E542" s="151"/>
      <c r="F542" s="150"/>
      <c r="G542" s="150"/>
      <c r="H542" s="150"/>
      <c r="I542" s="157"/>
      <c r="J542" s="157"/>
      <c r="K542" s="157"/>
      <c r="L542" s="153">
        <f t="shared" si="55"/>
        <v>0</v>
      </c>
      <c r="M542" s="154">
        <f t="shared" si="56"/>
        <v>0</v>
      </c>
      <c r="N542" s="155">
        <f>+IF(OR($Q542=Parametres!$G$2,$Q542=Parametres!$G$3),I542,C542)</f>
        <v>0</v>
      </c>
      <c r="O542" s="155">
        <f>+IF(OR($Q542=Parametres!$G$2,$Q542=Parametres!$G$3),J542,D542)</f>
        <v>0</v>
      </c>
      <c r="P542" s="155">
        <f>+IF(OR($Q542=Parametres!$G$2,$Q542=Parametres!$G$3),K542,E542)</f>
        <v>0</v>
      </c>
      <c r="Q542" s="154">
        <f t="shared" si="57"/>
        <v>0</v>
      </c>
      <c r="R542" s="153">
        <f t="shared" si="58"/>
        <v>0</v>
      </c>
      <c r="S542" s="154">
        <f t="shared" si="5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hidden="1" customHeight="1">
      <c r="A543" s="150"/>
      <c r="B543" s="150"/>
      <c r="C543" s="151"/>
      <c r="D543" s="151"/>
      <c r="E543" s="151"/>
      <c r="F543" s="150"/>
      <c r="G543" s="150"/>
      <c r="H543" s="150"/>
      <c r="I543" s="157"/>
      <c r="J543" s="157"/>
      <c r="K543" s="157"/>
      <c r="L543" s="153">
        <f t="shared" si="55"/>
        <v>0</v>
      </c>
      <c r="M543" s="154">
        <f t="shared" si="56"/>
        <v>0</v>
      </c>
      <c r="N543" s="155">
        <f>+IF(OR($Q543=Parametres!$G$2,$Q543=Parametres!$G$3),I543,C543)</f>
        <v>0</v>
      </c>
      <c r="O543" s="155">
        <f>+IF(OR($Q543=Parametres!$G$2,$Q543=Parametres!$G$3),J543,D543)</f>
        <v>0</v>
      </c>
      <c r="P543" s="155">
        <f>+IF(OR($Q543=Parametres!$G$2,$Q543=Parametres!$G$3),K543,E543)</f>
        <v>0</v>
      </c>
      <c r="Q543" s="154">
        <f t="shared" si="57"/>
        <v>0</v>
      </c>
      <c r="R543" s="153">
        <f t="shared" si="58"/>
        <v>0</v>
      </c>
      <c r="S543" s="154">
        <f t="shared" si="5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hidden="1" customHeight="1">
      <c r="A544" s="150"/>
      <c r="B544" s="150"/>
      <c r="C544" s="151"/>
      <c r="D544" s="151"/>
      <c r="E544" s="151"/>
      <c r="F544" s="150"/>
      <c r="G544" s="150"/>
      <c r="H544" s="150"/>
      <c r="I544" s="157"/>
      <c r="J544" s="157"/>
      <c r="K544" s="157"/>
      <c r="L544" s="153">
        <f t="shared" si="55"/>
        <v>0</v>
      </c>
      <c r="M544" s="154">
        <f t="shared" si="56"/>
        <v>0</v>
      </c>
      <c r="N544" s="155">
        <f>+IF(OR($Q544=Parametres!$G$2,$Q544=Parametres!$G$3),I544,C544)</f>
        <v>0</v>
      </c>
      <c r="O544" s="155">
        <f>+IF(OR($Q544=Parametres!$G$2,$Q544=Parametres!$G$3),J544,D544)</f>
        <v>0</v>
      </c>
      <c r="P544" s="155">
        <f>+IF(OR($Q544=Parametres!$G$2,$Q544=Parametres!$G$3),K544,E544)</f>
        <v>0</v>
      </c>
      <c r="Q544" s="154">
        <f t="shared" si="57"/>
        <v>0</v>
      </c>
      <c r="R544" s="153">
        <f t="shared" si="58"/>
        <v>0</v>
      </c>
      <c r="S544" s="154">
        <f t="shared" si="5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hidden="1" customHeight="1">
      <c r="A545" s="150"/>
      <c r="B545" s="150"/>
      <c r="C545" s="151"/>
      <c r="D545" s="151"/>
      <c r="E545" s="151"/>
      <c r="F545" s="150"/>
      <c r="G545" s="150"/>
      <c r="H545" s="150"/>
      <c r="I545" s="157"/>
      <c r="J545" s="157"/>
      <c r="K545" s="157"/>
      <c r="L545" s="153">
        <f t="shared" si="55"/>
        <v>0</v>
      </c>
      <c r="M545" s="154">
        <f t="shared" si="56"/>
        <v>0</v>
      </c>
      <c r="N545" s="155">
        <f>+IF(OR($Q545=Parametres!$G$2,$Q545=Parametres!$G$3),I545,C545)</f>
        <v>0</v>
      </c>
      <c r="O545" s="155">
        <f>+IF(OR($Q545=Parametres!$G$2,$Q545=Parametres!$G$3),J545,D545)</f>
        <v>0</v>
      </c>
      <c r="P545" s="155">
        <f>+IF(OR($Q545=Parametres!$G$2,$Q545=Parametres!$G$3),K545,E545)</f>
        <v>0</v>
      </c>
      <c r="Q545" s="154">
        <f t="shared" si="57"/>
        <v>0</v>
      </c>
      <c r="R545" s="153">
        <f t="shared" si="58"/>
        <v>0</v>
      </c>
      <c r="S545" s="154">
        <f t="shared" si="5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hidden="1" customHeight="1">
      <c r="A546" s="150"/>
      <c r="B546" s="150"/>
      <c r="C546" s="151"/>
      <c r="D546" s="151"/>
      <c r="E546" s="151"/>
      <c r="F546" s="150"/>
      <c r="G546" s="150"/>
      <c r="H546" s="150"/>
      <c r="I546" s="157"/>
      <c r="J546" s="157"/>
      <c r="K546" s="157"/>
      <c r="L546" s="153">
        <f t="shared" si="55"/>
        <v>0</v>
      </c>
      <c r="M546" s="154">
        <f t="shared" si="56"/>
        <v>0</v>
      </c>
      <c r="N546" s="155">
        <f>+IF(OR($Q546=Parametres!$G$2,$Q546=Parametres!$G$3),I546,C546)</f>
        <v>0</v>
      </c>
      <c r="O546" s="155">
        <f>+IF(OR($Q546=Parametres!$G$2,$Q546=Parametres!$G$3),J546,D546)</f>
        <v>0</v>
      </c>
      <c r="P546" s="155">
        <f>+IF(OR($Q546=Parametres!$G$2,$Q546=Parametres!$G$3),K546,E546)</f>
        <v>0</v>
      </c>
      <c r="Q546" s="154">
        <f t="shared" si="57"/>
        <v>0</v>
      </c>
      <c r="R546" s="153">
        <f t="shared" si="58"/>
        <v>0</v>
      </c>
      <c r="S546" s="154">
        <f t="shared" si="59"/>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hidden="1" customHeight="1">
      <c r="A547" s="150"/>
      <c r="B547" s="150"/>
      <c r="C547" s="151"/>
      <c r="D547" s="151"/>
      <c r="E547" s="151"/>
      <c r="F547" s="150"/>
      <c r="G547" s="150"/>
      <c r="H547" s="150"/>
      <c r="I547" s="157"/>
      <c r="J547" s="157"/>
      <c r="K547" s="157"/>
      <c r="L547" s="153">
        <f t="shared" si="55"/>
        <v>0</v>
      </c>
      <c r="M547" s="154">
        <f t="shared" si="56"/>
        <v>0</v>
      </c>
      <c r="N547" s="155">
        <f>+IF(OR($Q547=Parametres!$G$2,$Q547=Parametres!$G$3),I547,C547)</f>
        <v>0</v>
      </c>
      <c r="O547" s="155">
        <f>+IF(OR($Q547=Parametres!$G$2,$Q547=Parametres!$G$3),J547,D547)</f>
        <v>0</v>
      </c>
      <c r="P547" s="155">
        <f>+IF(OR($Q547=Parametres!$G$2,$Q547=Parametres!$G$3),K547,E547)</f>
        <v>0</v>
      </c>
      <c r="Q547" s="154">
        <f t="shared" si="57"/>
        <v>0</v>
      </c>
      <c r="R547" s="153">
        <f t="shared" si="58"/>
        <v>0</v>
      </c>
      <c r="S547" s="154">
        <f t="shared" si="59"/>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hidden="1" customHeight="1">
      <c r="A548" s="150"/>
      <c r="B548" s="150"/>
      <c r="C548" s="151"/>
      <c r="D548" s="151"/>
      <c r="E548" s="151"/>
      <c r="F548" s="150"/>
      <c r="G548" s="150"/>
      <c r="H548" s="150"/>
      <c r="I548" s="157"/>
      <c r="J548" s="157"/>
      <c r="K548" s="157"/>
      <c r="L548" s="153">
        <f t="shared" si="55"/>
        <v>0</v>
      </c>
      <c r="M548" s="154">
        <f t="shared" si="56"/>
        <v>0</v>
      </c>
      <c r="N548" s="155">
        <f>+IF(OR($Q548=Parametres!$G$2,$Q548=Parametres!$G$3),I548,C548)</f>
        <v>0</v>
      </c>
      <c r="O548" s="155">
        <f>+IF(OR($Q548=Parametres!$G$2,$Q548=Parametres!$G$3),J548,D548)</f>
        <v>0</v>
      </c>
      <c r="P548" s="155">
        <f>+IF(OR($Q548=Parametres!$G$2,$Q548=Parametres!$G$3),K548,E548)</f>
        <v>0</v>
      </c>
      <c r="Q548" s="154">
        <f t="shared" si="57"/>
        <v>0</v>
      </c>
      <c r="R548" s="153">
        <f t="shared" si="58"/>
        <v>0</v>
      </c>
      <c r="S548" s="154">
        <f t="shared" si="59"/>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hidden="1" customHeight="1">
      <c r="A549" s="150"/>
      <c r="B549" s="150"/>
      <c r="C549" s="151"/>
      <c r="D549" s="151"/>
      <c r="E549" s="151"/>
      <c r="F549" s="150"/>
      <c r="G549" s="150"/>
      <c r="H549" s="150"/>
      <c r="I549" s="157"/>
      <c r="J549" s="157"/>
      <c r="K549" s="157"/>
      <c r="L549" s="153">
        <f t="shared" si="55"/>
        <v>0</v>
      </c>
      <c r="M549" s="154">
        <f t="shared" si="56"/>
        <v>0</v>
      </c>
      <c r="N549" s="155">
        <f>+IF(OR($Q549=Parametres!$G$2,$Q549=Parametres!$G$3),I549,C549)</f>
        <v>0</v>
      </c>
      <c r="O549" s="155">
        <f>+IF(OR($Q549=Parametres!$G$2,$Q549=Parametres!$G$3),J549,D549)</f>
        <v>0</v>
      </c>
      <c r="P549" s="155">
        <f>+IF(OR($Q549=Parametres!$G$2,$Q549=Parametres!$G$3),K549,E549)</f>
        <v>0</v>
      </c>
      <c r="Q549" s="154">
        <f t="shared" si="57"/>
        <v>0</v>
      </c>
      <c r="R549" s="153">
        <f t="shared" si="58"/>
        <v>0</v>
      </c>
      <c r="S549" s="154">
        <f t="shared" si="59"/>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hidden="1" customHeight="1">
      <c r="A550" s="150"/>
      <c r="B550" s="150"/>
      <c r="C550" s="151"/>
      <c r="D550" s="151"/>
      <c r="E550" s="151"/>
      <c r="F550" s="150"/>
      <c r="G550" s="150"/>
      <c r="H550" s="150"/>
      <c r="I550" s="157"/>
      <c r="J550" s="157"/>
      <c r="K550" s="157"/>
      <c r="L550" s="153">
        <f t="shared" si="55"/>
        <v>0</v>
      </c>
      <c r="M550" s="154">
        <f t="shared" si="56"/>
        <v>0</v>
      </c>
      <c r="N550" s="155">
        <f>+IF(OR($Q550=Parametres!$G$2,$Q550=Parametres!$G$3),I550,C550)</f>
        <v>0</v>
      </c>
      <c r="O550" s="155">
        <f>+IF(OR($Q550=Parametres!$G$2,$Q550=Parametres!$G$3),J550,D550)</f>
        <v>0</v>
      </c>
      <c r="P550" s="155">
        <f>+IF(OR($Q550=Parametres!$G$2,$Q550=Parametres!$G$3),K550,E550)</f>
        <v>0</v>
      </c>
      <c r="Q550" s="154">
        <f t="shared" si="57"/>
        <v>0</v>
      </c>
      <c r="R550" s="153">
        <f t="shared" si="58"/>
        <v>0</v>
      </c>
      <c r="S550" s="154">
        <f t="shared" si="59"/>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hidden="1" customHeight="1">
      <c r="A551" s="150"/>
      <c r="B551" s="150"/>
      <c r="C551" s="151"/>
      <c r="D551" s="151"/>
      <c r="E551" s="151"/>
      <c r="F551" s="150"/>
      <c r="G551" s="150"/>
      <c r="H551" s="150"/>
      <c r="I551" s="157"/>
      <c r="J551" s="157"/>
      <c r="K551" s="157"/>
      <c r="L551" s="153">
        <f t="shared" si="55"/>
        <v>0</v>
      </c>
      <c r="M551" s="154">
        <f t="shared" si="56"/>
        <v>0</v>
      </c>
      <c r="N551" s="155">
        <f>+IF(OR($Q551=Parametres!$G$2,$Q551=Parametres!$G$3),I551,C551)</f>
        <v>0</v>
      </c>
      <c r="O551" s="155">
        <f>+IF(OR($Q551=Parametres!$G$2,$Q551=Parametres!$G$3),J551,D551)</f>
        <v>0</v>
      </c>
      <c r="P551" s="155">
        <f>+IF(OR($Q551=Parametres!$G$2,$Q551=Parametres!$G$3),K551,E551)</f>
        <v>0</v>
      </c>
      <c r="Q551" s="154">
        <f t="shared" si="57"/>
        <v>0</v>
      </c>
      <c r="R551" s="153">
        <f t="shared" si="58"/>
        <v>0</v>
      </c>
      <c r="S551" s="154">
        <f t="shared" si="59"/>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hidden="1" customHeight="1">
      <c r="A552" s="150"/>
      <c r="B552" s="150"/>
      <c r="C552" s="151"/>
      <c r="D552" s="151"/>
      <c r="E552" s="151"/>
      <c r="F552" s="150"/>
      <c r="G552" s="150"/>
      <c r="H552" s="150"/>
      <c r="I552" s="157"/>
      <c r="J552" s="157"/>
      <c r="K552" s="157"/>
      <c r="L552" s="153">
        <f t="shared" si="55"/>
        <v>0</v>
      </c>
      <c r="M552" s="154">
        <f t="shared" si="56"/>
        <v>0</v>
      </c>
      <c r="N552" s="155">
        <f>+IF(OR($Q552=Parametres!$G$2,$Q552=Parametres!$G$3),I552,C552)</f>
        <v>0</v>
      </c>
      <c r="O552" s="155">
        <f>+IF(OR($Q552=Parametres!$G$2,$Q552=Parametres!$G$3),J552,D552)</f>
        <v>0</v>
      </c>
      <c r="P552" s="155">
        <f>+IF(OR($Q552=Parametres!$G$2,$Q552=Parametres!$G$3),K552,E552)</f>
        <v>0</v>
      </c>
      <c r="Q552" s="154">
        <f t="shared" si="57"/>
        <v>0</v>
      </c>
      <c r="R552" s="153">
        <f t="shared" si="58"/>
        <v>0</v>
      </c>
      <c r="S552" s="154">
        <f t="shared" si="59"/>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hidden="1" customHeight="1">
      <c r="A553" s="150"/>
      <c r="B553" s="150"/>
      <c r="C553" s="151"/>
      <c r="D553" s="151"/>
      <c r="E553" s="151"/>
      <c r="F553" s="150"/>
      <c r="G553" s="150"/>
      <c r="H553" s="150"/>
      <c r="I553" s="157"/>
      <c r="J553" s="157"/>
      <c r="K553" s="157"/>
      <c r="L553" s="153">
        <f t="shared" si="55"/>
        <v>0</v>
      </c>
      <c r="M553" s="154">
        <f t="shared" si="56"/>
        <v>0</v>
      </c>
      <c r="N553" s="155">
        <f>+IF(OR($Q553=Parametres!$G$2,$Q553=Parametres!$G$3),I553,C553)</f>
        <v>0</v>
      </c>
      <c r="O553" s="155">
        <f>+IF(OR($Q553=Parametres!$G$2,$Q553=Parametres!$G$3),J553,D553)</f>
        <v>0</v>
      </c>
      <c r="P553" s="155">
        <f>+IF(OR($Q553=Parametres!$G$2,$Q553=Parametres!$G$3),K553,E553)</f>
        <v>0</v>
      </c>
      <c r="Q553" s="154">
        <f t="shared" si="57"/>
        <v>0</v>
      </c>
      <c r="R553" s="153">
        <f t="shared" si="58"/>
        <v>0</v>
      </c>
      <c r="S553" s="154">
        <f t="shared" si="59"/>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hidden="1" customHeight="1">
      <c r="A554" s="150"/>
      <c r="B554" s="150"/>
      <c r="C554" s="151"/>
      <c r="D554" s="151"/>
      <c r="E554" s="151"/>
      <c r="F554" s="150"/>
      <c r="G554" s="150"/>
      <c r="H554" s="150"/>
      <c r="I554" s="157"/>
      <c r="J554" s="157"/>
      <c r="K554" s="157"/>
      <c r="L554" s="153">
        <f t="shared" si="55"/>
        <v>0</v>
      </c>
      <c r="M554" s="154">
        <f t="shared" si="56"/>
        <v>0</v>
      </c>
      <c r="N554" s="155">
        <f>+IF(OR($Q554=Parametres!$G$2,$Q554=Parametres!$G$3),I554,C554)</f>
        <v>0</v>
      </c>
      <c r="O554" s="155">
        <f>+IF(OR($Q554=Parametres!$G$2,$Q554=Parametres!$G$3),J554,D554)</f>
        <v>0</v>
      </c>
      <c r="P554" s="155">
        <f>+IF(OR($Q554=Parametres!$G$2,$Q554=Parametres!$G$3),K554,E554)</f>
        <v>0</v>
      </c>
      <c r="Q554" s="154">
        <f t="shared" si="57"/>
        <v>0</v>
      </c>
      <c r="R554" s="153">
        <f t="shared" si="58"/>
        <v>0</v>
      </c>
      <c r="S554" s="154">
        <f t="shared" si="59"/>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hidden="1" customHeight="1">
      <c r="A555" s="150"/>
      <c r="B555" s="150"/>
      <c r="C555" s="151"/>
      <c r="D555" s="151"/>
      <c r="E555" s="151"/>
      <c r="F555" s="150"/>
      <c r="G555" s="150"/>
      <c r="H555" s="150"/>
      <c r="I555" s="157"/>
      <c r="J555" s="157"/>
      <c r="K555" s="157"/>
      <c r="L555" s="153">
        <f t="shared" si="55"/>
        <v>0</v>
      </c>
      <c r="M555" s="154">
        <f t="shared" si="56"/>
        <v>0</v>
      </c>
      <c r="N555" s="155">
        <f>+IF(OR($Q555=Parametres!$G$2,$Q555=Parametres!$G$3),I555,C555)</f>
        <v>0</v>
      </c>
      <c r="O555" s="155">
        <f>+IF(OR($Q555=Parametres!$G$2,$Q555=Parametres!$G$3),J555,D555)</f>
        <v>0</v>
      </c>
      <c r="P555" s="155">
        <f>+IF(OR($Q555=Parametres!$G$2,$Q555=Parametres!$G$3),K555,E555)</f>
        <v>0</v>
      </c>
      <c r="Q555" s="154">
        <f t="shared" si="57"/>
        <v>0</v>
      </c>
      <c r="R555" s="153">
        <f t="shared" si="58"/>
        <v>0</v>
      </c>
      <c r="S555" s="154">
        <f t="shared" si="59"/>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hidden="1" customHeight="1">
      <c r="A556" s="150"/>
      <c r="B556" s="150"/>
      <c r="C556" s="151"/>
      <c r="D556" s="151"/>
      <c r="E556" s="151"/>
      <c r="F556" s="150"/>
      <c r="G556" s="150"/>
      <c r="H556" s="150"/>
      <c r="I556" s="157"/>
      <c r="J556" s="157"/>
      <c r="K556" s="157"/>
      <c r="L556" s="153">
        <f t="shared" si="55"/>
        <v>0</v>
      </c>
      <c r="M556" s="154">
        <f t="shared" si="56"/>
        <v>0</v>
      </c>
      <c r="N556" s="155">
        <f>+IF(OR($Q556=Parametres!$G$2,$Q556=Parametres!$G$3),I556,C556)</f>
        <v>0</v>
      </c>
      <c r="O556" s="155">
        <f>+IF(OR($Q556=Parametres!$G$2,$Q556=Parametres!$G$3),J556,D556)</f>
        <v>0</v>
      </c>
      <c r="P556" s="155">
        <f>+IF(OR($Q556=Parametres!$G$2,$Q556=Parametres!$G$3),K556,E556)</f>
        <v>0</v>
      </c>
      <c r="Q556" s="154">
        <f t="shared" si="57"/>
        <v>0</v>
      </c>
      <c r="R556" s="153">
        <f t="shared" si="58"/>
        <v>0</v>
      </c>
      <c r="S556" s="154">
        <f t="shared" si="59"/>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hidden="1" customHeight="1">
      <c r="A557" s="150"/>
      <c r="B557" s="150"/>
      <c r="C557" s="151"/>
      <c r="D557" s="151"/>
      <c r="E557" s="151"/>
      <c r="F557" s="150"/>
      <c r="G557" s="150"/>
      <c r="H557" s="150"/>
      <c r="I557" s="157"/>
      <c r="J557" s="157"/>
      <c r="K557" s="157"/>
      <c r="L557" s="153">
        <f t="shared" si="55"/>
        <v>0</v>
      </c>
      <c r="M557" s="154">
        <f t="shared" si="56"/>
        <v>0</v>
      </c>
      <c r="N557" s="155">
        <f>+IF(OR($Q557=Parametres!$G$2,$Q557=Parametres!$G$3),I557,C557)</f>
        <v>0</v>
      </c>
      <c r="O557" s="155">
        <f>+IF(OR($Q557=Parametres!$G$2,$Q557=Parametres!$G$3),J557,D557)</f>
        <v>0</v>
      </c>
      <c r="P557" s="155">
        <f>+IF(OR($Q557=Parametres!$G$2,$Q557=Parametres!$G$3),K557,E557)</f>
        <v>0</v>
      </c>
      <c r="Q557" s="154">
        <f t="shared" si="57"/>
        <v>0</v>
      </c>
      <c r="R557" s="153">
        <f t="shared" si="58"/>
        <v>0</v>
      </c>
      <c r="S557" s="154">
        <f t="shared" si="59"/>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hidden="1" customHeight="1">
      <c r="A558" s="150"/>
      <c r="B558" s="150"/>
      <c r="C558" s="151"/>
      <c r="D558" s="151"/>
      <c r="E558" s="151"/>
      <c r="F558" s="150"/>
      <c r="G558" s="150"/>
      <c r="H558" s="150"/>
      <c r="I558" s="157"/>
      <c r="J558" s="157"/>
      <c r="K558" s="157"/>
      <c r="L558" s="153">
        <f t="shared" si="55"/>
        <v>0</v>
      </c>
      <c r="M558" s="154">
        <f t="shared" si="56"/>
        <v>0</v>
      </c>
      <c r="N558" s="155">
        <f>+IF(OR($Q558=Parametres!$G$2,$Q558=Parametres!$G$3),I558,C558)</f>
        <v>0</v>
      </c>
      <c r="O558" s="155">
        <f>+IF(OR($Q558=Parametres!$G$2,$Q558=Parametres!$G$3),J558,D558)</f>
        <v>0</v>
      </c>
      <c r="P558" s="155">
        <f>+IF(OR($Q558=Parametres!$G$2,$Q558=Parametres!$G$3),K558,E558)</f>
        <v>0</v>
      </c>
      <c r="Q558" s="154">
        <f t="shared" si="57"/>
        <v>0</v>
      </c>
      <c r="R558" s="153">
        <f t="shared" si="58"/>
        <v>0</v>
      </c>
      <c r="S558" s="154">
        <f t="shared" si="59"/>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hidden="1" customHeight="1">
      <c r="A559" s="150"/>
      <c r="B559" s="150"/>
      <c r="C559" s="151"/>
      <c r="D559" s="151"/>
      <c r="E559" s="151"/>
      <c r="F559" s="150"/>
      <c r="G559" s="150"/>
      <c r="H559" s="150"/>
      <c r="I559" s="157"/>
      <c r="J559" s="157"/>
      <c r="K559" s="157"/>
      <c r="L559" s="153">
        <f t="shared" si="55"/>
        <v>0</v>
      </c>
      <c r="M559" s="154">
        <f t="shared" si="56"/>
        <v>0</v>
      </c>
      <c r="N559" s="155">
        <f>+IF(OR($Q559=Parametres!$G$2,$Q559=Parametres!$G$3),I559,C559)</f>
        <v>0</v>
      </c>
      <c r="O559" s="155">
        <f>+IF(OR($Q559=Parametres!$G$2,$Q559=Parametres!$G$3),J559,D559)</f>
        <v>0</v>
      </c>
      <c r="P559" s="155">
        <f>+IF(OR($Q559=Parametres!$G$2,$Q559=Parametres!$G$3),K559,E559)</f>
        <v>0</v>
      </c>
      <c r="Q559" s="154">
        <f t="shared" si="57"/>
        <v>0</v>
      </c>
      <c r="R559" s="153">
        <f t="shared" si="58"/>
        <v>0</v>
      </c>
      <c r="S559" s="154">
        <f t="shared" si="59"/>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hidden="1" customHeight="1">
      <c r="A560" s="150"/>
      <c r="B560" s="150"/>
      <c r="C560" s="151"/>
      <c r="D560" s="151"/>
      <c r="E560" s="151"/>
      <c r="F560" s="150"/>
      <c r="G560" s="150"/>
      <c r="H560" s="150"/>
      <c r="I560" s="157"/>
      <c r="J560" s="157"/>
      <c r="K560" s="157"/>
      <c r="L560" s="153">
        <f t="shared" si="55"/>
        <v>0</v>
      </c>
      <c r="M560" s="154">
        <f t="shared" si="56"/>
        <v>0</v>
      </c>
      <c r="N560" s="155">
        <f>+IF(OR($Q560=Parametres!$G$2,$Q560=Parametres!$G$3),I560,C560)</f>
        <v>0</v>
      </c>
      <c r="O560" s="155">
        <f>+IF(OR($Q560=Parametres!$G$2,$Q560=Parametres!$G$3),J560,D560)</f>
        <v>0</v>
      </c>
      <c r="P560" s="155">
        <f>+IF(OR($Q560=Parametres!$G$2,$Q560=Parametres!$G$3),K560,E560)</f>
        <v>0</v>
      </c>
      <c r="Q560" s="154">
        <f t="shared" si="57"/>
        <v>0</v>
      </c>
      <c r="R560" s="153">
        <f t="shared" si="58"/>
        <v>0</v>
      </c>
      <c r="S560" s="154">
        <f t="shared" si="59"/>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hidden="1" customHeight="1">
      <c r="A561" s="150"/>
      <c r="B561" s="150"/>
      <c r="C561" s="151"/>
      <c r="D561" s="151"/>
      <c r="E561" s="151"/>
      <c r="F561" s="150"/>
      <c r="G561" s="150"/>
      <c r="H561" s="150"/>
      <c r="I561" s="157"/>
      <c r="J561" s="157"/>
      <c r="K561" s="157"/>
      <c r="L561" s="153">
        <f t="shared" si="55"/>
        <v>0</v>
      </c>
      <c r="M561" s="154">
        <f t="shared" si="56"/>
        <v>0</v>
      </c>
      <c r="N561" s="155">
        <f>+IF(OR($Q561=Parametres!$G$2,$Q561=Parametres!$G$3),I561,C561)</f>
        <v>0</v>
      </c>
      <c r="O561" s="155">
        <f>+IF(OR($Q561=Parametres!$G$2,$Q561=Parametres!$G$3),J561,D561)</f>
        <v>0</v>
      </c>
      <c r="P561" s="155">
        <f>+IF(OR($Q561=Parametres!$G$2,$Q561=Parametres!$G$3),K561,E561)</f>
        <v>0</v>
      </c>
      <c r="Q561" s="154">
        <f t="shared" si="57"/>
        <v>0</v>
      </c>
      <c r="R561" s="153">
        <f t="shared" si="58"/>
        <v>0</v>
      </c>
      <c r="S561" s="154">
        <f t="shared" si="59"/>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hidden="1" customHeight="1">
      <c r="A562" s="150"/>
      <c r="B562" s="150"/>
      <c r="C562" s="151"/>
      <c r="D562" s="151"/>
      <c r="E562" s="151"/>
      <c r="F562" s="150"/>
      <c r="G562" s="150"/>
      <c r="H562" s="150"/>
      <c r="I562" s="157"/>
      <c r="J562" s="157"/>
      <c r="K562" s="157"/>
      <c r="L562" s="153">
        <f t="shared" si="55"/>
        <v>0</v>
      </c>
      <c r="M562" s="154">
        <f t="shared" si="56"/>
        <v>0</v>
      </c>
      <c r="N562" s="155">
        <f>+IF(OR($Q562=Parametres!$G$2,$Q562=Parametres!$G$3),I562,C562)</f>
        <v>0</v>
      </c>
      <c r="O562" s="155">
        <f>+IF(OR($Q562=Parametres!$G$2,$Q562=Parametres!$G$3),J562,D562)</f>
        <v>0</v>
      </c>
      <c r="P562" s="155">
        <f>+IF(OR($Q562=Parametres!$G$2,$Q562=Parametres!$G$3),K562,E562)</f>
        <v>0</v>
      </c>
      <c r="Q562" s="154">
        <f t="shared" si="57"/>
        <v>0</v>
      </c>
      <c r="R562" s="153">
        <f t="shared" si="58"/>
        <v>0</v>
      </c>
      <c r="S562" s="154">
        <f t="shared" si="59"/>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hidden="1" customHeight="1">
      <c r="A563" s="150"/>
      <c r="B563" s="150"/>
      <c r="C563" s="151"/>
      <c r="D563" s="151"/>
      <c r="E563" s="151"/>
      <c r="F563" s="150"/>
      <c r="G563" s="150"/>
      <c r="H563" s="150"/>
      <c r="I563" s="157"/>
      <c r="J563" s="157"/>
      <c r="K563" s="157"/>
      <c r="L563" s="153">
        <f t="shared" si="55"/>
        <v>0</v>
      </c>
      <c r="M563" s="154">
        <f t="shared" si="56"/>
        <v>0</v>
      </c>
      <c r="N563" s="155">
        <f>+IF(OR($Q563=Parametres!$G$2,$Q563=Parametres!$G$3),I563,C563)</f>
        <v>0</v>
      </c>
      <c r="O563" s="155">
        <f>+IF(OR($Q563=Parametres!$G$2,$Q563=Parametres!$G$3),J563,D563)</f>
        <v>0</v>
      </c>
      <c r="P563" s="155">
        <f>+IF(OR($Q563=Parametres!$G$2,$Q563=Parametres!$G$3),K563,E563)</f>
        <v>0</v>
      </c>
      <c r="Q563" s="154">
        <f t="shared" si="57"/>
        <v>0</v>
      </c>
      <c r="R563" s="153">
        <f t="shared" si="58"/>
        <v>0</v>
      </c>
      <c r="S563" s="154">
        <f t="shared" si="59"/>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hidden="1" customHeight="1">
      <c r="A564" s="150"/>
      <c r="B564" s="150"/>
      <c r="C564" s="151"/>
      <c r="D564" s="151"/>
      <c r="E564" s="151"/>
      <c r="F564" s="150"/>
      <c r="G564" s="150"/>
      <c r="H564" s="150"/>
      <c r="I564" s="157"/>
      <c r="J564" s="157"/>
      <c r="K564" s="157"/>
      <c r="L564" s="153">
        <f t="shared" si="55"/>
        <v>0</v>
      </c>
      <c r="M564" s="154">
        <f t="shared" si="56"/>
        <v>0</v>
      </c>
      <c r="N564" s="155">
        <f>+IF(OR($Q564=Parametres!$G$2,$Q564=Parametres!$G$3),I564,C564)</f>
        <v>0</v>
      </c>
      <c r="O564" s="155">
        <f>+IF(OR($Q564=Parametres!$G$2,$Q564=Parametres!$G$3),J564,D564)</f>
        <v>0</v>
      </c>
      <c r="P564" s="155">
        <f>+IF(OR($Q564=Parametres!$G$2,$Q564=Parametres!$G$3),K564,E564)</f>
        <v>0</v>
      </c>
      <c r="Q564" s="154">
        <f t="shared" si="57"/>
        <v>0</v>
      </c>
      <c r="R564" s="153">
        <f t="shared" si="58"/>
        <v>0</v>
      </c>
      <c r="S564" s="154">
        <f t="shared" si="59"/>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hidden="1" customHeight="1">
      <c r="A565" s="150"/>
      <c r="B565" s="150"/>
      <c r="C565" s="151"/>
      <c r="D565" s="151"/>
      <c r="E565" s="151"/>
      <c r="F565" s="150"/>
      <c r="G565" s="150"/>
      <c r="H565" s="150"/>
      <c r="I565" s="157"/>
      <c r="J565" s="157"/>
      <c r="K565" s="157"/>
      <c r="L565" s="153">
        <f t="shared" si="55"/>
        <v>0</v>
      </c>
      <c r="M565" s="154">
        <f t="shared" si="56"/>
        <v>0</v>
      </c>
      <c r="N565" s="155">
        <f>+IF(OR($Q565=Parametres!$G$2,$Q565=Parametres!$G$3),I565,C565)</f>
        <v>0</v>
      </c>
      <c r="O565" s="155">
        <f>+IF(OR($Q565=Parametres!$G$2,$Q565=Parametres!$G$3),J565,D565)</f>
        <v>0</v>
      </c>
      <c r="P565" s="155">
        <f>+IF(OR($Q565=Parametres!$G$2,$Q565=Parametres!$G$3),K565,E565)</f>
        <v>0</v>
      </c>
      <c r="Q565" s="154">
        <f t="shared" si="57"/>
        <v>0</v>
      </c>
      <c r="R565" s="153">
        <f t="shared" si="58"/>
        <v>0</v>
      </c>
      <c r="S565" s="154">
        <f t="shared" si="59"/>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hidden="1" customHeight="1">
      <c r="A566" s="150"/>
      <c r="B566" s="150"/>
      <c r="C566" s="151"/>
      <c r="D566" s="151"/>
      <c r="E566" s="151"/>
      <c r="F566" s="150"/>
      <c r="G566" s="150"/>
      <c r="H566" s="150"/>
      <c r="I566" s="157"/>
      <c r="J566" s="157"/>
      <c r="K566" s="157"/>
      <c r="L566" s="153">
        <f t="shared" si="55"/>
        <v>0</v>
      </c>
      <c r="M566" s="154">
        <f t="shared" si="56"/>
        <v>0</v>
      </c>
      <c r="N566" s="155">
        <f>+IF(OR($Q566=Parametres!$G$2,$Q566=Parametres!$G$3),I566,C566)</f>
        <v>0</v>
      </c>
      <c r="O566" s="155">
        <f>+IF(OR($Q566=Parametres!$G$2,$Q566=Parametres!$G$3),J566,D566)</f>
        <v>0</v>
      </c>
      <c r="P566" s="155">
        <f>+IF(OR($Q566=Parametres!$G$2,$Q566=Parametres!$G$3),K566,E566)</f>
        <v>0</v>
      </c>
      <c r="Q566" s="154">
        <f t="shared" si="57"/>
        <v>0</v>
      </c>
      <c r="R566" s="153">
        <f t="shared" si="58"/>
        <v>0</v>
      </c>
      <c r="S566" s="154">
        <f t="shared" si="59"/>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hidden="1" customHeight="1">
      <c r="A567" s="150"/>
      <c r="B567" s="150"/>
      <c r="C567" s="151"/>
      <c r="D567" s="151"/>
      <c r="E567" s="151"/>
      <c r="F567" s="150"/>
      <c r="G567" s="150"/>
      <c r="H567" s="150"/>
      <c r="I567" s="157"/>
      <c r="J567" s="157"/>
      <c r="K567" s="157"/>
      <c r="L567" s="153">
        <f t="shared" si="55"/>
        <v>0</v>
      </c>
      <c r="M567" s="154">
        <f t="shared" si="56"/>
        <v>0</v>
      </c>
      <c r="N567" s="155">
        <f>+IF(OR($Q567=Parametres!$G$2,$Q567=Parametres!$G$3),I567,C567)</f>
        <v>0</v>
      </c>
      <c r="O567" s="155">
        <f>+IF(OR($Q567=Parametres!$G$2,$Q567=Parametres!$G$3),J567,D567)</f>
        <v>0</v>
      </c>
      <c r="P567" s="155">
        <f>+IF(OR($Q567=Parametres!$G$2,$Q567=Parametres!$G$3),K567,E567)</f>
        <v>0</v>
      </c>
      <c r="Q567" s="154">
        <f t="shared" si="57"/>
        <v>0</v>
      </c>
      <c r="R567" s="153">
        <f t="shared" si="58"/>
        <v>0</v>
      </c>
      <c r="S567" s="154">
        <f t="shared" si="59"/>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hidden="1" customHeight="1">
      <c r="A568" s="150"/>
      <c r="B568" s="150"/>
      <c r="C568" s="151"/>
      <c r="D568" s="151"/>
      <c r="E568" s="151"/>
      <c r="F568" s="150"/>
      <c r="G568" s="150"/>
      <c r="H568" s="150"/>
      <c r="I568" s="157"/>
      <c r="J568" s="157"/>
      <c r="K568" s="157"/>
      <c r="L568" s="153">
        <f t="shared" si="55"/>
        <v>0</v>
      </c>
      <c r="M568" s="154">
        <f t="shared" si="56"/>
        <v>0</v>
      </c>
      <c r="N568" s="155">
        <f>+IF(OR($Q568=Parametres!$G$2,$Q568=Parametres!$G$3),I568,C568)</f>
        <v>0</v>
      </c>
      <c r="O568" s="155">
        <f>+IF(OR($Q568=Parametres!$G$2,$Q568=Parametres!$G$3),J568,D568)</f>
        <v>0</v>
      </c>
      <c r="P568" s="155">
        <f>+IF(OR($Q568=Parametres!$G$2,$Q568=Parametres!$G$3),K568,E568)</f>
        <v>0</v>
      </c>
      <c r="Q568" s="154">
        <f t="shared" si="57"/>
        <v>0</v>
      </c>
      <c r="R568" s="153">
        <f t="shared" si="58"/>
        <v>0</v>
      </c>
      <c r="S568" s="154">
        <f t="shared" si="59"/>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hidden="1" customHeight="1">
      <c r="A569" s="150"/>
      <c r="B569" s="150"/>
      <c r="C569" s="151"/>
      <c r="D569" s="151"/>
      <c r="E569" s="151"/>
      <c r="F569" s="150"/>
      <c r="G569" s="150"/>
      <c r="H569" s="150"/>
      <c r="I569" s="157"/>
      <c r="J569" s="157"/>
      <c r="K569" s="157"/>
      <c r="L569" s="153">
        <f t="shared" si="55"/>
        <v>0</v>
      </c>
      <c r="M569" s="154">
        <f t="shared" si="56"/>
        <v>0</v>
      </c>
      <c r="N569" s="155">
        <f>+IF(OR($Q569=Parametres!$G$2,$Q569=Parametres!$G$3),I569,C569)</f>
        <v>0</v>
      </c>
      <c r="O569" s="155">
        <f>+IF(OR($Q569=Parametres!$G$2,$Q569=Parametres!$G$3),J569,D569)</f>
        <v>0</v>
      </c>
      <c r="P569" s="155">
        <f>+IF(OR($Q569=Parametres!$G$2,$Q569=Parametres!$G$3),K569,E569)</f>
        <v>0</v>
      </c>
      <c r="Q569" s="154">
        <f t="shared" si="57"/>
        <v>0</v>
      </c>
      <c r="R569" s="153">
        <f t="shared" si="58"/>
        <v>0</v>
      </c>
      <c r="S569" s="154">
        <f t="shared" si="59"/>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hidden="1" customHeight="1">
      <c r="A570" s="150"/>
      <c r="B570" s="150"/>
      <c r="C570" s="151"/>
      <c r="D570" s="151"/>
      <c r="E570" s="151"/>
      <c r="F570" s="150"/>
      <c r="G570" s="150"/>
      <c r="H570" s="150"/>
      <c r="I570" s="157"/>
      <c r="J570" s="157"/>
      <c r="K570" s="157"/>
      <c r="L570" s="153">
        <f t="shared" si="55"/>
        <v>0</v>
      </c>
      <c r="M570" s="154">
        <f t="shared" si="56"/>
        <v>0</v>
      </c>
      <c r="N570" s="155">
        <f>+IF(OR($Q570=Parametres!$G$2,$Q570=Parametres!$G$3),I570,C570)</f>
        <v>0</v>
      </c>
      <c r="O570" s="155">
        <f>+IF(OR($Q570=Parametres!$G$2,$Q570=Parametres!$G$3),J570,D570)</f>
        <v>0</v>
      </c>
      <c r="P570" s="155">
        <f>+IF(OR($Q570=Parametres!$G$2,$Q570=Parametres!$G$3),K570,E570)</f>
        <v>0</v>
      </c>
      <c r="Q570" s="154">
        <f t="shared" si="57"/>
        <v>0</v>
      </c>
      <c r="R570" s="153">
        <f t="shared" si="58"/>
        <v>0</v>
      </c>
      <c r="S570" s="154">
        <f t="shared" si="59"/>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hidden="1" customHeight="1">
      <c r="A571" s="150"/>
      <c r="B571" s="150"/>
      <c r="C571" s="151"/>
      <c r="D571" s="151"/>
      <c r="E571" s="151"/>
      <c r="F571" s="150"/>
      <c r="G571" s="150"/>
      <c r="H571" s="150"/>
      <c r="I571" s="157"/>
      <c r="J571" s="157"/>
      <c r="K571" s="157"/>
      <c r="L571" s="153">
        <f t="shared" si="55"/>
        <v>0</v>
      </c>
      <c r="M571" s="154">
        <f t="shared" si="56"/>
        <v>0</v>
      </c>
      <c r="N571" s="155">
        <f>+IF(OR($Q571=Parametres!$G$2,$Q571=Parametres!$G$3),I571,C571)</f>
        <v>0</v>
      </c>
      <c r="O571" s="155">
        <f>+IF(OR($Q571=Parametres!$G$2,$Q571=Parametres!$G$3),J571,D571)</f>
        <v>0</v>
      </c>
      <c r="P571" s="155">
        <f>+IF(OR($Q571=Parametres!$G$2,$Q571=Parametres!$G$3),K571,E571)</f>
        <v>0</v>
      </c>
      <c r="Q571" s="154">
        <f t="shared" si="57"/>
        <v>0</v>
      </c>
      <c r="R571" s="153">
        <f t="shared" si="58"/>
        <v>0</v>
      </c>
      <c r="S571" s="154">
        <f t="shared" si="59"/>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hidden="1" customHeight="1">
      <c r="A572" s="150"/>
      <c r="B572" s="150"/>
      <c r="C572" s="151"/>
      <c r="D572" s="151"/>
      <c r="E572" s="151"/>
      <c r="F572" s="150"/>
      <c r="G572" s="150"/>
      <c r="H572" s="150"/>
      <c r="I572" s="157"/>
      <c r="J572" s="157"/>
      <c r="K572" s="157"/>
      <c r="L572" s="153">
        <f t="shared" si="55"/>
        <v>0</v>
      </c>
      <c r="M572" s="154">
        <f t="shared" si="56"/>
        <v>0</v>
      </c>
      <c r="N572" s="155">
        <f>+IF(OR($Q572=Parametres!$G$2,$Q572=Parametres!$G$3),I572,C572)</f>
        <v>0</v>
      </c>
      <c r="O572" s="155">
        <f>+IF(OR($Q572=Parametres!$G$2,$Q572=Parametres!$G$3),J572,D572)</f>
        <v>0</v>
      </c>
      <c r="P572" s="155">
        <f>+IF(OR($Q572=Parametres!$G$2,$Q572=Parametres!$G$3),K572,E572)</f>
        <v>0</v>
      </c>
      <c r="Q572" s="154">
        <f t="shared" si="57"/>
        <v>0</v>
      </c>
      <c r="R572" s="153">
        <f t="shared" si="58"/>
        <v>0</v>
      </c>
      <c r="S572" s="154">
        <f t="shared" si="59"/>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hidden="1" customHeight="1">
      <c r="A573" s="150"/>
      <c r="B573" s="150"/>
      <c r="C573" s="151"/>
      <c r="D573" s="151"/>
      <c r="E573" s="151"/>
      <c r="F573" s="150"/>
      <c r="G573" s="150"/>
      <c r="H573" s="150"/>
      <c r="I573" s="157"/>
      <c r="J573" s="157"/>
      <c r="K573" s="157"/>
      <c r="L573" s="153">
        <f t="shared" si="55"/>
        <v>0</v>
      </c>
      <c r="M573" s="154">
        <f t="shared" si="56"/>
        <v>0</v>
      </c>
      <c r="N573" s="155">
        <f>+IF(OR($Q573=Parametres!$G$2,$Q573=Parametres!$G$3),I573,C573)</f>
        <v>0</v>
      </c>
      <c r="O573" s="155">
        <f>+IF(OR($Q573=Parametres!$G$2,$Q573=Parametres!$G$3),J573,D573)</f>
        <v>0</v>
      </c>
      <c r="P573" s="155">
        <f>+IF(OR($Q573=Parametres!$G$2,$Q573=Parametres!$G$3),K573,E573)</f>
        <v>0</v>
      </c>
      <c r="Q573" s="154">
        <f t="shared" si="57"/>
        <v>0</v>
      </c>
      <c r="R573" s="153">
        <f t="shared" si="58"/>
        <v>0</v>
      </c>
      <c r="S573" s="154">
        <f t="shared" si="59"/>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hidden="1" customHeight="1">
      <c r="A574" s="150"/>
      <c r="B574" s="150"/>
      <c r="C574" s="151"/>
      <c r="D574" s="151"/>
      <c r="E574" s="151"/>
      <c r="F574" s="150"/>
      <c r="G574" s="150"/>
      <c r="H574" s="150"/>
      <c r="I574" s="157"/>
      <c r="J574" s="157"/>
      <c r="K574" s="157"/>
      <c r="L574" s="153">
        <f t="shared" si="55"/>
        <v>0</v>
      </c>
      <c r="M574" s="154">
        <f t="shared" si="56"/>
        <v>0</v>
      </c>
      <c r="N574" s="155">
        <f>+IF(OR($Q574=Parametres!$G$2,$Q574=Parametres!$G$3),I574,C574)</f>
        <v>0</v>
      </c>
      <c r="O574" s="155">
        <f>+IF(OR($Q574=Parametres!$G$2,$Q574=Parametres!$G$3),J574,D574)</f>
        <v>0</v>
      </c>
      <c r="P574" s="155">
        <f>+IF(OR($Q574=Parametres!$G$2,$Q574=Parametres!$G$3),K574,E574)</f>
        <v>0</v>
      </c>
      <c r="Q574" s="154">
        <f t="shared" si="57"/>
        <v>0</v>
      </c>
      <c r="R574" s="153">
        <f t="shared" si="58"/>
        <v>0</v>
      </c>
      <c r="S574" s="154">
        <f t="shared" si="59"/>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50"/>
      <c r="B575" s="150"/>
      <c r="C575" s="151"/>
      <c r="D575" s="151"/>
      <c r="E575" s="151"/>
      <c r="F575" s="150"/>
      <c r="G575" s="150"/>
      <c r="H575" s="150"/>
      <c r="I575" s="157"/>
      <c r="J575" s="157"/>
      <c r="K575" s="157"/>
      <c r="L575" s="153">
        <f t="shared" si="55"/>
        <v>0</v>
      </c>
      <c r="M575" s="154">
        <f t="shared" si="56"/>
        <v>0</v>
      </c>
      <c r="N575" s="155">
        <f>+IF(OR($Q575=Parametres!$G$2,$Q575=Parametres!$G$3),I575,C575)</f>
        <v>0</v>
      </c>
      <c r="O575" s="155">
        <f>+IF(OR($Q575=Parametres!$G$2,$Q575=Parametres!$G$3),J575,D575)</f>
        <v>0</v>
      </c>
      <c r="P575" s="155">
        <f>+IF(OR($Q575=Parametres!$G$2,$Q575=Parametres!$G$3),K575,E575)</f>
        <v>0</v>
      </c>
      <c r="Q575" s="154">
        <f t="shared" si="57"/>
        <v>0</v>
      </c>
      <c r="R575" s="153">
        <f t="shared" si="58"/>
        <v>0</v>
      </c>
      <c r="S575" s="154">
        <f t="shared" si="59"/>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55"/>
        <v>0</v>
      </c>
      <c r="M576" s="154">
        <f t="shared" si="56"/>
        <v>0</v>
      </c>
      <c r="N576" s="155">
        <f>+IF(OR($Q576=Parametres!$G$2,$Q576=Parametres!$G$3),I576,C576)</f>
        <v>0</v>
      </c>
      <c r="O576" s="155">
        <f>+IF(OR($Q576=Parametres!$G$2,$Q576=Parametres!$G$3),J576,D576)</f>
        <v>0</v>
      </c>
      <c r="P576" s="155">
        <f>+IF(OR($Q576=Parametres!$G$2,$Q576=Parametres!$G$3),K576,E576)</f>
        <v>0</v>
      </c>
      <c r="Q576" s="154">
        <f t="shared" si="57"/>
        <v>0</v>
      </c>
      <c r="R576" s="153">
        <f t="shared" si="58"/>
        <v>0</v>
      </c>
      <c r="S576" s="154">
        <f t="shared" si="59"/>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hidden="1" customHeight="1">
      <c r="A577" s="150"/>
      <c r="B577" s="150"/>
      <c r="C577" s="151"/>
      <c r="D577" s="151"/>
      <c r="E577" s="151"/>
      <c r="F577" s="150"/>
      <c r="G577" s="150"/>
      <c r="H577" s="150"/>
      <c r="I577" s="157"/>
      <c r="J577" s="157"/>
      <c r="K577" s="157"/>
      <c r="L577" s="153">
        <f t="shared" si="55"/>
        <v>0</v>
      </c>
      <c r="M577" s="154">
        <f t="shared" si="56"/>
        <v>0</v>
      </c>
      <c r="N577" s="155">
        <f>+IF(OR($Q577=Parametres!$G$2,$Q577=Parametres!$G$3),I577,C577)</f>
        <v>0</v>
      </c>
      <c r="O577" s="155">
        <f>+IF(OR($Q577=Parametres!$G$2,$Q577=Parametres!$G$3),J577,D577)</f>
        <v>0</v>
      </c>
      <c r="P577" s="155">
        <f>+IF(OR($Q577=Parametres!$G$2,$Q577=Parametres!$G$3),K577,E577)</f>
        <v>0</v>
      </c>
      <c r="Q577" s="154">
        <f t="shared" si="57"/>
        <v>0</v>
      </c>
      <c r="R577" s="153">
        <f t="shared" si="58"/>
        <v>0</v>
      </c>
      <c r="S577" s="154">
        <f t="shared" si="59"/>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hidden="1" customHeight="1">
      <c r="A578" s="150"/>
      <c r="B578" s="150"/>
      <c r="C578" s="151"/>
      <c r="D578" s="151"/>
      <c r="E578" s="151"/>
      <c r="F578" s="150"/>
      <c r="G578" s="150"/>
      <c r="H578" s="150"/>
      <c r="I578" s="157"/>
      <c r="J578" s="157"/>
      <c r="K578" s="157"/>
      <c r="L578" s="153">
        <f t="shared" ref="L578:L641" si="60">+B578</f>
        <v>0</v>
      </c>
      <c r="M578" s="154">
        <f t="shared" ref="M578:M641" si="61">+A578</f>
        <v>0</v>
      </c>
      <c r="N578" s="155">
        <f>+IF(OR($Q578=Parametres!$G$2,$Q578=Parametres!$G$3),I578,C578)</f>
        <v>0</v>
      </c>
      <c r="O578" s="155">
        <f>+IF(OR($Q578=Parametres!$G$2,$Q578=Parametres!$G$3),J578,D578)</f>
        <v>0</v>
      </c>
      <c r="P578" s="155">
        <f>+IF(OR($Q578=Parametres!$G$2,$Q578=Parametres!$G$3),K578,E578)</f>
        <v>0</v>
      </c>
      <c r="Q578" s="154">
        <f t="shared" ref="Q578:Q641" si="62">+F578</f>
        <v>0</v>
      </c>
      <c r="R578" s="153">
        <f t="shared" ref="R578:R641" si="63">+G578</f>
        <v>0</v>
      </c>
      <c r="S578" s="154">
        <f t="shared" ref="S578:S641" si="64">+H578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hidden="1" customHeight="1">
      <c r="A579" s="150"/>
      <c r="B579" s="150"/>
      <c r="C579" s="151"/>
      <c r="D579" s="151"/>
      <c r="E579" s="151"/>
      <c r="F579" s="150"/>
      <c r="G579" s="150"/>
      <c r="H579" s="150"/>
      <c r="I579" s="157"/>
      <c r="J579" s="157"/>
      <c r="K579" s="157"/>
      <c r="L579" s="153">
        <f t="shared" si="60"/>
        <v>0</v>
      </c>
      <c r="M579" s="154">
        <f t="shared" si="61"/>
        <v>0</v>
      </c>
      <c r="N579" s="155">
        <f>+IF(OR($Q579=Parametres!$G$2,$Q579=Parametres!$G$3),I579,C579)</f>
        <v>0</v>
      </c>
      <c r="O579" s="155">
        <f>+IF(OR($Q579=Parametres!$G$2,$Q579=Parametres!$G$3),J579,D579)</f>
        <v>0</v>
      </c>
      <c r="P579" s="155">
        <f>+IF(OR($Q579=Parametres!$G$2,$Q579=Parametres!$G$3),K579,E579)</f>
        <v>0</v>
      </c>
      <c r="Q579" s="154">
        <f t="shared" si="62"/>
        <v>0</v>
      </c>
      <c r="R579" s="153">
        <f t="shared" si="63"/>
        <v>0</v>
      </c>
      <c r="S579" s="154">
        <f t="shared" si="64"/>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hidden="1" customHeight="1">
      <c r="A580" s="150"/>
      <c r="B580" s="150"/>
      <c r="C580" s="151"/>
      <c r="D580" s="151"/>
      <c r="E580" s="151"/>
      <c r="F580" s="150"/>
      <c r="G580" s="150"/>
      <c r="H580" s="150"/>
      <c r="I580" s="157"/>
      <c r="J580" s="157"/>
      <c r="K580" s="157"/>
      <c r="L580" s="153">
        <f t="shared" si="60"/>
        <v>0</v>
      </c>
      <c r="M580" s="154">
        <f t="shared" si="61"/>
        <v>0</v>
      </c>
      <c r="N580" s="155">
        <f>+IF(OR($Q580=Parametres!$G$2,$Q580=Parametres!$G$3),I580,C580)</f>
        <v>0</v>
      </c>
      <c r="O580" s="155">
        <f>+IF(OR($Q580=Parametres!$G$2,$Q580=Parametres!$G$3),J580,D580)</f>
        <v>0</v>
      </c>
      <c r="P580" s="155">
        <f>+IF(OR($Q580=Parametres!$G$2,$Q580=Parametres!$G$3),K580,E580)</f>
        <v>0</v>
      </c>
      <c r="Q580" s="154">
        <f t="shared" si="62"/>
        <v>0</v>
      </c>
      <c r="R580" s="153">
        <f t="shared" si="63"/>
        <v>0</v>
      </c>
      <c r="S580" s="154">
        <f t="shared" si="64"/>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hidden="1" customHeight="1">
      <c r="A581" s="150"/>
      <c r="B581" s="150"/>
      <c r="C581" s="151"/>
      <c r="D581" s="151"/>
      <c r="E581" s="151"/>
      <c r="F581" s="150"/>
      <c r="G581" s="150"/>
      <c r="H581" s="150"/>
      <c r="I581" s="157"/>
      <c r="J581" s="157"/>
      <c r="K581" s="157"/>
      <c r="L581" s="153">
        <f t="shared" si="60"/>
        <v>0</v>
      </c>
      <c r="M581" s="154">
        <f t="shared" si="61"/>
        <v>0</v>
      </c>
      <c r="N581" s="155">
        <f>+IF(OR($Q581=Parametres!$G$2,$Q581=Parametres!$G$3),I581,C581)</f>
        <v>0</v>
      </c>
      <c r="O581" s="155">
        <f>+IF(OR($Q581=Parametres!$G$2,$Q581=Parametres!$G$3),J581,D581)</f>
        <v>0</v>
      </c>
      <c r="P581" s="155">
        <f>+IF(OR($Q581=Parametres!$G$2,$Q581=Parametres!$G$3),K581,E581)</f>
        <v>0</v>
      </c>
      <c r="Q581" s="154">
        <f t="shared" si="62"/>
        <v>0</v>
      </c>
      <c r="R581" s="153">
        <f t="shared" si="63"/>
        <v>0</v>
      </c>
      <c r="S581" s="154">
        <f t="shared" si="64"/>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hidden="1" customHeight="1">
      <c r="A582" s="150"/>
      <c r="B582" s="150"/>
      <c r="C582" s="151"/>
      <c r="D582" s="151"/>
      <c r="E582" s="151"/>
      <c r="F582" s="150"/>
      <c r="G582" s="150"/>
      <c r="H582" s="150"/>
      <c r="I582" s="157"/>
      <c r="J582" s="157"/>
      <c r="K582" s="157"/>
      <c r="L582" s="153">
        <f t="shared" si="60"/>
        <v>0</v>
      </c>
      <c r="M582" s="154">
        <f t="shared" si="61"/>
        <v>0</v>
      </c>
      <c r="N582" s="155">
        <f>+IF(OR($Q582=Parametres!$G$2,$Q582=Parametres!$G$3),I582,C582)</f>
        <v>0</v>
      </c>
      <c r="O582" s="155">
        <f>+IF(OR($Q582=Parametres!$G$2,$Q582=Parametres!$G$3),J582,D582)</f>
        <v>0</v>
      </c>
      <c r="P582" s="155">
        <f>+IF(OR($Q582=Parametres!$G$2,$Q582=Parametres!$G$3),K582,E582)</f>
        <v>0</v>
      </c>
      <c r="Q582" s="154">
        <f t="shared" si="62"/>
        <v>0</v>
      </c>
      <c r="R582" s="153">
        <f t="shared" si="63"/>
        <v>0</v>
      </c>
      <c r="S582" s="154">
        <f t="shared" si="64"/>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hidden="1" customHeight="1">
      <c r="A583" s="150"/>
      <c r="B583" s="150"/>
      <c r="C583" s="151"/>
      <c r="D583" s="151"/>
      <c r="E583" s="151"/>
      <c r="F583" s="150"/>
      <c r="G583" s="150"/>
      <c r="H583" s="150"/>
      <c r="I583" s="157"/>
      <c r="J583" s="157"/>
      <c r="K583" s="157"/>
      <c r="L583" s="153">
        <f t="shared" si="60"/>
        <v>0</v>
      </c>
      <c r="M583" s="154">
        <f t="shared" si="61"/>
        <v>0</v>
      </c>
      <c r="N583" s="155">
        <f>+IF(OR($Q583=Parametres!$G$2,$Q583=Parametres!$G$3),I583,C583)</f>
        <v>0</v>
      </c>
      <c r="O583" s="155">
        <f>+IF(OR($Q583=Parametres!$G$2,$Q583=Parametres!$G$3),J583,D583)</f>
        <v>0</v>
      </c>
      <c r="P583" s="155">
        <f>+IF(OR($Q583=Parametres!$G$2,$Q583=Parametres!$G$3),K583,E583)</f>
        <v>0</v>
      </c>
      <c r="Q583" s="154">
        <f t="shared" si="62"/>
        <v>0</v>
      </c>
      <c r="R583" s="153">
        <f t="shared" si="63"/>
        <v>0</v>
      </c>
      <c r="S583" s="154">
        <f t="shared" si="64"/>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hidden="1" customHeight="1">
      <c r="A584" s="150"/>
      <c r="B584" s="150"/>
      <c r="C584" s="151"/>
      <c r="D584" s="151"/>
      <c r="E584" s="151"/>
      <c r="F584" s="150"/>
      <c r="G584" s="150"/>
      <c r="H584" s="150"/>
      <c r="I584" s="157"/>
      <c r="J584" s="157"/>
      <c r="K584" s="157"/>
      <c r="L584" s="153">
        <f t="shared" si="60"/>
        <v>0</v>
      </c>
      <c r="M584" s="154">
        <f t="shared" si="61"/>
        <v>0</v>
      </c>
      <c r="N584" s="155">
        <f>+IF(OR($Q584=Parametres!$G$2,$Q584=Parametres!$G$3),I584,C584)</f>
        <v>0</v>
      </c>
      <c r="O584" s="155">
        <f>+IF(OR($Q584=Parametres!$G$2,$Q584=Parametres!$G$3),J584,D584)</f>
        <v>0</v>
      </c>
      <c r="P584" s="155">
        <f>+IF(OR($Q584=Parametres!$G$2,$Q584=Parametres!$G$3),K584,E584)</f>
        <v>0</v>
      </c>
      <c r="Q584" s="154">
        <f t="shared" si="62"/>
        <v>0</v>
      </c>
      <c r="R584" s="153">
        <f t="shared" si="63"/>
        <v>0</v>
      </c>
      <c r="S584" s="154">
        <f t="shared" si="64"/>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hidden="1" customHeight="1">
      <c r="A585" s="150"/>
      <c r="B585" s="150"/>
      <c r="C585" s="151"/>
      <c r="D585" s="151"/>
      <c r="E585" s="151"/>
      <c r="F585" s="150"/>
      <c r="G585" s="150"/>
      <c r="H585" s="150"/>
      <c r="I585" s="157"/>
      <c r="J585" s="157"/>
      <c r="K585" s="157"/>
      <c r="L585" s="153">
        <f t="shared" si="60"/>
        <v>0</v>
      </c>
      <c r="M585" s="154">
        <f t="shared" si="61"/>
        <v>0</v>
      </c>
      <c r="N585" s="155">
        <f>+IF(OR($Q585=Parametres!$G$2,$Q585=Parametres!$G$3),I585,C585)</f>
        <v>0</v>
      </c>
      <c r="O585" s="155">
        <f>+IF(OR($Q585=Parametres!$G$2,$Q585=Parametres!$G$3),J585,D585)</f>
        <v>0</v>
      </c>
      <c r="P585" s="155">
        <f>+IF(OR($Q585=Parametres!$G$2,$Q585=Parametres!$G$3),K585,E585)</f>
        <v>0</v>
      </c>
      <c r="Q585" s="154">
        <f t="shared" si="62"/>
        <v>0</v>
      </c>
      <c r="R585" s="153">
        <f t="shared" si="63"/>
        <v>0</v>
      </c>
      <c r="S585" s="154">
        <f t="shared" si="64"/>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hidden="1" customHeight="1">
      <c r="A586" s="150"/>
      <c r="B586" s="150"/>
      <c r="C586" s="151"/>
      <c r="D586" s="151"/>
      <c r="E586" s="151"/>
      <c r="F586" s="150"/>
      <c r="G586" s="150"/>
      <c r="H586" s="150"/>
      <c r="I586" s="157"/>
      <c r="J586" s="157"/>
      <c r="K586" s="157"/>
      <c r="L586" s="153">
        <f t="shared" si="60"/>
        <v>0</v>
      </c>
      <c r="M586" s="154">
        <f t="shared" si="61"/>
        <v>0</v>
      </c>
      <c r="N586" s="155">
        <f>+IF(OR($Q586=Parametres!$G$2,$Q586=Parametres!$G$3),I586,C586)</f>
        <v>0</v>
      </c>
      <c r="O586" s="155">
        <f>+IF(OR($Q586=Parametres!$G$2,$Q586=Parametres!$G$3),J586,D586)</f>
        <v>0</v>
      </c>
      <c r="P586" s="155">
        <f>+IF(OR($Q586=Parametres!$G$2,$Q586=Parametres!$G$3),K586,E586)</f>
        <v>0</v>
      </c>
      <c r="Q586" s="154">
        <f t="shared" si="62"/>
        <v>0</v>
      </c>
      <c r="R586" s="153">
        <f t="shared" si="63"/>
        <v>0</v>
      </c>
      <c r="S586" s="154">
        <f t="shared" si="64"/>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hidden="1" customHeight="1">
      <c r="A587" s="150"/>
      <c r="B587" s="150"/>
      <c r="C587" s="151"/>
      <c r="D587" s="151"/>
      <c r="E587" s="151"/>
      <c r="F587" s="150"/>
      <c r="G587" s="150"/>
      <c r="H587" s="150"/>
      <c r="I587" s="157"/>
      <c r="J587" s="157"/>
      <c r="K587" s="157"/>
      <c r="L587" s="153">
        <f t="shared" si="60"/>
        <v>0</v>
      </c>
      <c r="M587" s="154">
        <f t="shared" si="61"/>
        <v>0</v>
      </c>
      <c r="N587" s="155">
        <f>+IF(OR($Q587=Parametres!$G$2,$Q587=Parametres!$G$3),I587,C587)</f>
        <v>0</v>
      </c>
      <c r="O587" s="155">
        <f>+IF(OR($Q587=Parametres!$G$2,$Q587=Parametres!$G$3),J587,D587)</f>
        <v>0</v>
      </c>
      <c r="P587" s="155">
        <f>+IF(OR($Q587=Parametres!$G$2,$Q587=Parametres!$G$3),K587,E587)</f>
        <v>0</v>
      </c>
      <c r="Q587" s="154">
        <f t="shared" si="62"/>
        <v>0</v>
      </c>
      <c r="R587" s="153">
        <f t="shared" si="63"/>
        <v>0</v>
      </c>
      <c r="S587" s="154">
        <f t="shared" si="64"/>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hidden="1" customHeight="1">
      <c r="A588" s="150"/>
      <c r="B588" s="150"/>
      <c r="C588" s="151"/>
      <c r="D588" s="151"/>
      <c r="E588" s="151"/>
      <c r="F588" s="150"/>
      <c r="G588" s="150"/>
      <c r="H588" s="150"/>
      <c r="I588" s="157"/>
      <c r="J588" s="157"/>
      <c r="K588" s="157"/>
      <c r="L588" s="153">
        <f t="shared" si="60"/>
        <v>0</v>
      </c>
      <c r="M588" s="154">
        <f t="shared" si="61"/>
        <v>0</v>
      </c>
      <c r="N588" s="155">
        <f>+IF(OR($Q588=Parametres!$G$2,$Q588=Parametres!$G$3),I588,C588)</f>
        <v>0</v>
      </c>
      <c r="O588" s="155">
        <f>+IF(OR($Q588=Parametres!$G$2,$Q588=Parametres!$G$3),J588,D588)</f>
        <v>0</v>
      </c>
      <c r="P588" s="155">
        <f>+IF(OR($Q588=Parametres!$G$2,$Q588=Parametres!$G$3),K588,E588)</f>
        <v>0</v>
      </c>
      <c r="Q588" s="154">
        <f t="shared" si="62"/>
        <v>0</v>
      </c>
      <c r="R588" s="153">
        <f t="shared" si="63"/>
        <v>0</v>
      </c>
      <c r="S588" s="154">
        <f t="shared" si="64"/>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hidden="1" customHeight="1">
      <c r="A589" s="150"/>
      <c r="B589" s="150"/>
      <c r="C589" s="151"/>
      <c r="D589" s="151"/>
      <c r="E589" s="151"/>
      <c r="F589" s="150"/>
      <c r="G589" s="150"/>
      <c r="H589" s="150"/>
      <c r="I589" s="157"/>
      <c r="J589" s="157"/>
      <c r="K589" s="157"/>
      <c r="L589" s="153">
        <f t="shared" si="60"/>
        <v>0</v>
      </c>
      <c r="M589" s="154">
        <f t="shared" si="61"/>
        <v>0</v>
      </c>
      <c r="N589" s="155">
        <f>+IF(OR($Q589=Parametres!$G$2,$Q589=Parametres!$G$3),I589,C589)</f>
        <v>0</v>
      </c>
      <c r="O589" s="155">
        <f>+IF(OR($Q589=Parametres!$G$2,$Q589=Parametres!$G$3),J589,D589)</f>
        <v>0</v>
      </c>
      <c r="P589" s="155">
        <f>+IF(OR($Q589=Parametres!$G$2,$Q589=Parametres!$G$3),K589,E589)</f>
        <v>0</v>
      </c>
      <c r="Q589" s="154">
        <f t="shared" si="62"/>
        <v>0</v>
      </c>
      <c r="R589" s="153">
        <f t="shared" si="63"/>
        <v>0</v>
      </c>
      <c r="S589" s="154">
        <f t="shared" si="64"/>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hidden="1" customHeight="1">
      <c r="A590" s="150"/>
      <c r="B590" s="150"/>
      <c r="C590" s="151"/>
      <c r="D590" s="151"/>
      <c r="E590" s="151"/>
      <c r="F590" s="150"/>
      <c r="G590" s="150"/>
      <c r="H590" s="150"/>
      <c r="I590" s="157"/>
      <c r="J590" s="157"/>
      <c r="K590" s="157"/>
      <c r="L590" s="153">
        <f t="shared" si="60"/>
        <v>0</v>
      </c>
      <c r="M590" s="154">
        <f t="shared" si="61"/>
        <v>0</v>
      </c>
      <c r="N590" s="155">
        <f>+IF(OR($Q590=Parametres!$G$2,$Q590=Parametres!$G$3),I590,C590)</f>
        <v>0</v>
      </c>
      <c r="O590" s="155">
        <f>+IF(OR($Q590=Parametres!$G$2,$Q590=Parametres!$G$3),J590,D590)</f>
        <v>0</v>
      </c>
      <c r="P590" s="155">
        <f>+IF(OR($Q590=Parametres!$G$2,$Q590=Parametres!$G$3),K590,E590)</f>
        <v>0</v>
      </c>
      <c r="Q590" s="154">
        <f t="shared" si="62"/>
        <v>0</v>
      </c>
      <c r="R590" s="153">
        <f t="shared" si="63"/>
        <v>0</v>
      </c>
      <c r="S590" s="154">
        <f t="shared" si="64"/>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hidden="1" customHeight="1">
      <c r="A591" s="150"/>
      <c r="B591" s="150"/>
      <c r="C591" s="151"/>
      <c r="D591" s="151"/>
      <c r="E591" s="151"/>
      <c r="F591" s="150"/>
      <c r="G591" s="150"/>
      <c r="H591" s="150"/>
      <c r="I591" s="157"/>
      <c r="J591" s="157"/>
      <c r="K591" s="157"/>
      <c r="L591" s="153">
        <f t="shared" si="60"/>
        <v>0</v>
      </c>
      <c r="M591" s="154">
        <f t="shared" si="61"/>
        <v>0</v>
      </c>
      <c r="N591" s="155">
        <f>+IF(OR($Q591=Parametres!$G$2,$Q591=Parametres!$G$3),I591,C591)</f>
        <v>0</v>
      </c>
      <c r="O591" s="155">
        <f>+IF(OR($Q591=Parametres!$G$2,$Q591=Parametres!$G$3),J591,D591)</f>
        <v>0</v>
      </c>
      <c r="P591" s="155">
        <f>+IF(OR($Q591=Parametres!$G$2,$Q591=Parametres!$G$3),K591,E591)</f>
        <v>0</v>
      </c>
      <c r="Q591" s="154">
        <f t="shared" si="62"/>
        <v>0</v>
      </c>
      <c r="R591" s="153">
        <f t="shared" si="63"/>
        <v>0</v>
      </c>
      <c r="S591" s="154">
        <f t="shared" si="64"/>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hidden="1" customHeight="1">
      <c r="A592" s="150"/>
      <c r="B592" s="150"/>
      <c r="C592" s="151"/>
      <c r="D592" s="151"/>
      <c r="E592" s="151"/>
      <c r="F592" s="150"/>
      <c r="G592" s="150"/>
      <c r="H592" s="150"/>
      <c r="I592" s="157"/>
      <c r="J592" s="157"/>
      <c r="K592" s="157"/>
      <c r="L592" s="153">
        <f t="shared" si="60"/>
        <v>0</v>
      </c>
      <c r="M592" s="154">
        <f t="shared" si="61"/>
        <v>0</v>
      </c>
      <c r="N592" s="155">
        <f>+IF(OR($Q592=Parametres!$G$2,$Q592=Parametres!$G$3),I592,C592)</f>
        <v>0</v>
      </c>
      <c r="O592" s="155">
        <f>+IF(OR($Q592=Parametres!$G$2,$Q592=Parametres!$G$3),J592,D592)</f>
        <v>0</v>
      </c>
      <c r="P592" s="155">
        <f>+IF(OR($Q592=Parametres!$G$2,$Q592=Parametres!$G$3),K592,E592)</f>
        <v>0</v>
      </c>
      <c r="Q592" s="154">
        <f t="shared" si="62"/>
        <v>0</v>
      </c>
      <c r="R592" s="153">
        <f t="shared" si="63"/>
        <v>0</v>
      </c>
      <c r="S592" s="154">
        <f t="shared" si="64"/>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hidden="1" customHeight="1">
      <c r="A593" s="150"/>
      <c r="B593" s="150"/>
      <c r="C593" s="151"/>
      <c r="D593" s="151"/>
      <c r="E593" s="151"/>
      <c r="F593" s="150"/>
      <c r="G593" s="150"/>
      <c r="H593" s="150"/>
      <c r="I593" s="157"/>
      <c r="J593" s="157"/>
      <c r="K593" s="157"/>
      <c r="L593" s="153">
        <f t="shared" si="60"/>
        <v>0</v>
      </c>
      <c r="M593" s="154">
        <f t="shared" si="61"/>
        <v>0</v>
      </c>
      <c r="N593" s="155">
        <f>+IF(OR($Q593=Parametres!$G$2,$Q593=Parametres!$G$3),I593,C593)</f>
        <v>0</v>
      </c>
      <c r="O593" s="155">
        <f>+IF(OR($Q593=Parametres!$G$2,$Q593=Parametres!$G$3),J593,D593)</f>
        <v>0</v>
      </c>
      <c r="P593" s="155">
        <f>+IF(OR($Q593=Parametres!$G$2,$Q593=Parametres!$G$3),K593,E593)</f>
        <v>0</v>
      </c>
      <c r="Q593" s="154">
        <f t="shared" si="62"/>
        <v>0</v>
      </c>
      <c r="R593" s="153">
        <f t="shared" si="63"/>
        <v>0</v>
      </c>
      <c r="S593" s="154">
        <f t="shared" si="64"/>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hidden="1" customHeight="1">
      <c r="A594" s="150"/>
      <c r="B594" s="150"/>
      <c r="C594" s="151"/>
      <c r="D594" s="151"/>
      <c r="E594" s="151"/>
      <c r="F594" s="150"/>
      <c r="G594" s="150"/>
      <c r="H594" s="150"/>
      <c r="I594" s="157"/>
      <c r="J594" s="157"/>
      <c r="K594" s="157"/>
      <c r="L594" s="153">
        <f t="shared" si="60"/>
        <v>0</v>
      </c>
      <c r="M594" s="154">
        <f t="shared" si="61"/>
        <v>0</v>
      </c>
      <c r="N594" s="155">
        <f>+IF(OR($Q594=Parametres!$G$2,$Q594=Parametres!$G$3),I594,C594)</f>
        <v>0</v>
      </c>
      <c r="O594" s="155">
        <f>+IF(OR($Q594=Parametres!$G$2,$Q594=Parametres!$G$3),J594,D594)</f>
        <v>0</v>
      </c>
      <c r="P594" s="155">
        <f>+IF(OR($Q594=Parametres!$G$2,$Q594=Parametres!$G$3),K594,E594)</f>
        <v>0</v>
      </c>
      <c r="Q594" s="154">
        <f t="shared" si="62"/>
        <v>0</v>
      </c>
      <c r="R594" s="153">
        <f t="shared" si="63"/>
        <v>0</v>
      </c>
      <c r="S594" s="154">
        <f t="shared" si="64"/>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hidden="1" customHeight="1">
      <c r="A595" s="150"/>
      <c r="B595" s="150"/>
      <c r="C595" s="151"/>
      <c r="D595" s="151"/>
      <c r="E595" s="151"/>
      <c r="F595" s="150"/>
      <c r="G595" s="150"/>
      <c r="H595" s="150"/>
      <c r="I595" s="157"/>
      <c r="J595" s="157"/>
      <c r="K595" s="157"/>
      <c r="L595" s="153">
        <f t="shared" si="60"/>
        <v>0</v>
      </c>
      <c r="M595" s="154">
        <f t="shared" si="61"/>
        <v>0</v>
      </c>
      <c r="N595" s="155">
        <f>+IF(OR($Q595=Parametres!$G$2,$Q595=Parametres!$G$3),I595,C595)</f>
        <v>0</v>
      </c>
      <c r="O595" s="155">
        <f>+IF(OR($Q595=Parametres!$G$2,$Q595=Parametres!$G$3),J595,D595)</f>
        <v>0</v>
      </c>
      <c r="P595" s="155">
        <f>+IF(OR($Q595=Parametres!$G$2,$Q595=Parametres!$G$3),K595,E595)</f>
        <v>0</v>
      </c>
      <c r="Q595" s="154">
        <f t="shared" si="62"/>
        <v>0</v>
      </c>
      <c r="R595" s="153">
        <f t="shared" si="63"/>
        <v>0</v>
      </c>
      <c r="S595" s="154">
        <f t="shared" si="64"/>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hidden="1" customHeight="1">
      <c r="A596" s="150"/>
      <c r="B596" s="150"/>
      <c r="C596" s="151"/>
      <c r="D596" s="151"/>
      <c r="E596" s="151"/>
      <c r="F596" s="150"/>
      <c r="G596" s="150"/>
      <c r="H596" s="150"/>
      <c r="I596" s="157"/>
      <c r="J596" s="157"/>
      <c r="K596" s="157"/>
      <c r="L596" s="153">
        <f t="shared" si="60"/>
        <v>0</v>
      </c>
      <c r="M596" s="154">
        <f t="shared" si="61"/>
        <v>0</v>
      </c>
      <c r="N596" s="155">
        <f>+IF(OR($Q596=Parametres!$G$2,$Q596=Parametres!$G$3),I596,C596)</f>
        <v>0</v>
      </c>
      <c r="O596" s="155">
        <f>+IF(OR($Q596=Parametres!$G$2,$Q596=Parametres!$G$3),J596,D596)</f>
        <v>0</v>
      </c>
      <c r="P596" s="155">
        <f>+IF(OR($Q596=Parametres!$G$2,$Q596=Parametres!$G$3),K596,E596)</f>
        <v>0</v>
      </c>
      <c r="Q596" s="154">
        <f t="shared" si="62"/>
        <v>0</v>
      </c>
      <c r="R596" s="153">
        <f t="shared" si="63"/>
        <v>0</v>
      </c>
      <c r="S596" s="154">
        <f t="shared" si="64"/>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hidden="1" customHeight="1">
      <c r="A597" s="150"/>
      <c r="B597" s="150"/>
      <c r="C597" s="151"/>
      <c r="D597" s="151"/>
      <c r="E597" s="151"/>
      <c r="F597" s="150"/>
      <c r="G597" s="150"/>
      <c r="H597" s="150"/>
      <c r="I597" s="157"/>
      <c r="J597" s="157"/>
      <c r="K597" s="157"/>
      <c r="L597" s="153">
        <f t="shared" si="60"/>
        <v>0</v>
      </c>
      <c r="M597" s="154">
        <f t="shared" si="61"/>
        <v>0</v>
      </c>
      <c r="N597" s="155">
        <f>+IF(OR($Q597=Parametres!$G$2,$Q597=Parametres!$G$3),I597,C597)</f>
        <v>0</v>
      </c>
      <c r="O597" s="155">
        <f>+IF(OR($Q597=Parametres!$G$2,$Q597=Parametres!$G$3),J597,D597)</f>
        <v>0</v>
      </c>
      <c r="P597" s="155">
        <f>+IF(OR($Q597=Parametres!$G$2,$Q597=Parametres!$G$3),K597,E597)</f>
        <v>0</v>
      </c>
      <c r="Q597" s="154">
        <f t="shared" si="62"/>
        <v>0</v>
      </c>
      <c r="R597" s="153">
        <f t="shared" si="63"/>
        <v>0</v>
      </c>
      <c r="S597" s="154">
        <f t="shared" si="64"/>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hidden="1" customHeight="1">
      <c r="A598" s="150"/>
      <c r="B598" s="150"/>
      <c r="C598" s="151"/>
      <c r="D598" s="151"/>
      <c r="E598" s="151"/>
      <c r="F598" s="150"/>
      <c r="G598" s="150"/>
      <c r="H598" s="150"/>
      <c r="I598" s="157"/>
      <c r="J598" s="157"/>
      <c r="K598" s="157"/>
      <c r="L598" s="153">
        <f t="shared" si="60"/>
        <v>0</v>
      </c>
      <c r="M598" s="154">
        <f t="shared" si="61"/>
        <v>0</v>
      </c>
      <c r="N598" s="155">
        <f>+IF(OR($Q598=Parametres!$G$2,$Q598=Parametres!$G$3),I598,C598)</f>
        <v>0</v>
      </c>
      <c r="O598" s="155">
        <f>+IF(OR($Q598=Parametres!$G$2,$Q598=Parametres!$G$3),J598,D598)</f>
        <v>0</v>
      </c>
      <c r="P598" s="155">
        <f>+IF(OR($Q598=Parametres!$G$2,$Q598=Parametres!$G$3),K598,E598)</f>
        <v>0</v>
      </c>
      <c r="Q598" s="154">
        <f t="shared" si="62"/>
        <v>0</v>
      </c>
      <c r="R598" s="153">
        <f t="shared" si="63"/>
        <v>0</v>
      </c>
      <c r="S598" s="154">
        <f t="shared" si="64"/>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hidden="1" customHeight="1">
      <c r="A599" s="150"/>
      <c r="B599" s="150"/>
      <c r="C599" s="151"/>
      <c r="D599" s="151"/>
      <c r="E599" s="151"/>
      <c r="F599" s="150"/>
      <c r="G599" s="150"/>
      <c r="H599" s="150"/>
      <c r="I599" s="157"/>
      <c r="J599" s="157"/>
      <c r="K599" s="157"/>
      <c r="L599" s="153">
        <f t="shared" si="60"/>
        <v>0</v>
      </c>
      <c r="M599" s="154">
        <f t="shared" si="61"/>
        <v>0</v>
      </c>
      <c r="N599" s="155">
        <f>+IF(OR($Q599=Parametres!$G$2,$Q599=Parametres!$G$3),I599,C599)</f>
        <v>0</v>
      </c>
      <c r="O599" s="155">
        <f>+IF(OR($Q599=Parametres!$G$2,$Q599=Parametres!$G$3),J599,D599)</f>
        <v>0</v>
      </c>
      <c r="P599" s="155">
        <f>+IF(OR($Q599=Parametres!$G$2,$Q599=Parametres!$G$3),K599,E599)</f>
        <v>0</v>
      </c>
      <c r="Q599" s="154">
        <f t="shared" si="62"/>
        <v>0</v>
      </c>
      <c r="R599" s="153">
        <f t="shared" si="63"/>
        <v>0</v>
      </c>
      <c r="S599" s="154">
        <f t="shared" si="64"/>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hidden="1" customHeight="1">
      <c r="A600" s="150"/>
      <c r="B600" s="150"/>
      <c r="C600" s="151"/>
      <c r="D600" s="151"/>
      <c r="E600" s="151"/>
      <c r="F600" s="150"/>
      <c r="G600" s="150"/>
      <c r="H600" s="150"/>
      <c r="I600" s="157"/>
      <c r="J600" s="157"/>
      <c r="K600" s="157"/>
      <c r="L600" s="153">
        <f t="shared" si="60"/>
        <v>0</v>
      </c>
      <c r="M600" s="154">
        <f t="shared" si="61"/>
        <v>0</v>
      </c>
      <c r="N600" s="155">
        <f>+IF(OR($Q600=Parametres!$G$2,$Q600=Parametres!$G$3),I600,C600)</f>
        <v>0</v>
      </c>
      <c r="O600" s="155">
        <f>+IF(OR($Q600=Parametres!$G$2,$Q600=Parametres!$G$3),J600,D600)</f>
        <v>0</v>
      </c>
      <c r="P600" s="155">
        <f>+IF(OR($Q600=Parametres!$G$2,$Q600=Parametres!$G$3),K600,E600)</f>
        <v>0</v>
      </c>
      <c r="Q600" s="154">
        <f t="shared" si="62"/>
        <v>0</v>
      </c>
      <c r="R600" s="153">
        <f t="shared" si="63"/>
        <v>0</v>
      </c>
      <c r="S600" s="154">
        <f t="shared" si="64"/>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hidden="1" customHeight="1">
      <c r="A601" s="150"/>
      <c r="B601" s="150"/>
      <c r="C601" s="151"/>
      <c r="D601" s="151"/>
      <c r="E601" s="151"/>
      <c r="F601" s="150"/>
      <c r="G601" s="150"/>
      <c r="H601" s="150"/>
      <c r="I601" s="157"/>
      <c r="J601" s="157"/>
      <c r="K601" s="157"/>
      <c r="L601" s="153">
        <f t="shared" si="60"/>
        <v>0</v>
      </c>
      <c r="M601" s="154">
        <f t="shared" si="61"/>
        <v>0</v>
      </c>
      <c r="N601" s="155">
        <f>+IF(OR($Q601=Parametres!$G$2,$Q601=Parametres!$G$3),I601,C601)</f>
        <v>0</v>
      </c>
      <c r="O601" s="155">
        <f>+IF(OR($Q601=Parametres!$G$2,$Q601=Parametres!$G$3),J601,D601)</f>
        <v>0</v>
      </c>
      <c r="P601" s="155">
        <f>+IF(OR($Q601=Parametres!$G$2,$Q601=Parametres!$G$3),K601,E601)</f>
        <v>0</v>
      </c>
      <c r="Q601" s="154">
        <f t="shared" si="62"/>
        <v>0</v>
      </c>
      <c r="R601" s="153">
        <f t="shared" si="63"/>
        <v>0</v>
      </c>
      <c r="S601" s="154">
        <f t="shared" si="64"/>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hidden="1" customHeight="1">
      <c r="A602" s="150"/>
      <c r="B602" s="150"/>
      <c r="C602" s="151"/>
      <c r="D602" s="151"/>
      <c r="E602" s="151"/>
      <c r="F602" s="150"/>
      <c r="G602" s="150"/>
      <c r="H602" s="150"/>
      <c r="I602" s="157"/>
      <c r="J602" s="157"/>
      <c r="K602" s="157"/>
      <c r="L602" s="153">
        <f t="shared" si="60"/>
        <v>0</v>
      </c>
      <c r="M602" s="154">
        <f t="shared" si="61"/>
        <v>0</v>
      </c>
      <c r="N602" s="155">
        <f>+IF(OR($Q602=Parametres!$G$2,$Q602=Parametres!$G$3),I602,C602)</f>
        <v>0</v>
      </c>
      <c r="O602" s="155">
        <f>+IF(OR($Q602=Parametres!$G$2,$Q602=Parametres!$G$3),J602,D602)</f>
        <v>0</v>
      </c>
      <c r="P602" s="155">
        <f>+IF(OR($Q602=Parametres!$G$2,$Q602=Parametres!$G$3),K602,E602)</f>
        <v>0</v>
      </c>
      <c r="Q602" s="154">
        <f t="shared" si="62"/>
        <v>0</v>
      </c>
      <c r="R602" s="153">
        <f t="shared" si="63"/>
        <v>0</v>
      </c>
      <c r="S602" s="154">
        <f t="shared" si="64"/>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hidden="1" customHeight="1">
      <c r="A603" s="150"/>
      <c r="B603" s="150"/>
      <c r="C603" s="151"/>
      <c r="D603" s="151"/>
      <c r="E603" s="151"/>
      <c r="F603" s="150"/>
      <c r="G603" s="150"/>
      <c r="H603" s="150"/>
      <c r="I603" s="157"/>
      <c r="J603" s="157"/>
      <c r="K603" s="157"/>
      <c r="L603" s="153">
        <f t="shared" si="60"/>
        <v>0</v>
      </c>
      <c r="M603" s="154">
        <f t="shared" si="61"/>
        <v>0</v>
      </c>
      <c r="N603" s="155">
        <f>+IF(OR($Q603=Parametres!$G$2,$Q603=Parametres!$G$3),I603,C603)</f>
        <v>0</v>
      </c>
      <c r="O603" s="155">
        <f>+IF(OR($Q603=Parametres!$G$2,$Q603=Parametres!$G$3),J603,D603)</f>
        <v>0</v>
      </c>
      <c r="P603" s="155">
        <f>+IF(OR($Q603=Parametres!$G$2,$Q603=Parametres!$G$3),K603,E603)</f>
        <v>0</v>
      </c>
      <c r="Q603" s="154">
        <f t="shared" si="62"/>
        <v>0</v>
      </c>
      <c r="R603" s="153">
        <f t="shared" si="63"/>
        <v>0</v>
      </c>
      <c r="S603" s="154">
        <f t="shared" si="64"/>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hidden="1" customHeight="1">
      <c r="A604" s="150"/>
      <c r="B604" s="150"/>
      <c r="C604" s="151"/>
      <c r="D604" s="151"/>
      <c r="E604" s="151"/>
      <c r="F604" s="150"/>
      <c r="G604" s="150"/>
      <c r="H604" s="150"/>
      <c r="I604" s="157"/>
      <c r="J604" s="157"/>
      <c r="K604" s="157"/>
      <c r="L604" s="153">
        <f t="shared" si="60"/>
        <v>0</v>
      </c>
      <c r="M604" s="154">
        <f t="shared" si="61"/>
        <v>0</v>
      </c>
      <c r="N604" s="155">
        <f>+IF(OR($Q604=Parametres!$G$2,$Q604=Parametres!$G$3),I604,C604)</f>
        <v>0</v>
      </c>
      <c r="O604" s="155">
        <f>+IF(OR($Q604=Parametres!$G$2,$Q604=Parametres!$G$3),J604,D604)</f>
        <v>0</v>
      </c>
      <c r="P604" s="155">
        <f>+IF(OR($Q604=Parametres!$G$2,$Q604=Parametres!$G$3),K604,E604)</f>
        <v>0</v>
      </c>
      <c r="Q604" s="154">
        <f t="shared" si="62"/>
        <v>0</v>
      </c>
      <c r="R604" s="153">
        <f t="shared" si="63"/>
        <v>0</v>
      </c>
      <c r="S604" s="154">
        <f t="shared" si="64"/>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hidden="1" customHeight="1">
      <c r="A605" s="150"/>
      <c r="B605" s="150"/>
      <c r="C605" s="151"/>
      <c r="D605" s="151"/>
      <c r="E605" s="151"/>
      <c r="F605" s="150"/>
      <c r="G605" s="150"/>
      <c r="H605" s="150"/>
      <c r="I605" s="157"/>
      <c r="J605" s="157"/>
      <c r="K605" s="157"/>
      <c r="L605" s="153">
        <f t="shared" si="60"/>
        <v>0</v>
      </c>
      <c r="M605" s="154">
        <f t="shared" si="61"/>
        <v>0</v>
      </c>
      <c r="N605" s="155">
        <f>+IF(OR($Q605=Parametres!$G$2,$Q605=Parametres!$G$3),I605,C605)</f>
        <v>0</v>
      </c>
      <c r="O605" s="155">
        <f>+IF(OR($Q605=Parametres!$G$2,$Q605=Parametres!$G$3),J605,D605)</f>
        <v>0</v>
      </c>
      <c r="P605" s="155">
        <f>+IF(OR($Q605=Parametres!$G$2,$Q605=Parametres!$G$3),K605,E605)</f>
        <v>0</v>
      </c>
      <c r="Q605" s="154">
        <f t="shared" si="62"/>
        <v>0</v>
      </c>
      <c r="R605" s="153">
        <f t="shared" si="63"/>
        <v>0</v>
      </c>
      <c r="S605" s="154">
        <f t="shared" si="64"/>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hidden="1" customHeight="1">
      <c r="A606" s="150"/>
      <c r="B606" s="150"/>
      <c r="C606" s="151"/>
      <c r="D606" s="151"/>
      <c r="E606" s="151"/>
      <c r="F606" s="150"/>
      <c r="G606" s="150"/>
      <c r="H606" s="150"/>
      <c r="I606" s="157"/>
      <c r="J606" s="157"/>
      <c r="K606" s="157"/>
      <c r="L606" s="153">
        <f t="shared" si="60"/>
        <v>0</v>
      </c>
      <c r="M606" s="154">
        <f t="shared" si="61"/>
        <v>0</v>
      </c>
      <c r="N606" s="155">
        <f>+IF(OR($Q606=Parametres!$G$2,$Q606=Parametres!$G$3),I606,C606)</f>
        <v>0</v>
      </c>
      <c r="O606" s="155">
        <f>+IF(OR($Q606=Parametres!$G$2,$Q606=Parametres!$G$3),J606,D606)</f>
        <v>0</v>
      </c>
      <c r="P606" s="155">
        <f>+IF(OR($Q606=Parametres!$G$2,$Q606=Parametres!$G$3),K606,E606)</f>
        <v>0</v>
      </c>
      <c r="Q606" s="154">
        <f t="shared" si="62"/>
        <v>0</v>
      </c>
      <c r="R606" s="153">
        <f t="shared" si="63"/>
        <v>0</v>
      </c>
      <c r="S606" s="154">
        <f t="shared" si="64"/>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hidden="1" customHeight="1">
      <c r="A607" s="150"/>
      <c r="B607" s="150"/>
      <c r="C607" s="151"/>
      <c r="D607" s="151"/>
      <c r="E607" s="151"/>
      <c r="F607" s="150"/>
      <c r="G607" s="150"/>
      <c r="H607" s="150"/>
      <c r="I607" s="157"/>
      <c r="J607" s="157"/>
      <c r="K607" s="157"/>
      <c r="L607" s="153">
        <f t="shared" si="60"/>
        <v>0</v>
      </c>
      <c r="M607" s="154">
        <f t="shared" si="61"/>
        <v>0</v>
      </c>
      <c r="N607" s="155">
        <f>+IF(OR($Q607=Parametres!$G$2,$Q607=Parametres!$G$3),I607,C607)</f>
        <v>0</v>
      </c>
      <c r="O607" s="155">
        <f>+IF(OR($Q607=Parametres!$G$2,$Q607=Parametres!$G$3),J607,D607)</f>
        <v>0</v>
      </c>
      <c r="P607" s="155">
        <f>+IF(OR($Q607=Parametres!$G$2,$Q607=Parametres!$G$3),K607,E607)</f>
        <v>0</v>
      </c>
      <c r="Q607" s="154">
        <f t="shared" si="62"/>
        <v>0</v>
      </c>
      <c r="R607" s="153">
        <f t="shared" si="63"/>
        <v>0</v>
      </c>
      <c r="S607" s="154">
        <f t="shared" si="64"/>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hidden="1" customHeight="1">
      <c r="A608" s="150"/>
      <c r="B608" s="150"/>
      <c r="C608" s="151"/>
      <c r="D608" s="151"/>
      <c r="E608" s="151"/>
      <c r="F608" s="150"/>
      <c r="G608" s="150"/>
      <c r="H608" s="150"/>
      <c r="I608" s="157"/>
      <c r="J608" s="157"/>
      <c r="K608" s="157"/>
      <c r="L608" s="153">
        <f t="shared" si="60"/>
        <v>0</v>
      </c>
      <c r="M608" s="154">
        <f t="shared" si="61"/>
        <v>0</v>
      </c>
      <c r="N608" s="155">
        <f>+IF(OR($Q608=Parametres!$G$2,$Q608=Parametres!$G$3),I608,C608)</f>
        <v>0</v>
      </c>
      <c r="O608" s="155">
        <f>+IF(OR($Q608=Parametres!$G$2,$Q608=Parametres!$G$3),J608,D608)</f>
        <v>0</v>
      </c>
      <c r="P608" s="155">
        <f>+IF(OR($Q608=Parametres!$G$2,$Q608=Parametres!$G$3),K608,E608)</f>
        <v>0</v>
      </c>
      <c r="Q608" s="154">
        <f t="shared" si="62"/>
        <v>0</v>
      </c>
      <c r="R608" s="153">
        <f t="shared" si="63"/>
        <v>0</v>
      </c>
      <c r="S608" s="154">
        <f t="shared" si="64"/>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hidden="1" customHeight="1">
      <c r="A609" s="150"/>
      <c r="B609" s="150"/>
      <c r="C609" s="151"/>
      <c r="D609" s="151"/>
      <c r="E609" s="151"/>
      <c r="F609" s="150"/>
      <c r="G609" s="150"/>
      <c r="H609" s="150"/>
      <c r="I609" s="157"/>
      <c r="J609" s="157"/>
      <c r="K609" s="157"/>
      <c r="L609" s="153">
        <f t="shared" si="60"/>
        <v>0</v>
      </c>
      <c r="M609" s="154">
        <f t="shared" si="61"/>
        <v>0</v>
      </c>
      <c r="N609" s="155">
        <f>+IF(OR($Q609=Parametres!$G$2,$Q609=Parametres!$G$3),I609,C609)</f>
        <v>0</v>
      </c>
      <c r="O609" s="155">
        <f>+IF(OR($Q609=Parametres!$G$2,$Q609=Parametres!$G$3),J609,D609)</f>
        <v>0</v>
      </c>
      <c r="P609" s="155">
        <f>+IF(OR($Q609=Parametres!$G$2,$Q609=Parametres!$G$3),K609,E609)</f>
        <v>0</v>
      </c>
      <c r="Q609" s="154">
        <f t="shared" si="62"/>
        <v>0</v>
      </c>
      <c r="R609" s="153">
        <f t="shared" si="63"/>
        <v>0</v>
      </c>
      <c r="S609" s="154">
        <f t="shared" si="64"/>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hidden="1" customHeight="1">
      <c r="A610" s="150"/>
      <c r="B610" s="150"/>
      <c r="C610" s="151"/>
      <c r="D610" s="151"/>
      <c r="E610" s="151"/>
      <c r="F610" s="150"/>
      <c r="G610" s="150"/>
      <c r="H610" s="150"/>
      <c r="I610" s="157"/>
      <c r="J610" s="157"/>
      <c r="K610" s="157"/>
      <c r="L610" s="153">
        <f t="shared" si="60"/>
        <v>0</v>
      </c>
      <c r="M610" s="154">
        <f t="shared" si="61"/>
        <v>0</v>
      </c>
      <c r="N610" s="155">
        <f>+IF(OR($Q610=Parametres!$G$2,$Q610=Parametres!$G$3),I610,C610)</f>
        <v>0</v>
      </c>
      <c r="O610" s="155">
        <f>+IF(OR($Q610=Parametres!$G$2,$Q610=Parametres!$G$3),J610,D610)</f>
        <v>0</v>
      </c>
      <c r="P610" s="155">
        <f>+IF(OR($Q610=Parametres!$G$2,$Q610=Parametres!$G$3),K610,E610)</f>
        <v>0</v>
      </c>
      <c r="Q610" s="154">
        <f t="shared" si="62"/>
        <v>0</v>
      </c>
      <c r="R610" s="153">
        <f t="shared" si="63"/>
        <v>0</v>
      </c>
      <c r="S610" s="154">
        <f t="shared" si="6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hidden="1" customHeight="1">
      <c r="A611" s="150"/>
      <c r="B611" s="150"/>
      <c r="C611" s="151"/>
      <c r="D611" s="151"/>
      <c r="E611" s="151"/>
      <c r="F611" s="150"/>
      <c r="G611" s="150"/>
      <c r="H611" s="150"/>
      <c r="I611" s="157"/>
      <c r="J611" s="157"/>
      <c r="K611" s="157"/>
      <c r="L611" s="153">
        <f t="shared" si="60"/>
        <v>0</v>
      </c>
      <c r="M611" s="154">
        <f t="shared" si="61"/>
        <v>0</v>
      </c>
      <c r="N611" s="155">
        <f>+IF(OR($Q611=Parametres!$G$2,$Q611=Parametres!$G$3),I611,C611)</f>
        <v>0</v>
      </c>
      <c r="O611" s="155">
        <f>+IF(OR($Q611=Parametres!$G$2,$Q611=Parametres!$G$3),J611,D611)</f>
        <v>0</v>
      </c>
      <c r="P611" s="155">
        <f>+IF(OR($Q611=Parametres!$G$2,$Q611=Parametres!$G$3),K611,E611)</f>
        <v>0</v>
      </c>
      <c r="Q611" s="154">
        <f t="shared" si="62"/>
        <v>0</v>
      </c>
      <c r="R611" s="153">
        <f t="shared" si="63"/>
        <v>0</v>
      </c>
      <c r="S611" s="154">
        <f t="shared" si="6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hidden="1" customHeight="1">
      <c r="A612" s="150"/>
      <c r="B612" s="150"/>
      <c r="C612" s="151"/>
      <c r="D612" s="151"/>
      <c r="E612" s="151"/>
      <c r="F612" s="150"/>
      <c r="G612" s="150"/>
      <c r="H612" s="150"/>
      <c r="I612" s="157"/>
      <c r="J612" s="157"/>
      <c r="K612" s="157"/>
      <c r="L612" s="153">
        <f t="shared" si="60"/>
        <v>0</v>
      </c>
      <c r="M612" s="154">
        <f t="shared" si="61"/>
        <v>0</v>
      </c>
      <c r="N612" s="155">
        <f>+IF(OR($Q612=Parametres!$G$2,$Q612=Parametres!$G$3),I612,C612)</f>
        <v>0</v>
      </c>
      <c r="O612" s="155">
        <f>+IF(OR($Q612=Parametres!$G$2,$Q612=Parametres!$G$3),J612,D612)</f>
        <v>0</v>
      </c>
      <c r="P612" s="155">
        <f>+IF(OR($Q612=Parametres!$G$2,$Q612=Parametres!$G$3),K612,E612)</f>
        <v>0</v>
      </c>
      <c r="Q612" s="154">
        <f t="shared" si="62"/>
        <v>0</v>
      </c>
      <c r="R612" s="153">
        <f t="shared" si="63"/>
        <v>0</v>
      </c>
      <c r="S612" s="154">
        <f t="shared" si="6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hidden="1" customHeight="1">
      <c r="A613" s="150"/>
      <c r="B613" s="150"/>
      <c r="C613" s="151"/>
      <c r="D613" s="151"/>
      <c r="E613" s="151"/>
      <c r="F613" s="150"/>
      <c r="G613" s="150"/>
      <c r="H613" s="150"/>
      <c r="I613" s="157"/>
      <c r="J613" s="157"/>
      <c r="K613" s="157"/>
      <c r="L613" s="153">
        <f t="shared" si="60"/>
        <v>0</v>
      </c>
      <c r="M613" s="154">
        <f t="shared" si="61"/>
        <v>0</v>
      </c>
      <c r="N613" s="155">
        <f>+IF(OR($Q613=Parametres!$G$2,$Q613=Parametres!$G$3),I613,C613)</f>
        <v>0</v>
      </c>
      <c r="O613" s="155">
        <f>+IF(OR($Q613=Parametres!$G$2,$Q613=Parametres!$G$3),J613,D613)</f>
        <v>0</v>
      </c>
      <c r="P613" s="155">
        <f>+IF(OR($Q613=Parametres!$G$2,$Q613=Parametres!$G$3),K613,E613)</f>
        <v>0</v>
      </c>
      <c r="Q613" s="154">
        <f t="shared" si="62"/>
        <v>0</v>
      </c>
      <c r="R613" s="153">
        <f t="shared" si="63"/>
        <v>0</v>
      </c>
      <c r="S613" s="154">
        <f t="shared" si="6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hidden="1" customHeight="1">
      <c r="A614" s="150"/>
      <c r="B614" s="150"/>
      <c r="C614" s="151"/>
      <c r="D614" s="151"/>
      <c r="E614" s="151"/>
      <c r="F614" s="150"/>
      <c r="G614" s="150"/>
      <c r="H614" s="150"/>
      <c r="I614" s="157"/>
      <c r="J614" s="157"/>
      <c r="K614" s="157"/>
      <c r="L614" s="153">
        <f t="shared" si="60"/>
        <v>0</v>
      </c>
      <c r="M614" s="154">
        <f t="shared" si="61"/>
        <v>0</v>
      </c>
      <c r="N614" s="155">
        <f>+IF(OR($Q614=Parametres!$G$2,$Q614=Parametres!$G$3),I614,C614)</f>
        <v>0</v>
      </c>
      <c r="O614" s="155">
        <f>+IF(OR($Q614=Parametres!$G$2,$Q614=Parametres!$G$3),J614,D614)</f>
        <v>0</v>
      </c>
      <c r="P614" s="155">
        <f>+IF(OR($Q614=Parametres!$G$2,$Q614=Parametres!$G$3),K614,E614)</f>
        <v>0</v>
      </c>
      <c r="Q614" s="154">
        <f t="shared" si="62"/>
        <v>0</v>
      </c>
      <c r="R614" s="153">
        <f t="shared" si="63"/>
        <v>0</v>
      </c>
      <c r="S614" s="154">
        <f t="shared" si="6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hidden="1" customHeight="1">
      <c r="A615" s="150"/>
      <c r="B615" s="150"/>
      <c r="C615" s="151"/>
      <c r="D615" s="151"/>
      <c r="E615" s="151"/>
      <c r="F615" s="150"/>
      <c r="G615" s="150"/>
      <c r="H615" s="150"/>
      <c r="I615" s="157"/>
      <c r="J615" s="157"/>
      <c r="K615" s="157"/>
      <c r="L615" s="153">
        <f t="shared" si="60"/>
        <v>0</v>
      </c>
      <c r="M615" s="154">
        <f t="shared" si="61"/>
        <v>0</v>
      </c>
      <c r="N615" s="155">
        <f>+IF(OR($Q615=Parametres!$G$2,$Q615=Parametres!$G$3),I615,C615)</f>
        <v>0</v>
      </c>
      <c r="O615" s="155">
        <f>+IF(OR($Q615=Parametres!$G$2,$Q615=Parametres!$G$3),J615,D615)</f>
        <v>0</v>
      </c>
      <c r="P615" s="155">
        <f>+IF(OR($Q615=Parametres!$G$2,$Q615=Parametres!$G$3),K615,E615)</f>
        <v>0</v>
      </c>
      <c r="Q615" s="154">
        <f t="shared" si="62"/>
        <v>0</v>
      </c>
      <c r="R615" s="153">
        <f t="shared" si="63"/>
        <v>0</v>
      </c>
      <c r="S615" s="154">
        <f t="shared" si="6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hidden="1" customHeight="1">
      <c r="A616" s="150"/>
      <c r="B616" s="150"/>
      <c r="C616" s="151"/>
      <c r="D616" s="151"/>
      <c r="E616" s="151"/>
      <c r="F616" s="150"/>
      <c r="G616" s="150"/>
      <c r="H616" s="150"/>
      <c r="I616" s="157"/>
      <c r="J616" s="157"/>
      <c r="K616" s="157"/>
      <c r="L616" s="153">
        <f t="shared" si="60"/>
        <v>0</v>
      </c>
      <c r="M616" s="154">
        <f t="shared" si="61"/>
        <v>0</v>
      </c>
      <c r="N616" s="155">
        <f>+IF(OR($Q616=Parametres!$G$2,$Q616=Parametres!$G$3),I616,C616)</f>
        <v>0</v>
      </c>
      <c r="O616" s="155">
        <f>+IF(OR($Q616=Parametres!$G$2,$Q616=Parametres!$G$3),J616,D616)</f>
        <v>0</v>
      </c>
      <c r="P616" s="155">
        <f>+IF(OR($Q616=Parametres!$G$2,$Q616=Parametres!$G$3),K616,E616)</f>
        <v>0</v>
      </c>
      <c r="Q616" s="154">
        <f t="shared" si="62"/>
        <v>0</v>
      </c>
      <c r="R616" s="153">
        <f t="shared" si="63"/>
        <v>0</v>
      </c>
      <c r="S616" s="154">
        <f t="shared" si="6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hidden="1" customHeight="1">
      <c r="A617" s="150"/>
      <c r="B617" s="150"/>
      <c r="C617" s="151"/>
      <c r="D617" s="151"/>
      <c r="E617" s="151"/>
      <c r="F617" s="150"/>
      <c r="G617" s="150"/>
      <c r="H617" s="150"/>
      <c r="I617" s="157"/>
      <c r="J617" s="157"/>
      <c r="K617" s="157"/>
      <c r="L617" s="153">
        <f t="shared" si="60"/>
        <v>0</v>
      </c>
      <c r="M617" s="154">
        <f t="shared" si="61"/>
        <v>0</v>
      </c>
      <c r="N617" s="155">
        <f>+IF(OR($Q617=Parametres!$G$2,$Q617=Parametres!$G$3),I617,C617)</f>
        <v>0</v>
      </c>
      <c r="O617" s="155">
        <f>+IF(OR($Q617=Parametres!$G$2,$Q617=Parametres!$G$3),J617,D617)</f>
        <v>0</v>
      </c>
      <c r="P617" s="155">
        <f>+IF(OR($Q617=Parametres!$G$2,$Q617=Parametres!$G$3),K617,E617)</f>
        <v>0</v>
      </c>
      <c r="Q617" s="154">
        <f t="shared" si="62"/>
        <v>0</v>
      </c>
      <c r="R617" s="153">
        <f t="shared" si="63"/>
        <v>0</v>
      </c>
      <c r="S617" s="154">
        <f t="shared" si="6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hidden="1" customHeight="1">
      <c r="A618" s="150"/>
      <c r="B618" s="150"/>
      <c r="C618" s="151"/>
      <c r="D618" s="151"/>
      <c r="E618" s="151"/>
      <c r="F618" s="150"/>
      <c r="G618" s="150"/>
      <c r="H618" s="150"/>
      <c r="I618" s="157"/>
      <c r="J618" s="157"/>
      <c r="K618" s="157"/>
      <c r="L618" s="153">
        <f t="shared" si="60"/>
        <v>0</v>
      </c>
      <c r="M618" s="154">
        <f t="shared" si="61"/>
        <v>0</v>
      </c>
      <c r="N618" s="155">
        <f>+IF(OR($Q618=Parametres!$G$2,$Q618=Parametres!$G$3),I618,C618)</f>
        <v>0</v>
      </c>
      <c r="O618" s="155">
        <f>+IF(OR($Q618=Parametres!$G$2,$Q618=Parametres!$G$3),J618,D618)</f>
        <v>0</v>
      </c>
      <c r="P618" s="155">
        <f>+IF(OR($Q618=Parametres!$G$2,$Q618=Parametres!$G$3),K618,E618)</f>
        <v>0</v>
      </c>
      <c r="Q618" s="154">
        <f t="shared" si="62"/>
        <v>0</v>
      </c>
      <c r="R618" s="153">
        <f t="shared" si="63"/>
        <v>0</v>
      </c>
      <c r="S618" s="154">
        <f t="shared" si="6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hidden="1" customHeight="1">
      <c r="A619" s="150"/>
      <c r="B619" s="150"/>
      <c r="C619" s="151"/>
      <c r="D619" s="151"/>
      <c r="E619" s="151"/>
      <c r="F619" s="150"/>
      <c r="G619" s="150"/>
      <c r="H619" s="150"/>
      <c r="I619" s="157"/>
      <c r="J619" s="157"/>
      <c r="K619" s="157"/>
      <c r="L619" s="153">
        <f t="shared" si="60"/>
        <v>0</v>
      </c>
      <c r="M619" s="154">
        <f t="shared" si="61"/>
        <v>0</v>
      </c>
      <c r="N619" s="155">
        <f>+IF(OR($Q619=Parametres!$G$2,$Q619=Parametres!$G$3),I619,C619)</f>
        <v>0</v>
      </c>
      <c r="O619" s="155">
        <f>+IF(OR($Q619=Parametres!$G$2,$Q619=Parametres!$G$3),J619,D619)</f>
        <v>0</v>
      </c>
      <c r="P619" s="155">
        <f>+IF(OR($Q619=Parametres!$G$2,$Q619=Parametres!$G$3),K619,E619)</f>
        <v>0</v>
      </c>
      <c r="Q619" s="154">
        <f t="shared" si="62"/>
        <v>0</v>
      </c>
      <c r="R619" s="153">
        <f t="shared" si="63"/>
        <v>0</v>
      </c>
      <c r="S619" s="154">
        <f t="shared" si="6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hidden="1" customHeight="1">
      <c r="A620" s="150"/>
      <c r="B620" s="150"/>
      <c r="C620" s="151"/>
      <c r="D620" s="151"/>
      <c r="E620" s="151"/>
      <c r="F620" s="150"/>
      <c r="G620" s="150"/>
      <c r="H620" s="150"/>
      <c r="I620" s="157"/>
      <c r="J620" s="157"/>
      <c r="K620" s="157"/>
      <c r="L620" s="153">
        <f t="shared" si="60"/>
        <v>0</v>
      </c>
      <c r="M620" s="154">
        <f t="shared" si="61"/>
        <v>0</v>
      </c>
      <c r="N620" s="155">
        <f>+IF(OR($Q620=Parametres!$G$2,$Q620=Parametres!$G$3),I620,C620)</f>
        <v>0</v>
      </c>
      <c r="O620" s="155">
        <f>+IF(OR($Q620=Parametres!$G$2,$Q620=Parametres!$G$3),J620,D620)</f>
        <v>0</v>
      </c>
      <c r="P620" s="155">
        <f>+IF(OR($Q620=Parametres!$G$2,$Q620=Parametres!$G$3),K620,E620)</f>
        <v>0</v>
      </c>
      <c r="Q620" s="154">
        <f t="shared" si="62"/>
        <v>0</v>
      </c>
      <c r="R620" s="153">
        <f t="shared" si="63"/>
        <v>0</v>
      </c>
      <c r="S620" s="154">
        <f t="shared" si="6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hidden="1" customHeight="1">
      <c r="A621" s="150"/>
      <c r="B621" s="150"/>
      <c r="C621" s="151"/>
      <c r="D621" s="151"/>
      <c r="E621" s="151"/>
      <c r="F621" s="150"/>
      <c r="G621" s="150"/>
      <c r="H621" s="150"/>
      <c r="I621" s="157"/>
      <c r="J621" s="157"/>
      <c r="K621" s="157"/>
      <c r="L621" s="153">
        <f t="shared" si="60"/>
        <v>0</v>
      </c>
      <c r="M621" s="154">
        <f t="shared" si="61"/>
        <v>0</v>
      </c>
      <c r="N621" s="155">
        <f>+IF(OR($Q621=Parametres!$G$2,$Q621=Parametres!$G$3),I621,C621)</f>
        <v>0</v>
      </c>
      <c r="O621" s="155">
        <f>+IF(OR($Q621=Parametres!$G$2,$Q621=Parametres!$G$3),J621,D621)</f>
        <v>0</v>
      </c>
      <c r="P621" s="155">
        <f>+IF(OR($Q621=Parametres!$G$2,$Q621=Parametres!$G$3),K621,E621)</f>
        <v>0</v>
      </c>
      <c r="Q621" s="154">
        <f t="shared" si="62"/>
        <v>0</v>
      </c>
      <c r="R621" s="153">
        <f t="shared" si="63"/>
        <v>0</v>
      </c>
      <c r="S621" s="154">
        <f t="shared" si="6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hidden="1" customHeight="1">
      <c r="A622" s="150"/>
      <c r="B622" s="150"/>
      <c r="C622" s="151"/>
      <c r="D622" s="151"/>
      <c r="E622" s="151"/>
      <c r="F622" s="150"/>
      <c r="G622" s="150"/>
      <c r="H622" s="150"/>
      <c r="I622" s="157"/>
      <c r="J622" s="157"/>
      <c r="K622" s="157"/>
      <c r="L622" s="153">
        <f t="shared" si="60"/>
        <v>0</v>
      </c>
      <c r="M622" s="154">
        <f t="shared" si="61"/>
        <v>0</v>
      </c>
      <c r="N622" s="155">
        <f>+IF(OR($Q622=Parametres!$G$2,$Q622=Parametres!$G$3),I622,C622)</f>
        <v>0</v>
      </c>
      <c r="O622" s="572">
        <f>+IF(OR($Q622=Parametres!$G$2,$Q622=Parametres!$G$3),J622,D622)</f>
        <v>0</v>
      </c>
      <c r="P622" s="155">
        <f>+IF(OR($Q622=Parametres!$G$2,$Q622=Parametres!$G$3),K622,E622)</f>
        <v>0</v>
      </c>
      <c r="Q622" s="154">
        <f t="shared" si="62"/>
        <v>0</v>
      </c>
      <c r="R622" s="153">
        <f t="shared" si="63"/>
        <v>0</v>
      </c>
      <c r="S622" s="154">
        <f t="shared" si="6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hidden="1" customHeight="1">
      <c r="A623" s="150"/>
      <c r="B623" s="150"/>
      <c r="C623" s="151"/>
      <c r="D623" s="151"/>
      <c r="E623" s="151"/>
      <c r="F623" s="150"/>
      <c r="G623" s="150"/>
      <c r="H623" s="150"/>
      <c r="I623" s="157"/>
      <c r="J623" s="157"/>
      <c r="K623" s="157"/>
      <c r="L623" s="153">
        <f t="shared" si="60"/>
        <v>0</v>
      </c>
      <c r="M623" s="154">
        <f t="shared" si="61"/>
        <v>0</v>
      </c>
      <c r="N623" s="155">
        <f>+IF(OR($Q623=Parametres!$G$2,$Q623=Parametres!$G$3),I623,C623)</f>
        <v>0</v>
      </c>
      <c r="O623" s="155">
        <f>+IF(OR($Q623=Parametres!$G$2,$Q623=Parametres!$G$3),J623,D623)</f>
        <v>0</v>
      </c>
      <c r="P623" s="155">
        <f>+IF(OR($Q623=Parametres!$G$2,$Q623=Parametres!$G$3),K623,E623)</f>
        <v>0</v>
      </c>
      <c r="Q623" s="154">
        <f t="shared" si="62"/>
        <v>0</v>
      </c>
      <c r="R623" s="153">
        <f t="shared" si="63"/>
        <v>0</v>
      </c>
      <c r="S623" s="154">
        <f t="shared" si="6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hidden="1" customHeight="1">
      <c r="A624" s="150"/>
      <c r="B624" s="150"/>
      <c r="C624" s="151"/>
      <c r="D624" s="151"/>
      <c r="E624" s="151"/>
      <c r="F624" s="150"/>
      <c r="G624" s="150"/>
      <c r="H624" s="150"/>
      <c r="I624" s="157"/>
      <c r="J624" s="157"/>
      <c r="K624" s="157"/>
      <c r="L624" s="153">
        <f t="shared" si="60"/>
        <v>0</v>
      </c>
      <c r="M624" s="154">
        <f t="shared" si="61"/>
        <v>0</v>
      </c>
      <c r="N624" s="155">
        <f>+IF(OR($Q624=Parametres!$G$2,$Q624=Parametres!$G$3),I624,C624)</f>
        <v>0</v>
      </c>
      <c r="O624" s="155">
        <f>+IF(OR($Q624=Parametres!$G$2,$Q624=Parametres!$G$3),J624,D624)</f>
        <v>0</v>
      </c>
      <c r="P624" s="155">
        <f>+IF(OR($Q624=Parametres!$G$2,$Q624=Parametres!$G$3),K624,E624)</f>
        <v>0</v>
      </c>
      <c r="Q624" s="154">
        <f t="shared" si="62"/>
        <v>0</v>
      </c>
      <c r="R624" s="153">
        <f t="shared" si="63"/>
        <v>0</v>
      </c>
      <c r="S624" s="154">
        <f t="shared" si="6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hidden="1" customHeight="1">
      <c r="A625" s="150"/>
      <c r="B625" s="150"/>
      <c r="C625" s="151"/>
      <c r="D625" s="151"/>
      <c r="E625" s="151"/>
      <c r="F625" s="150"/>
      <c r="G625" s="150"/>
      <c r="H625" s="150"/>
      <c r="I625" s="157"/>
      <c r="J625" s="157"/>
      <c r="K625" s="157"/>
      <c r="L625" s="153">
        <f t="shared" si="60"/>
        <v>0</v>
      </c>
      <c r="M625" s="154">
        <f t="shared" si="61"/>
        <v>0</v>
      </c>
      <c r="N625" s="155">
        <f>+IF(OR($Q625=Parametres!$G$2,$Q625=Parametres!$G$3),I625,C625)</f>
        <v>0</v>
      </c>
      <c r="O625" s="155">
        <f>+IF(OR($Q625=Parametres!$G$2,$Q625=Parametres!$G$3),J625,D625)</f>
        <v>0</v>
      </c>
      <c r="P625" s="155">
        <f>+IF(OR($Q625=Parametres!$G$2,$Q625=Parametres!$G$3),K625,E625)</f>
        <v>0</v>
      </c>
      <c r="Q625" s="154">
        <f t="shared" si="62"/>
        <v>0</v>
      </c>
      <c r="R625" s="153">
        <f t="shared" si="63"/>
        <v>0</v>
      </c>
      <c r="S625" s="154">
        <f t="shared" si="6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hidden="1" customHeight="1">
      <c r="A626" s="150"/>
      <c r="B626" s="150"/>
      <c r="C626" s="151"/>
      <c r="D626" s="151"/>
      <c r="E626" s="151"/>
      <c r="F626" s="150"/>
      <c r="G626" s="150"/>
      <c r="H626" s="150"/>
      <c r="I626" s="157"/>
      <c r="J626" s="157"/>
      <c r="K626" s="157"/>
      <c r="L626" s="153">
        <f t="shared" si="60"/>
        <v>0</v>
      </c>
      <c r="M626" s="154">
        <f t="shared" si="61"/>
        <v>0</v>
      </c>
      <c r="N626" s="155">
        <f>+IF(OR($Q626=Parametres!$G$2,$Q626=Parametres!$G$3),I626,C626)</f>
        <v>0</v>
      </c>
      <c r="O626" s="155">
        <f>+IF(OR($Q626=Parametres!$G$2,$Q626=Parametres!$G$3),J626,D626)</f>
        <v>0</v>
      </c>
      <c r="P626" s="155">
        <f>+IF(OR($Q626=Parametres!$G$2,$Q626=Parametres!$G$3),K626,E626)</f>
        <v>0</v>
      </c>
      <c r="Q626" s="154">
        <f t="shared" si="62"/>
        <v>0</v>
      </c>
      <c r="R626" s="153">
        <f t="shared" si="63"/>
        <v>0</v>
      </c>
      <c r="S626" s="154">
        <f t="shared" si="64"/>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hidden="1" customHeight="1">
      <c r="A627" s="150"/>
      <c r="B627" s="150"/>
      <c r="C627" s="151"/>
      <c r="D627" s="151"/>
      <c r="E627" s="151"/>
      <c r="F627" s="150"/>
      <c r="G627" s="150"/>
      <c r="H627" s="150"/>
      <c r="I627" s="157"/>
      <c r="J627" s="157"/>
      <c r="K627" s="157"/>
      <c r="L627" s="153">
        <f t="shared" si="60"/>
        <v>0</v>
      </c>
      <c r="M627" s="154">
        <f t="shared" si="61"/>
        <v>0</v>
      </c>
      <c r="N627" s="155">
        <f>+IF(OR($Q627=Parametres!$G$2,$Q627=Parametres!$G$3),I627,C627)</f>
        <v>0</v>
      </c>
      <c r="O627" s="155">
        <f>+IF(OR($Q627=Parametres!$G$2,$Q627=Parametres!$G$3),J627,D627)</f>
        <v>0</v>
      </c>
      <c r="P627" s="155">
        <f>+IF(OR($Q627=Parametres!$G$2,$Q627=Parametres!$G$3),K627,E627)</f>
        <v>0</v>
      </c>
      <c r="Q627" s="154">
        <f t="shared" si="62"/>
        <v>0</v>
      </c>
      <c r="R627" s="153">
        <f t="shared" si="63"/>
        <v>0</v>
      </c>
      <c r="S627" s="154">
        <f t="shared" si="64"/>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hidden="1" customHeight="1">
      <c r="A628" s="150"/>
      <c r="B628" s="150"/>
      <c r="C628" s="151"/>
      <c r="D628" s="151"/>
      <c r="E628" s="151"/>
      <c r="F628" s="150"/>
      <c r="G628" s="150"/>
      <c r="H628" s="150"/>
      <c r="I628" s="157"/>
      <c r="J628" s="157"/>
      <c r="K628" s="157"/>
      <c r="L628" s="153">
        <f t="shared" si="60"/>
        <v>0</v>
      </c>
      <c r="M628" s="154">
        <f t="shared" si="61"/>
        <v>0</v>
      </c>
      <c r="N628" s="155">
        <f>+IF(OR($Q628=Parametres!$G$2,$Q628=Parametres!$G$3),I628,C628)</f>
        <v>0</v>
      </c>
      <c r="O628" s="155">
        <f>+IF(OR($Q628=Parametres!$G$2,$Q628=Parametres!$G$3),J628,D628)</f>
        <v>0</v>
      </c>
      <c r="P628" s="155">
        <f>+IF(OR($Q628=Parametres!$G$2,$Q628=Parametres!$G$3),K628,E628)</f>
        <v>0</v>
      </c>
      <c r="Q628" s="154">
        <f t="shared" si="62"/>
        <v>0</v>
      </c>
      <c r="R628" s="153">
        <f t="shared" si="63"/>
        <v>0</v>
      </c>
      <c r="S628" s="154">
        <f t="shared" si="64"/>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hidden="1" customHeight="1">
      <c r="A629" s="150"/>
      <c r="B629" s="150"/>
      <c r="C629" s="151"/>
      <c r="D629" s="151"/>
      <c r="E629" s="151"/>
      <c r="F629" s="150"/>
      <c r="G629" s="150"/>
      <c r="H629" s="150"/>
      <c r="I629" s="157"/>
      <c r="J629" s="157"/>
      <c r="K629" s="157"/>
      <c r="L629" s="153">
        <f t="shared" si="60"/>
        <v>0</v>
      </c>
      <c r="M629" s="154">
        <f t="shared" si="61"/>
        <v>0</v>
      </c>
      <c r="N629" s="155">
        <f>+IF(OR($Q629=Parametres!$G$2,$Q629=Parametres!$G$3),I629,C629)</f>
        <v>0</v>
      </c>
      <c r="O629" s="155">
        <f>+IF(OR($Q629=Parametres!$G$2,$Q629=Parametres!$G$3),J629,D629)</f>
        <v>0</v>
      </c>
      <c r="P629" s="155">
        <f>+IF(OR($Q629=Parametres!$G$2,$Q629=Parametres!$G$3),K629,E629)</f>
        <v>0</v>
      </c>
      <c r="Q629" s="154">
        <f t="shared" si="62"/>
        <v>0</v>
      </c>
      <c r="R629" s="153">
        <f t="shared" si="63"/>
        <v>0</v>
      </c>
      <c r="S629" s="154">
        <f t="shared" si="64"/>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hidden="1" customHeight="1">
      <c r="A630" s="150"/>
      <c r="B630" s="150"/>
      <c r="C630" s="151"/>
      <c r="D630" s="151"/>
      <c r="E630" s="151"/>
      <c r="F630" s="150"/>
      <c r="G630" s="150"/>
      <c r="H630" s="150"/>
      <c r="I630" s="157"/>
      <c r="J630" s="157"/>
      <c r="K630" s="157"/>
      <c r="L630" s="153">
        <f t="shared" si="60"/>
        <v>0</v>
      </c>
      <c r="M630" s="154">
        <f t="shared" si="61"/>
        <v>0</v>
      </c>
      <c r="N630" s="155">
        <f>+IF(OR($Q630=Parametres!$G$2,$Q630=Parametres!$G$3),I630,C630)</f>
        <v>0</v>
      </c>
      <c r="O630" s="155">
        <f>+IF(OR($Q630=Parametres!$G$2,$Q630=Parametres!$G$3),J630,D630)</f>
        <v>0</v>
      </c>
      <c r="P630" s="155">
        <f>+IF(OR($Q630=Parametres!$G$2,$Q630=Parametres!$G$3),K630,E630)</f>
        <v>0</v>
      </c>
      <c r="Q630" s="154">
        <f t="shared" si="62"/>
        <v>0</v>
      </c>
      <c r="R630" s="153">
        <f t="shared" si="63"/>
        <v>0</v>
      </c>
      <c r="S630" s="154">
        <f t="shared" si="64"/>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hidden="1" customHeight="1">
      <c r="A631" s="150"/>
      <c r="B631" s="150"/>
      <c r="C631" s="151"/>
      <c r="D631" s="151"/>
      <c r="E631" s="151"/>
      <c r="F631" s="150"/>
      <c r="G631" s="150"/>
      <c r="H631" s="150"/>
      <c r="I631" s="157"/>
      <c r="J631" s="157"/>
      <c r="K631" s="157"/>
      <c r="L631" s="153">
        <f t="shared" si="60"/>
        <v>0</v>
      </c>
      <c r="M631" s="154">
        <f t="shared" si="61"/>
        <v>0</v>
      </c>
      <c r="N631" s="155">
        <f>+IF(OR($Q631=Parametres!$G$2,$Q631=Parametres!$G$3),I631,C631)</f>
        <v>0</v>
      </c>
      <c r="O631" s="155">
        <f>+IF(OR($Q631=Parametres!$G$2,$Q631=Parametres!$G$3),J631,D631)</f>
        <v>0</v>
      </c>
      <c r="P631" s="155">
        <f>+IF(OR($Q631=Parametres!$G$2,$Q631=Parametres!$G$3),K631,E631)</f>
        <v>0</v>
      </c>
      <c r="Q631" s="154">
        <f t="shared" si="62"/>
        <v>0</v>
      </c>
      <c r="R631" s="153">
        <f t="shared" si="63"/>
        <v>0</v>
      </c>
      <c r="S631" s="154">
        <f t="shared" si="64"/>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hidden="1" customHeight="1">
      <c r="A632" s="150"/>
      <c r="B632" s="150"/>
      <c r="C632" s="151"/>
      <c r="D632" s="151"/>
      <c r="E632" s="151"/>
      <c r="F632" s="150"/>
      <c r="G632" s="150"/>
      <c r="H632" s="150"/>
      <c r="I632" s="157"/>
      <c r="J632" s="157"/>
      <c r="K632" s="157"/>
      <c r="L632" s="153">
        <f t="shared" si="60"/>
        <v>0</v>
      </c>
      <c r="M632" s="154">
        <f t="shared" si="61"/>
        <v>0</v>
      </c>
      <c r="N632" s="155">
        <f>+IF(OR($Q632=Parametres!$G$2,$Q632=Parametres!$G$3),I632,C632)</f>
        <v>0</v>
      </c>
      <c r="O632" s="155">
        <f>+IF(OR($Q632=Parametres!$G$2,$Q632=Parametres!$G$3),J632,D632)</f>
        <v>0</v>
      </c>
      <c r="P632" s="155">
        <f>+IF(OR($Q632=Parametres!$G$2,$Q632=Parametres!$G$3),K632,E632)</f>
        <v>0</v>
      </c>
      <c r="Q632" s="154">
        <f t="shared" si="62"/>
        <v>0</v>
      </c>
      <c r="R632" s="153">
        <f t="shared" si="63"/>
        <v>0</v>
      </c>
      <c r="S632" s="154">
        <f t="shared" si="64"/>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hidden="1" customHeight="1">
      <c r="A633" s="150"/>
      <c r="B633" s="150"/>
      <c r="C633" s="151"/>
      <c r="D633" s="151"/>
      <c r="E633" s="151"/>
      <c r="F633" s="150"/>
      <c r="G633" s="150"/>
      <c r="H633" s="150"/>
      <c r="I633" s="157"/>
      <c r="J633" s="157"/>
      <c r="K633" s="157"/>
      <c r="L633" s="153">
        <f t="shared" si="60"/>
        <v>0</v>
      </c>
      <c r="M633" s="154">
        <f t="shared" si="61"/>
        <v>0</v>
      </c>
      <c r="N633" s="155">
        <f>+IF(OR($Q633=Parametres!$G$2,$Q633=Parametres!$G$3),I633,C633)</f>
        <v>0</v>
      </c>
      <c r="O633" s="155">
        <f>+IF(OR($Q633=Parametres!$G$2,$Q633=Parametres!$G$3),J633,D633)</f>
        <v>0</v>
      </c>
      <c r="P633" s="155">
        <f>+IF(OR($Q633=Parametres!$G$2,$Q633=Parametres!$G$3),K633,E633)</f>
        <v>0</v>
      </c>
      <c r="Q633" s="154">
        <f t="shared" si="62"/>
        <v>0</v>
      </c>
      <c r="R633" s="153">
        <f t="shared" si="63"/>
        <v>0</v>
      </c>
      <c r="S633" s="154">
        <f t="shared" si="64"/>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hidden="1" customHeight="1">
      <c r="A634" s="150"/>
      <c r="B634" s="150"/>
      <c r="C634" s="151"/>
      <c r="D634" s="151"/>
      <c r="E634" s="151"/>
      <c r="F634" s="150"/>
      <c r="G634" s="150"/>
      <c r="H634" s="150"/>
      <c r="I634" s="157"/>
      <c r="J634" s="157"/>
      <c r="K634" s="157"/>
      <c r="L634" s="153">
        <f t="shared" si="60"/>
        <v>0</v>
      </c>
      <c r="M634" s="154">
        <f t="shared" si="61"/>
        <v>0</v>
      </c>
      <c r="N634" s="155">
        <f>+IF(OR($Q634=Parametres!$G$2,$Q634=Parametres!$G$3),I634,C634)</f>
        <v>0</v>
      </c>
      <c r="O634" s="155">
        <f>+IF(OR($Q634=Parametres!$G$2,$Q634=Parametres!$G$3),J634,D634)</f>
        <v>0</v>
      </c>
      <c r="P634" s="155">
        <f>+IF(OR($Q634=Parametres!$G$2,$Q634=Parametres!$G$3),K634,E634)</f>
        <v>0</v>
      </c>
      <c r="Q634" s="154">
        <f t="shared" si="62"/>
        <v>0</v>
      </c>
      <c r="R634" s="153">
        <f t="shared" si="63"/>
        <v>0</v>
      </c>
      <c r="S634" s="154">
        <f t="shared" si="64"/>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hidden="1" customHeight="1">
      <c r="A635" s="150"/>
      <c r="B635" s="150"/>
      <c r="C635" s="151"/>
      <c r="D635" s="151"/>
      <c r="E635" s="151"/>
      <c r="F635" s="150"/>
      <c r="G635" s="150"/>
      <c r="H635" s="150"/>
      <c r="I635" s="157"/>
      <c r="J635" s="157"/>
      <c r="K635" s="157"/>
      <c r="L635" s="153">
        <f t="shared" si="60"/>
        <v>0</v>
      </c>
      <c r="M635" s="154">
        <f t="shared" si="61"/>
        <v>0</v>
      </c>
      <c r="N635" s="155">
        <f>+IF(OR($Q635=Parametres!$G$2,$Q635=Parametres!$G$3),I635,C635)</f>
        <v>0</v>
      </c>
      <c r="O635" s="155">
        <f>+IF(OR($Q635=Parametres!$G$2,$Q635=Parametres!$G$3),J635,D635)</f>
        <v>0</v>
      </c>
      <c r="P635" s="155">
        <f>+IF(OR($Q635=Parametres!$G$2,$Q635=Parametres!$G$3),K635,E635)</f>
        <v>0</v>
      </c>
      <c r="Q635" s="154">
        <f t="shared" si="62"/>
        <v>0</v>
      </c>
      <c r="R635" s="153">
        <f t="shared" si="63"/>
        <v>0</v>
      </c>
      <c r="S635" s="154">
        <f t="shared" si="64"/>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hidden="1" customHeight="1">
      <c r="A636" s="150"/>
      <c r="B636" s="150"/>
      <c r="C636" s="151"/>
      <c r="D636" s="151"/>
      <c r="E636" s="151"/>
      <c r="F636" s="150"/>
      <c r="G636" s="150"/>
      <c r="H636" s="150"/>
      <c r="I636" s="157"/>
      <c r="J636" s="157"/>
      <c r="K636" s="157"/>
      <c r="L636" s="153">
        <f t="shared" si="60"/>
        <v>0</v>
      </c>
      <c r="M636" s="154">
        <f t="shared" si="61"/>
        <v>0</v>
      </c>
      <c r="N636" s="155">
        <f>+IF(OR($Q636=Parametres!$G$2,$Q636=Parametres!$G$3),I636,C636)</f>
        <v>0</v>
      </c>
      <c r="O636" s="155">
        <f>+IF(OR($Q636=Parametres!$G$2,$Q636=Parametres!$G$3),J636,D636)</f>
        <v>0</v>
      </c>
      <c r="P636" s="155">
        <f>+IF(OR($Q636=Parametres!$G$2,$Q636=Parametres!$G$3),K636,E636)</f>
        <v>0</v>
      </c>
      <c r="Q636" s="154">
        <f t="shared" si="62"/>
        <v>0</v>
      </c>
      <c r="R636" s="153">
        <f t="shared" si="63"/>
        <v>0</v>
      </c>
      <c r="S636" s="154">
        <f t="shared" si="64"/>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hidden="1" customHeight="1">
      <c r="A637" s="150"/>
      <c r="B637" s="150"/>
      <c r="C637" s="151"/>
      <c r="D637" s="151"/>
      <c r="E637" s="151"/>
      <c r="F637" s="150"/>
      <c r="G637" s="150"/>
      <c r="H637" s="150"/>
      <c r="I637" s="157"/>
      <c r="J637" s="157"/>
      <c r="K637" s="157"/>
      <c r="L637" s="153">
        <f t="shared" si="60"/>
        <v>0</v>
      </c>
      <c r="M637" s="154">
        <f t="shared" si="61"/>
        <v>0</v>
      </c>
      <c r="N637" s="155">
        <f>+IF(OR($Q637=Parametres!$G$2,$Q637=Parametres!$G$3),I637,C637)</f>
        <v>0</v>
      </c>
      <c r="O637" s="155">
        <f>+IF(OR($Q637=Parametres!$G$2,$Q637=Parametres!$G$3),J637,D637)</f>
        <v>0</v>
      </c>
      <c r="P637" s="155">
        <f>+IF(OR($Q637=Parametres!$G$2,$Q637=Parametres!$G$3),K637,E637)</f>
        <v>0</v>
      </c>
      <c r="Q637" s="154">
        <f t="shared" si="62"/>
        <v>0</v>
      </c>
      <c r="R637" s="153">
        <f t="shared" si="63"/>
        <v>0</v>
      </c>
      <c r="S637" s="154">
        <f t="shared" si="64"/>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hidden="1" customHeight="1">
      <c r="A638" s="150"/>
      <c r="B638" s="150"/>
      <c r="C638" s="151"/>
      <c r="D638" s="151"/>
      <c r="E638" s="151"/>
      <c r="F638" s="150"/>
      <c r="G638" s="150"/>
      <c r="H638" s="150"/>
      <c r="I638" s="157"/>
      <c r="J638" s="157"/>
      <c r="K638" s="157"/>
      <c r="L638" s="153">
        <f t="shared" si="60"/>
        <v>0</v>
      </c>
      <c r="M638" s="154">
        <f t="shared" si="61"/>
        <v>0</v>
      </c>
      <c r="N638" s="155">
        <f>+IF(OR($Q638=Parametres!$G$2,$Q638=Parametres!$G$3),I638,C638)</f>
        <v>0</v>
      </c>
      <c r="O638" s="155">
        <f>+IF(OR($Q638=Parametres!$G$2,$Q638=Parametres!$G$3),J638,D638)</f>
        <v>0</v>
      </c>
      <c r="P638" s="155">
        <f>+IF(OR($Q638=Parametres!$G$2,$Q638=Parametres!$G$3),K638,E638)</f>
        <v>0</v>
      </c>
      <c r="Q638" s="154">
        <f t="shared" si="62"/>
        <v>0</v>
      </c>
      <c r="R638" s="153">
        <f t="shared" si="63"/>
        <v>0</v>
      </c>
      <c r="S638" s="154">
        <f t="shared" si="64"/>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hidden="1" customHeight="1">
      <c r="A639" s="150"/>
      <c r="B639" s="150"/>
      <c r="C639" s="151"/>
      <c r="D639" s="151"/>
      <c r="E639" s="151"/>
      <c r="F639" s="150"/>
      <c r="G639" s="150"/>
      <c r="H639" s="150"/>
      <c r="I639" s="157"/>
      <c r="J639" s="157"/>
      <c r="K639" s="157"/>
      <c r="L639" s="153">
        <f t="shared" si="60"/>
        <v>0</v>
      </c>
      <c r="M639" s="154">
        <f t="shared" si="61"/>
        <v>0</v>
      </c>
      <c r="N639" s="155">
        <f>+IF(OR($Q639=Parametres!$G$2,$Q639=Parametres!$G$3),I639,C639)</f>
        <v>0</v>
      </c>
      <c r="O639" s="155">
        <f>+IF(OR($Q639=Parametres!$G$2,$Q639=Parametres!$G$3),J639,D639)</f>
        <v>0</v>
      </c>
      <c r="P639" s="155">
        <f>+IF(OR($Q639=Parametres!$G$2,$Q639=Parametres!$G$3),K639,E639)</f>
        <v>0</v>
      </c>
      <c r="Q639" s="154">
        <f t="shared" si="62"/>
        <v>0</v>
      </c>
      <c r="R639" s="153">
        <f t="shared" si="63"/>
        <v>0</v>
      </c>
      <c r="S639" s="154">
        <f t="shared" si="64"/>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hidden="1" customHeight="1">
      <c r="A640" s="150"/>
      <c r="B640" s="150"/>
      <c r="C640" s="151"/>
      <c r="D640" s="151"/>
      <c r="E640" s="151"/>
      <c r="F640" s="150"/>
      <c r="G640" s="150"/>
      <c r="H640" s="150"/>
      <c r="I640" s="157"/>
      <c r="J640" s="157"/>
      <c r="K640" s="157"/>
      <c r="L640" s="153">
        <f t="shared" si="60"/>
        <v>0</v>
      </c>
      <c r="M640" s="154">
        <f t="shared" si="61"/>
        <v>0</v>
      </c>
      <c r="N640" s="155">
        <f>+IF(OR($Q640=Parametres!$G$2,$Q640=Parametres!$G$3),I640,C640)</f>
        <v>0</v>
      </c>
      <c r="O640" s="155">
        <f>+IF(OR($Q640=Parametres!$G$2,$Q640=Parametres!$G$3),J640,D640)</f>
        <v>0</v>
      </c>
      <c r="P640" s="155">
        <f>+IF(OR($Q640=Parametres!$G$2,$Q640=Parametres!$G$3),K640,E640)</f>
        <v>0</v>
      </c>
      <c r="Q640" s="154">
        <f t="shared" si="62"/>
        <v>0</v>
      </c>
      <c r="R640" s="153">
        <f t="shared" si="63"/>
        <v>0</v>
      </c>
      <c r="S640" s="154">
        <f t="shared" si="64"/>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hidden="1" customHeight="1">
      <c r="A641" s="150"/>
      <c r="B641" s="150"/>
      <c r="C641" s="151"/>
      <c r="D641" s="151"/>
      <c r="E641" s="151"/>
      <c r="F641" s="150"/>
      <c r="G641" s="150"/>
      <c r="H641" s="150"/>
      <c r="I641" s="157"/>
      <c r="J641" s="157"/>
      <c r="K641" s="157"/>
      <c r="L641" s="153">
        <f t="shared" si="60"/>
        <v>0</v>
      </c>
      <c r="M641" s="154">
        <f t="shared" si="61"/>
        <v>0</v>
      </c>
      <c r="N641" s="155">
        <f>+IF(OR($Q641=Parametres!$G$2,$Q641=Parametres!$G$3),I641,C641)</f>
        <v>0</v>
      </c>
      <c r="O641" s="155">
        <f>+IF(OR($Q641=Parametres!$G$2,$Q641=Parametres!$G$3),J641,D641)</f>
        <v>0</v>
      </c>
      <c r="P641" s="155">
        <f>+IF(OR($Q641=Parametres!$G$2,$Q641=Parametres!$G$3),K641,E641)</f>
        <v>0</v>
      </c>
      <c r="Q641" s="154">
        <f t="shared" si="62"/>
        <v>0</v>
      </c>
      <c r="R641" s="153">
        <f t="shared" si="63"/>
        <v>0</v>
      </c>
      <c r="S641" s="154">
        <f t="shared" si="64"/>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hidden="1" customHeight="1">
      <c r="A642" s="150"/>
      <c r="B642" s="150"/>
      <c r="C642" s="151"/>
      <c r="D642" s="151"/>
      <c r="E642" s="151"/>
      <c r="F642" s="150"/>
      <c r="G642" s="150"/>
      <c r="H642" s="150"/>
      <c r="I642" s="157"/>
      <c r="J642" s="157"/>
      <c r="K642" s="157"/>
      <c r="L642" s="153">
        <f t="shared" ref="L642:L705" si="65">+B642</f>
        <v>0</v>
      </c>
      <c r="M642" s="154">
        <f t="shared" ref="M642:M705" si="66">+A642</f>
        <v>0</v>
      </c>
      <c r="N642" s="155">
        <f>+IF(OR($Q642=Parametres!$G$2,$Q642=Parametres!$G$3),I642,C642)</f>
        <v>0</v>
      </c>
      <c r="O642" s="155">
        <f>+IF(OR($Q642=Parametres!$G$2,$Q642=Parametres!$G$3),J642,D642)</f>
        <v>0</v>
      </c>
      <c r="P642" s="155">
        <f>+IF(OR($Q642=Parametres!$G$2,$Q642=Parametres!$G$3),K642,E642)</f>
        <v>0</v>
      </c>
      <c r="Q642" s="154">
        <f t="shared" ref="Q642:Q705" si="67">+F642</f>
        <v>0</v>
      </c>
      <c r="R642" s="153">
        <f t="shared" ref="R642:R705" si="68">+G642</f>
        <v>0</v>
      </c>
      <c r="S642" s="154">
        <f t="shared" ref="S642:S705" si="69">+H642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hidden="1" customHeight="1">
      <c r="A643" s="150"/>
      <c r="B643" s="150"/>
      <c r="C643" s="151"/>
      <c r="D643" s="151"/>
      <c r="E643" s="151"/>
      <c r="F643" s="150"/>
      <c r="G643" s="150"/>
      <c r="H643" s="150"/>
      <c r="I643" s="157"/>
      <c r="J643" s="157"/>
      <c r="K643" s="157"/>
      <c r="L643" s="153">
        <f t="shared" si="65"/>
        <v>0</v>
      </c>
      <c r="M643" s="154">
        <f t="shared" si="66"/>
        <v>0</v>
      </c>
      <c r="N643" s="155">
        <f>+IF(OR($Q643=Parametres!$G$2,$Q643=Parametres!$G$3),I643,C643)</f>
        <v>0</v>
      </c>
      <c r="O643" s="155">
        <f>+IF(OR($Q643=Parametres!$G$2,$Q643=Parametres!$G$3),J643,D643)</f>
        <v>0</v>
      </c>
      <c r="P643" s="155">
        <f>+IF(OR($Q643=Parametres!$G$2,$Q643=Parametres!$G$3),K643,E643)</f>
        <v>0</v>
      </c>
      <c r="Q643" s="154">
        <f t="shared" si="67"/>
        <v>0</v>
      </c>
      <c r="R643" s="153">
        <f t="shared" si="68"/>
        <v>0</v>
      </c>
      <c r="S643" s="154">
        <f t="shared" si="69"/>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hidden="1" customHeight="1">
      <c r="A644" s="150"/>
      <c r="B644" s="150"/>
      <c r="C644" s="151"/>
      <c r="D644" s="151"/>
      <c r="E644" s="151"/>
      <c r="F644" s="150"/>
      <c r="G644" s="150"/>
      <c r="H644" s="150"/>
      <c r="I644" s="157"/>
      <c r="J644" s="157"/>
      <c r="K644" s="157"/>
      <c r="L644" s="153">
        <f t="shared" si="65"/>
        <v>0</v>
      </c>
      <c r="M644" s="154">
        <f t="shared" si="66"/>
        <v>0</v>
      </c>
      <c r="N644" s="155">
        <f>+IF(OR($Q644=Parametres!$G$2,$Q644=Parametres!$G$3),I644,C644)</f>
        <v>0</v>
      </c>
      <c r="O644" s="155">
        <f>+IF(OR($Q644=Parametres!$G$2,$Q644=Parametres!$G$3),J644,D644)</f>
        <v>0</v>
      </c>
      <c r="P644" s="155">
        <f>+IF(OR($Q644=Parametres!$G$2,$Q644=Parametres!$G$3),K644,E644)</f>
        <v>0</v>
      </c>
      <c r="Q644" s="154">
        <f t="shared" si="67"/>
        <v>0</v>
      </c>
      <c r="R644" s="153">
        <f t="shared" si="68"/>
        <v>0</v>
      </c>
      <c r="S644" s="154">
        <f t="shared" si="69"/>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hidden="1" customHeight="1">
      <c r="A645" s="150"/>
      <c r="B645" s="150"/>
      <c r="C645" s="151"/>
      <c r="D645" s="151"/>
      <c r="E645" s="151"/>
      <c r="F645" s="150"/>
      <c r="G645" s="150"/>
      <c r="H645" s="150"/>
      <c r="I645" s="157"/>
      <c r="J645" s="157"/>
      <c r="K645" s="157"/>
      <c r="L645" s="153">
        <f t="shared" si="65"/>
        <v>0</v>
      </c>
      <c r="M645" s="154">
        <f t="shared" si="66"/>
        <v>0</v>
      </c>
      <c r="N645" s="155">
        <f>+IF(OR($Q645=Parametres!$G$2,$Q645=Parametres!$G$3),I645,C645)</f>
        <v>0</v>
      </c>
      <c r="O645" s="155">
        <f>+IF(OR($Q645=Parametres!$G$2,$Q645=Parametres!$G$3),J645,D645)</f>
        <v>0</v>
      </c>
      <c r="P645" s="155">
        <f>+IF(OR($Q645=Parametres!$G$2,$Q645=Parametres!$G$3),K645,E645)</f>
        <v>0</v>
      </c>
      <c r="Q645" s="154">
        <f t="shared" si="67"/>
        <v>0</v>
      </c>
      <c r="R645" s="153">
        <f t="shared" si="68"/>
        <v>0</v>
      </c>
      <c r="S645" s="154">
        <f t="shared" si="69"/>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hidden="1" customHeight="1">
      <c r="A646" s="150"/>
      <c r="B646" s="150"/>
      <c r="C646" s="151"/>
      <c r="D646" s="151"/>
      <c r="E646" s="151"/>
      <c r="F646" s="150"/>
      <c r="G646" s="150"/>
      <c r="H646" s="150"/>
      <c r="I646" s="157"/>
      <c r="J646" s="157"/>
      <c r="K646" s="157"/>
      <c r="L646" s="153">
        <f t="shared" si="65"/>
        <v>0</v>
      </c>
      <c r="M646" s="154">
        <f t="shared" si="66"/>
        <v>0</v>
      </c>
      <c r="N646" s="155">
        <f>+IF(OR($Q646=Parametres!$G$2,$Q646=Parametres!$G$3),I646,C646)</f>
        <v>0</v>
      </c>
      <c r="O646" s="155">
        <f>+IF(OR($Q646=Parametres!$G$2,$Q646=Parametres!$G$3),J646,D646)</f>
        <v>0</v>
      </c>
      <c r="P646" s="155">
        <f>+IF(OR($Q646=Parametres!$G$2,$Q646=Parametres!$G$3),K646,E646)</f>
        <v>0</v>
      </c>
      <c r="Q646" s="154">
        <f t="shared" si="67"/>
        <v>0</v>
      </c>
      <c r="R646" s="153">
        <f t="shared" si="68"/>
        <v>0</v>
      </c>
      <c r="S646" s="154">
        <f t="shared" si="69"/>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hidden="1" customHeight="1">
      <c r="A647" s="150"/>
      <c r="B647" s="150"/>
      <c r="C647" s="151"/>
      <c r="D647" s="151"/>
      <c r="E647" s="151"/>
      <c r="F647" s="150"/>
      <c r="G647" s="150"/>
      <c r="H647" s="150"/>
      <c r="I647" s="157"/>
      <c r="J647" s="157"/>
      <c r="K647" s="157"/>
      <c r="L647" s="153">
        <f t="shared" si="65"/>
        <v>0</v>
      </c>
      <c r="M647" s="154">
        <f t="shared" si="66"/>
        <v>0</v>
      </c>
      <c r="N647" s="155">
        <f>+IF(OR($Q647=Parametres!$G$2,$Q647=Parametres!$G$3),I647,C647)</f>
        <v>0</v>
      </c>
      <c r="O647" s="155">
        <f>+IF(OR($Q647=Parametres!$G$2,$Q647=Parametres!$G$3),J647,D647)</f>
        <v>0</v>
      </c>
      <c r="P647" s="155">
        <f>+IF(OR($Q647=Parametres!$G$2,$Q647=Parametres!$G$3),K647,E647)</f>
        <v>0</v>
      </c>
      <c r="Q647" s="154">
        <f t="shared" si="67"/>
        <v>0</v>
      </c>
      <c r="R647" s="153">
        <f t="shared" si="68"/>
        <v>0</v>
      </c>
      <c r="S647" s="154">
        <f t="shared" si="69"/>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hidden="1" customHeight="1">
      <c r="A648" s="150"/>
      <c r="B648" s="150"/>
      <c r="C648" s="151"/>
      <c r="D648" s="151"/>
      <c r="E648" s="151"/>
      <c r="F648" s="150"/>
      <c r="G648" s="150"/>
      <c r="H648" s="150"/>
      <c r="I648" s="157"/>
      <c r="J648" s="157"/>
      <c r="K648" s="157"/>
      <c r="L648" s="153">
        <f t="shared" si="65"/>
        <v>0</v>
      </c>
      <c r="M648" s="154">
        <f t="shared" si="66"/>
        <v>0</v>
      </c>
      <c r="N648" s="155">
        <f>+IF(OR($Q648=Parametres!$G$2,$Q648=Parametres!$G$3),I648,C648)</f>
        <v>0</v>
      </c>
      <c r="O648" s="155">
        <f>+IF(OR($Q648=Parametres!$G$2,$Q648=Parametres!$G$3),J648,D648)</f>
        <v>0</v>
      </c>
      <c r="P648" s="155">
        <f>+IF(OR($Q648=Parametres!$G$2,$Q648=Parametres!$G$3),K648,E648)</f>
        <v>0</v>
      </c>
      <c r="Q648" s="154">
        <f t="shared" si="67"/>
        <v>0</v>
      </c>
      <c r="R648" s="153">
        <f t="shared" si="68"/>
        <v>0</v>
      </c>
      <c r="S648" s="154">
        <f t="shared" si="69"/>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hidden="1" customHeight="1">
      <c r="A649" s="150"/>
      <c r="B649" s="150"/>
      <c r="C649" s="151"/>
      <c r="D649" s="151"/>
      <c r="E649" s="151"/>
      <c r="F649" s="150"/>
      <c r="G649" s="150"/>
      <c r="H649" s="150"/>
      <c r="I649" s="157"/>
      <c r="J649" s="157"/>
      <c r="K649" s="157"/>
      <c r="L649" s="153">
        <f t="shared" si="65"/>
        <v>0</v>
      </c>
      <c r="M649" s="154">
        <f t="shared" si="66"/>
        <v>0</v>
      </c>
      <c r="N649" s="155">
        <f>+IF(OR($Q649=Parametres!$G$2,$Q649=Parametres!$G$3),I649,C649)</f>
        <v>0</v>
      </c>
      <c r="O649" s="553">
        <f>+IF(OR($Q649=Parametres!$G$2,$Q649=Parametres!$G$3),J649,D649)</f>
        <v>0</v>
      </c>
      <c r="P649" s="155">
        <f>+IF(OR($Q649=Parametres!$G$2,$Q649=Parametres!$G$3),K649,E649)</f>
        <v>0</v>
      </c>
      <c r="Q649" s="154">
        <f t="shared" si="67"/>
        <v>0</v>
      </c>
      <c r="R649" s="153">
        <f t="shared" si="68"/>
        <v>0</v>
      </c>
      <c r="S649" s="154">
        <f t="shared" si="69"/>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hidden="1" customHeight="1">
      <c r="A650" s="150"/>
      <c r="B650" s="150"/>
      <c r="C650" s="151"/>
      <c r="D650" s="151"/>
      <c r="E650" s="151"/>
      <c r="F650" s="150"/>
      <c r="G650" s="150"/>
      <c r="H650" s="150"/>
      <c r="I650" s="157"/>
      <c r="J650" s="157"/>
      <c r="K650" s="157"/>
      <c r="L650" s="153">
        <f t="shared" si="65"/>
        <v>0</v>
      </c>
      <c r="M650" s="154">
        <f t="shared" si="66"/>
        <v>0</v>
      </c>
      <c r="N650" s="155">
        <f>+IF(OR($Q650=Parametres!$G$2,$Q650=Parametres!$G$3),I650,C650)</f>
        <v>0</v>
      </c>
      <c r="O650" s="155">
        <f>+IF(OR($Q650=Parametres!$G$2,$Q650=Parametres!$G$3),J650,D650)</f>
        <v>0</v>
      </c>
      <c r="P650" s="155">
        <f>+IF(OR($Q650=Parametres!$G$2,$Q650=Parametres!$G$3),K650,E650)</f>
        <v>0</v>
      </c>
      <c r="Q650" s="154">
        <f t="shared" si="67"/>
        <v>0</v>
      </c>
      <c r="R650" s="153">
        <f t="shared" si="68"/>
        <v>0</v>
      </c>
      <c r="S650" s="154">
        <f t="shared" si="69"/>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hidden="1" customHeight="1">
      <c r="A651" s="150"/>
      <c r="B651" s="150"/>
      <c r="C651" s="151"/>
      <c r="D651" s="151"/>
      <c r="E651" s="151"/>
      <c r="F651" s="150"/>
      <c r="G651" s="150"/>
      <c r="H651" s="150"/>
      <c r="I651" s="157"/>
      <c r="J651" s="157"/>
      <c r="K651" s="157"/>
      <c r="L651" s="153">
        <f t="shared" si="65"/>
        <v>0</v>
      </c>
      <c r="M651" s="154">
        <f t="shared" si="66"/>
        <v>0</v>
      </c>
      <c r="N651" s="155">
        <f>+IF(OR($Q651=Parametres!$G$2,$Q651=Parametres!$G$3),I651,C651)</f>
        <v>0</v>
      </c>
      <c r="O651" s="553">
        <f>+IF(OR($Q651=Parametres!$G$2,$Q651=Parametres!$G$3),J651,D651)</f>
        <v>0</v>
      </c>
      <c r="P651" s="155">
        <f>+IF(OR($Q651=Parametres!$G$2,$Q651=Parametres!$G$3),K651,E651)</f>
        <v>0</v>
      </c>
      <c r="Q651" s="154">
        <f t="shared" si="67"/>
        <v>0</v>
      </c>
      <c r="R651" s="153">
        <f t="shared" si="68"/>
        <v>0</v>
      </c>
      <c r="S651" s="154">
        <f t="shared" si="69"/>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hidden="1" customHeight="1">
      <c r="A652" s="150"/>
      <c r="B652" s="150"/>
      <c r="C652" s="151"/>
      <c r="D652" s="151"/>
      <c r="E652" s="151"/>
      <c r="F652" s="150"/>
      <c r="G652" s="150"/>
      <c r="H652" s="150"/>
      <c r="I652" s="157"/>
      <c r="J652" s="157"/>
      <c r="K652" s="157"/>
      <c r="L652" s="153">
        <f t="shared" si="65"/>
        <v>0</v>
      </c>
      <c r="M652" s="154">
        <f t="shared" si="66"/>
        <v>0</v>
      </c>
      <c r="N652" s="155">
        <f>+IF(OR($Q652=Parametres!$G$2,$Q652=Parametres!$G$3),I652,C652)</f>
        <v>0</v>
      </c>
      <c r="O652" s="155">
        <f>+IF(OR($Q652=Parametres!$G$2,$Q652=Parametres!$G$3),J652,D652)</f>
        <v>0</v>
      </c>
      <c r="P652" s="155">
        <f>+IF(OR($Q652=Parametres!$G$2,$Q652=Parametres!$G$3),K652,E652)</f>
        <v>0</v>
      </c>
      <c r="Q652" s="154">
        <f t="shared" si="67"/>
        <v>0</v>
      </c>
      <c r="R652" s="153">
        <f t="shared" si="68"/>
        <v>0</v>
      </c>
      <c r="S652" s="154">
        <f t="shared" si="69"/>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hidden="1" customHeight="1">
      <c r="A653" s="150"/>
      <c r="B653" s="150"/>
      <c r="C653" s="151"/>
      <c r="D653" s="151"/>
      <c r="E653" s="151"/>
      <c r="F653" s="150"/>
      <c r="G653" s="150"/>
      <c r="H653" s="150"/>
      <c r="I653" s="157"/>
      <c r="J653" s="157"/>
      <c r="K653" s="157"/>
      <c r="L653" s="153">
        <f t="shared" si="65"/>
        <v>0</v>
      </c>
      <c r="M653" s="154">
        <f t="shared" si="66"/>
        <v>0</v>
      </c>
      <c r="N653" s="155">
        <f>+IF(OR($Q653=Parametres!$G$2,$Q653=Parametres!$G$3),I653,C653)</f>
        <v>0</v>
      </c>
      <c r="O653" s="553">
        <f>+IF(OR($Q653=Parametres!$G$2,$Q653=Parametres!$G$3),J653,D653)</f>
        <v>0</v>
      </c>
      <c r="P653" s="155">
        <f>+IF(OR($Q653=Parametres!$G$2,$Q653=Parametres!$G$3),K653,E653)</f>
        <v>0</v>
      </c>
      <c r="Q653" s="154">
        <f t="shared" si="67"/>
        <v>0</v>
      </c>
      <c r="R653" s="153">
        <f t="shared" si="68"/>
        <v>0</v>
      </c>
      <c r="S653" s="154">
        <f t="shared" si="69"/>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hidden="1" customHeight="1">
      <c r="A654" s="150"/>
      <c r="B654" s="150"/>
      <c r="C654" s="151"/>
      <c r="D654" s="151"/>
      <c r="E654" s="151"/>
      <c r="F654" s="150"/>
      <c r="G654" s="150"/>
      <c r="H654" s="150"/>
      <c r="I654" s="157"/>
      <c r="J654" s="157"/>
      <c r="K654" s="157"/>
      <c r="L654" s="153">
        <f t="shared" si="65"/>
        <v>0</v>
      </c>
      <c r="M654" s="154">
        <f t="shared" si="66"/>
        <v>0</v>
      </c>
      <c r="N654" s="155">
        <f>+IF(OR($Q654=Parametres!$G$2,$Q654=Parametres!$G$3),I654,C654)</f>
        <v>0</v>
      </c>
      <c r="O654" s="155">
        <f>+IF(OR($Q654=Parametres!$G$2,$Q654=Parametres!$G$3),J654,D654)</f>
        <v>0</v>
      </c>
      <c r="P654" s="155">
        <f>+IF(OR($Q654=Parametres!$G$2,$Q654=Parametres!$G$3),K654,E654)</f>
        <v>0</v>
      </c>
      <c r="Q654" s="154">
        <f t="shared" si="67"/>
        <v>0</v>
      </c>
      <c r="R654" s="153">
        <f t="shared" si="68"/>
        <v>0</v>
      </c>
      <c r="S654" s="154">
        <f t="shared" si="69"/>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hidden="1" customHeight="1">
      <c r="A655" s="150"/>
      <c r="B655" s="150"/>
      <c r="C655" s="151"/>
      <c r="D655" s="151"/>
      <c r="E655" s="151"/>
      <c r="F655" s="150"/>
      <c r="G655" s="150"/>
      <c r="H655" s="150"/>
      <c r="I655" s="157"/>
      <c r="J655" s="157"/>
      <c r="K655" s="157"/>
      <c r="L655" s="153">
        <f t="shared" si="65"/>
        <v>0</v>
      </c>
      <c r="M655" s="154">
        <f t="shared" si="66"/>
        <v>0</v>
      </c>
      <c r="N655" s="155">
        <f>+IF(OR($Q655=Parametres!$G$2,$Q655=Parametres!$G$3),I655,C655)</f>
        <v>0</v>
      </c>
      <c r="O655" s="553">
        <f>+IF(OR($Q655=Parametres!$G$2,$Q655=Parametres!$G$3),J655,D655)</f>
        <v>0</v>
      </c>
      <c r="P655" s="155">
        <f>+IF(OR($Q655=Parametres!$G$2,$Q655=Parametres!$G$3),K655,E655)</f>
        <v>0</v>
      </c>
      <c r="Q655" s="154">
        <f t="shared" si="67"/>
        <v>0</v>
      </c>
      <c r="R655" s="153">
        <f t="shared" si="68"/>
        <v>0</v>
      </c>
      <c r="S655" s="154">
        <f t="shared" si="69"/>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hidden="1" customHeight="1">
      <c r="A656" s="150"/>
      <c r="B656" s="150"/>
      <c r="C656" s="151"/>
      <c r="D656" s="151"/>
      <c r="E656" s="151"/>
      <c r="F656" s="150"/>
      <c r="G656" s="150"/>
      <c r="H656" s="150"/>
      <c r="I656" s="157"/>
      <c r="J656" s="157"/>
      <c r="K656" s="157"/>
      <c r="L656" s="153">
        <f t="shared" si="65"/>
        <v>0</v>
      </c>
      <c r="M656" s="154">
        <f t="shared" si="66"/>
        <v>0</v>
      </c>
      <c r="N656" s="155">
        <f>+IF(OR($Q656=Parametres!$G$2,$Q656=Parametres!$G$3),I656,C656)</f>
        <v>0</v>
      </c>
      <c r="O656" s="553">
        <f>+IF(OR($Q656=Parametres!$G$2,$Q656=Parametres!$G$3),J656,D656)</f>
        <v>0</v>
      </c>
      <c r="P656" s="155">
        <f>+IF(OR($Q656=Parametres!$G$2,$Q656=Parametres!$G$3),K656,E656)</f>
        <v>0</v>
      </c>
      <c r="Q656" s="154">
        <f t="shared" si="67"/>
        <v>0</v>
      </c>
      <c r="R656" s="153">
        <f t="shared" si="68"/>
        <v>0</v>
      </c>
      <c r="S656" s="154">
        <f t="shared" si="69"/>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hidden="1" customHeight="1">
      <c r="A657" s="150"/>
      <c r="B657" s="150"/>
      <c r="C657" s="151"/>
      <c r="D657" s="151"/>
      <c r="E657" s="151"/>
      <c r="F657" s="150"/>
      <c r="G657" s="150"/>
      <c r="H657" s="150"/>
      <c r="I657" s="157"/>
      <c r="J657" s="157"/>
      <c r="K657" s="157"/>
      <c r="L657" s="153">
        <f t="shared" si="65"/>
        <v>0</v>
      </c>
      <c r="M657" s="154">
        <f t="shared" si="66"/>
        <v>0</v>
      </c>
      <c r="N657" s="155">
        <f>+IF(OR($Q657=Parametres!$G$2,$Q657=Parametres!$G$3),I657,C657)</f>
        <v>0</v>
      </c>
      <c r="O657" s="553">
        <f>+IF(OR($Q657=Parametres!$G$2,$Q657=Parametres!$G$3),J657,D657)</f>
        <v>0</v>
      </c>
      <c r="P657" s="155">
        <f>+IF(OR($Q657=Parametres!$G$2,$Q657=Parametres!$G$3),K657,E657)</f>
        <v>0</v>
      </c>
      <c r="Q657" s="154">
        <f t="shared" si="67"/>
        <v>0</v>
      </c>
      <c r="R657" s="153">
        <f t="shared" si="68"/>
        <v>0</v>
      </c>
      <c r="S657" s="154">
        <f t="shared" si="69"/>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hidden="1" customHeight="1">
      <c r="A658" s="150"/>
      <c r="B658" s="150"/>
      <c r="C658" s="151"/>
      <c r="D658" s="151"/>
      <c r="E658" s="151"/>
      <c r="F658" s="150"/>
      <c r="G658" s="150"/>
      <c r="H658" s="150"/>
      <c r="I658" s="157"/>
      <c r="J658" s="157"/>
      <c r="K658" s="157"/>
      <c r="L658" s="153">
        <f t="shared" si="65"/>
        <v>0</v>
      </c>
      <c r="M658" s="154">
        <f t="shared" si="66"/>
        <v>0</v>
      </c>
      <c r="N658" s="155">
        <f>+IF(OR($Q658=Parametres!$G$2,$Q658=Parametres!$G$3),I658,C658)</f>
        <v>0</v>
      </c>
      <c r="O658" s="553">
        <f>+IF(OR($Q658=Parametres!$G$2,$Q658=Parametres!$G$3),J658,D658)</f>
        <v>0</v>
      </c>
      <c r="P658" s="155">
        <f>+IF(OR($Q658=Parametres!$G$2,$Q658=Parametres!$G$3),K658,E658)</f>
        <v>0</v>
      </c>
      <c r="Q658" s="154">
        <f t="shared" si="67"/>
        <v>0</v>
      </c>
      <c r="R658" s="153">
        <f t="shared" si="68"/>
        <v>0</v>
      </c>
      <c r="S658" s="154">
        <f t="shared" si="69"/>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hidden="1" customHeight="1">
      <c r="A659" s="150"/>
      <c r="B659" s="150"/>
      <c r="C659" s="151"/>
      <c r="D659" s="151"/>
      <c r="E659" s="151"/>
      <c r="F659" s="150"/>
      <c r="G659" s="150"/>
      <c r="H659" s="150"/>
      <c r="I659" s="157"/>
      <c r="J659" s="157"/>
      <c r="K659" s="157"/>
      <c r="L659" s="153">
        <f t="shared" si="65"/>
        <v>0</v>
      </c>
      <c r="M659" s="154">
        <f t="shared" si="66"/>
        <v>0</v>
      </c>
      <c r="N659" s="155">
        <f>+IF(OR($Q659=Parametres!$G$2,$Q659=Parametres!$G$3),I659,C659)</f>
        <v>0</v>
      </c>
      <c r="O659" s="155">
        <f>+IF(OR($Q659=Parametres!$G$2,$Q659=Parametres!$G$3),J659,D659)</f>
        <v>0</v>
      </c>
      <c r="P659" s="155">
        <f>+IF(OR($Q659=Parametres!$G$2,$Q659=Parametres!$G$3),K659,E659)</f>
        <v>0</v>
      </c>
      <c r="Q659" s="154">
        <f t="shared" si="67"/>
        <v>0</v>
      </c>
      <c r="R659" s="153">
        <f t="shared" si="68"/>
        <v>0</v>
      </c>
      <c r="S659" s="154">
        <f t="shared" si="69"/>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hidden="1" customHeight="1">
      <c r="A660" s="150"/>
      <c r="B660" s="150"/>
      <c r="C660" s="151"/>
      <c r="D660" s="151"/>
      <c r="E660" s="151"/>
      <c r="F660" s="150"/>
      <c r="G660" s="150"/>
      <c r="H660" s="150"/>
      <c r="I660" s="157"/>
      <c r="J660" s="157"/>
      <c r="K660" s="157"/>
      <c r="L660" s="153">
        <f t="shared" si="65"/>
        <v>0</v>
      </c>
      <c r="M660" s="154">
        <f t="shared" si="66"/>
        <v>0</v>
      </c>
      <c r="N660" s="155">
        <f>+IF(OR($Q660=Parametres!$G$2,$Q660=Parametres!$G$3),I660,C660)</f>
        <v>0</v>
      </c>
      <c r="O660" s="155">
        <f>+IF(OR($Q660=Parametres!$G$2,$Q660=Parametres!$G$3),J660,D660)</f>
        <v>0</v>
      </c>
      <c r="P660" s="155">
        <f>+IF(OR($Q660=Parametres!$G$2,$Q660=Parametres!$G$3),K660,E660)</f>
        <v>0</v>
      </c>
      <c r="Q660" s="154">
        <f t="shared" si="67"/>
        <v>0</v>
      </c>
      <c r="R660" s="153">
        <f t="shared" si="68"/>
        <v>0</v>
      </c>
      <c r="S660" s="154">
        <f t="shared" si="69"/>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hidden="1" customHeight="1">
      <c r="A661" s="150"/>
      <c r="B661" s="150"/>
      <c r="C661" s="151"/>
      <c r="D661" s="151"/>
      <c r="E661" s="151"/>
      <c r="F661" s="150"/>
      <c r="G661" s="150"/>
      <c r="H661" s="150"/>
      <c r="I661" s="157"/>
      <c r="J661" s="157"/>
      <c r="K661" s="157"/>
      <c r="L661" s="153">
        <f t="shared" si="65"/>
        <v>0</v>
      </c>
      <c r="M661" s="154">
        <f t="shared" si="66"/>
        <v>0</v>
      </c>
      <c r="N661" s="155">
        <f>+IF(OR($Q661=Parametres!$G$2,$Q661=Parametres!$G$3),I661,C661)</f>
        <v>0</v>
      </c>
      <c r="O661" s="155">
        <f>+IF(OR($Q661=Parametres!$G$2,$Q661=Parametres!$G$3),J661,D661)</f>
        <v>0</v>
      </c>
      <c r="P661" s="155">
        <f>+IF(OR($Q661=Parametres!$G$2,$Q661=Parametres!$G$3),K661,E661)</f>
        <v>0</v>
      </c>
      <c r="Q661" s="154">
        <f t="shared" si="67"/>
        <v>0</v>
      </c>
      <c r="R661" s="153">
        <f t="shared" si="68"/>
        <v>0</v>
      </c>
      <c r="S661" s="154">
        <f t="shared" si="69"/>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hidden="1" customHeight="1">
      <c r="A662" s="150"/>
      <c r="B662" s="150"/>
      <c r="C662" s="151"/>
      <c r="D662" s="151"/>
      <c r="E662" s="151"/>
      <c r="F662" s="150"/>
      <c r="G662" s="150"/>
      <c r="H662" s="150"/>
      <c r="I662" s="157"/>
      <c r="J662" s="157"/>
      <c r="K662" s="157"/>
      <c r="L662" s="153">
        <f t="shared" si="65"/>
        <v>0</v>
      </c>
      <c r="M662" s="154">
        <f t="shared" si="66"/>
        <v>0</v>
      </c>
      <c r="N662" s="155">
        <f>+IF(OR($Q662=Parametres!$G$2,$Q662=Parametres!$G$3),I662,C662)</f>
        <v>0</v>
      </c>
      <c r="O662" s="572">
        <f>+IF(OR($Q662=Parametres!$G$2,$Q662=Parametres!$G$3),J662,D662)</f>
        <v>0</v>
      </c>
      <c r="P662" s="155">
        <f>+IF(OR($Q662=Parametres!$G$2,$Q662=Parametres!$G$3),K662,E662)</f>
        <v>0</v>
      </c>
      <c r="Q662" s="154">
        <f t="shared" si="67"/>
        <v>0</v>
      </c>
      <c r="R662" s="153">
        <f t="shared" si="68"/>
        <v>0</v>
      </c>
      <c r="S662" s="154">
        <f t="shared" si="69"/>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hidden="1" customHeight="1">
      <c r="A663" s="150"/>
      <c r="B663" s="150"/>
      <c r="C663" s="151"/>
      <c r="D663" s="151"/>
      <c r="E663" s="151"/>
      <c r="F663" s="150"/>
      <c r="G663" s="150"/>
      <c r="H663" s="150"/>
      <c r="I663" s="157"/>
      <c r="J663" s="157"/>
      <c r="K663" s="157"/>
      <c r="L663" s="153">
        <f t="shared" si="65"/>
        <v>0</v>
      </c>
      <c r="M663" s="154">
        <f t="shared" si="66"/>
        <v>0</v>
      </c>
      <c r="N663" s="155">
        <f>+IF(OR($Q663=Parametres!$G$2,$Q663=Parametres!$G$3),I663,C663)</f>
        <v>0</v>
      </c>
      <c r="O663" s="155">
        <f>+IF(OR($Q663=Parametres!$G$2,$Q663=Parametres!$G$3),J663,D663)</f>
        <v>0</v>
      </c>
      <c r="P663" s="155">
        <f>+IF(OR($Q663=Parametres!$G$2,$Q663=Parametres!$G$3),K663,E663)</f>
        <v>0</v>
      </c>
      <c r="Q663" s="154">
        <f t="shared" si="67"/>
        <v>0</v>
      </c>
      <c r="R663" s="153">
        <f t="shared" si="68"/>
        <v>0</v>
      </c>
      <c r="S663" s="154">
        <f t="shared" si="69"/>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hidden="1" customHeight="1">
      <c r="A664" s="150"/>
      <c r="B664" s="150"/>
      <c r="C664" s="151"/>
      <c r="D664" s="151"/>
      <c r="E664" s="151"/>
      <c r="F664" s="150"/>
      <c r="G664" s="150"/>
      <c r="H664" s="150"/>
      <c r="I664" s="157"/>
      <c r="J664" s="157"/>
      <c r="K664" s="157"/>
      <c r="L664" s="153">
        <f t="shared" si="65"/>
        <v>0</v>
      </c>
      <c r="M664" s="154">
        <f t="shared" si="66"/>
        <v>0</v>
      </c>
      <c r="N664" s="155">
        <f>+IF(OR($Q664=Parametres!$G$2,$Q664=Parametres!$G$3),I664,C664)</f>
        <v>0</v>
      </c>
      <c r="O664" s="155">
        <f>+IF(OR($Q664=Parametres!$G$2,$Q664=Parametres!$G$3),J664,D664)</f>
        <v>0</v>
      </c>
      <c r="P664" s="155">
        <f>+IF(OR($Q664=Parametres!$G$2,$Q664=Parametres!$G$3),K664,E664)</f>
        <v>0</v>
      </c>
      <c r="Q664" s="154">
        <f t="shared" si="67"/>
        <v>0</v>
      </c>
      <c r="R664" s="153">
        <f t="shared" si="68"/>
        <v>0</v>
      </c>
      <c r="S664" s="154">
        <f t="shared" si="69"/>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hidden="1" customHeight="1">
      <c r="A665" s="150"/>
      <c r="B665" s="150"/>
      <c r="C665" s="151"/>
      <c r="D665" s="151"/>
      <c r="E665" s="151"/>
      <c r="F665" s="150"/>
      <c r="G665" s="150"/>
      <c r="H665" s="150"/>
      <c r="I665" s="157"/>
      <c r="J665" s="157"/>
      <c r="K665" s="157"/>
      <c r="L665" s="153">
        <f t="shared" si="65"/>
        <v>0</v>
      </c>
      <c r="M665" s="154">
        <f t="shared" si="66"/>
        <v>0</v>
      </c>
      <c r="N665" s="155">
        <f>+IF(OR($Q665=Parametres!$G$2,$Q665=Parametres!$G$3),I665,C665)</f>
        <v>0</v>
      </c>
      <c r="O665" s="155">
        <f>+IF(OR($Q665=Parametres!$G$2,$Q665=Parametres!$G$3),J665,D665)</f>
        <v>0</v>
      </c>
      <c r="P665" s="155">
        <f>+IF(OR($Q665=Parametres!$G$2,$Q665=Parametres!$G$3),K665,E665)</f>
        <v>0</v>
      </c>
      <c r="Q665" s="154">
        <f t="shared" si="67"/>
        <v>0</v>
      </c>
      <c r="R665" s="153">
        <f t="shared" si="68"/>
        <v>0</v>
      </c>
      <c r="S665" s="154">
        <f t="shared" si="69"/>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hidden="1" customHeight="1">
      <c r="A666" s="150"/>
      <c r="B666" s="150"/>
      <c r="C666" s="151"/>
      <c r="D666" s="151"/>
      <c r="E666" s="151"/>
      <c r="F666" s="150"/>
      <c r="G666" s="150"/>
      <c r="H666" s="150"/>
      <c r="I666" s="157"/>
      <c r="J666" s="157"/>
      <c r="K666" s="157"/>
      <c r="L666" s="153">
        <f t="shared" si="65"/>
        <v>0</v>
      </c>
      <c r="M666" s="154">
        <f t="shared" si="66"/>
        <v>0</v>
      </c>
      <c r="N666" s="155">
        <f>+IF(OR($Q666=Parametres!$G$2,$Q666=Parametres!$G$3),I666,C666)</f>
        <v>0</v>
      </c>
      <c r="O666" s="155">
        <f>+IF(OR($Q666=Parametres!$G$2,$Q666=Parametres!$G$3),J666,D666)</f>
        <v>0</v>
      </c>
      <c r="P666" s="155">
        <f>+IF(OR($Q666=Parametres!$G$2,$Q666=Parametres!$G$3),K666,E666)</f>
        <v>0</v>
      </c>
      <c r="Q666" s="154">
        <f t="shared" si="67"/>
        <v>0</v>
      </c>
      <c r="R666" s="153">
        <f t="shared" si="68"/>
        <v>0</v>
      </c>
      <c r="S666" s="154">
        <f t="shared" si="69"/>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hidden="1" customHeight="1">
      <c r="A667" s="150"/>
      <c r="B667" s="150"/>
      <c r="C667" s="151"/>
      <c r="D667" s="151"/>
      <c r="E667" s="151"/>
      <c r="F667" s="150"/>
      <c r="G667" s="150"/>
      <c r="H667" s="150"/>
      <c r="I667" s="157"/>
      <c r="J667" s="157"/>
      <c r="K667" s="157"/>
      <c r="L667" s="153">
        <f t="shared" si="65"/>
        <v>0</v>
      </c>
      <c r="M667" s="154">
        <f t="shared" si="66"/>
        <v>0</v>
      </c>
      <c r="N667" s="155">
        <f>+IF(OR($Q667=Parametres!$G$2,$Q667=Parametres!$G$3),I667,C667)</f>
        <v>0</v>
      </c>
      <c r="O667" s="155">
        <f>+IF(OR($Q667=Parametres!$G$2,$Q667=Parametres!$G$3),J667,D667)</f>
        <v>0</v>
      </c>
      <c r="P667" s="155">
        <f>+IF(OR($Q667=Parametres!$G$2,$Q667=Parametres!$G$3),K667,E667)</f>
        <v>0</v>
      </c>
      <c r="Q667" s="154">
        <f t="shared" si="67"/>
        <v>0</v>
      </c>
      <c r="R667" s="153">
        <f t="shared" si="68"/>
        <v>0</v>
      </c>
      <c r="S667" s="154">
        <f t="shared" si="69"/>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hidden="1" customHeight="1">
      <c r="A668" s="150"/>
      <c r="B668" s="150"/>
      <c r="C668" s="151"/>
      <c r="D668" s="151"/>
      <c r="E668" s="151"/>
      <c r="F668" s="150"/>
      <c r="G668" s="150"/>
      <c r="H668" s="150"/>
      <c r="I668" s="157"/>
      <c r="J668" s="157"/>
      <c r="K668" s="157"/>
      <c r="L668" s="153">
        <f t="shared" si="65"/>
        <v>0</v>
      </c>
      <c r="M668" s="154">
        <f t="shared" si="66"/>
        <v>0</v>
      </c>
      <c r="N668" s="155">
        <f>+IF(OR($Q668=Parametres!$G$2,$Q668=Parametres!$G$3),I668,C668)</f>
        <v>0</v>
      </c>
      <c r="O668" s="553">
        <f>+IF(OR($Q668=Parametres!$G$2,$Q668=Parametres!$G$3),J668,D668)</f>
        <v>0</v>
      </c>
      <c r="P668" s="155">
        <f>+IF(OR($Q668=Parametres!$G$2,$Q668=Parametres!$G$3),K668,E668)</f>
        <v>0</v>
      </c>
      <c r="Q668" s="154">
        <f t="shared" si="67"/>
        <v>0</v>
      </c>
      <c r="R668" s="153">
        <f t="shared" si="68"/>
        <v>0</v>
      </c>
      <c r="S668" s="154">
        <f t="shared" si="69"/>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hidden="1" customHeight="1">
      <c r="A669" s="150"/>
      <c r="B669" s="150"/>
      <c r="C669" s="151"/>
      <c r="D669" s="151"/>
      <c r="E669" s="151"/>
      <c r="F669" s="150"/>
      <c r="G669" s="150"/>
      <c r="H669" s="150"/>
      <c r="I669" s="157"/>
      <c r="J669" s="157"/>
      <c r="K669" s="157"/>
      <c r="L669" s="153">
        <f t="shared" si="65"/>
        <v>0</v>
      </c>
      <c r="M669" s="154">
        <f t="shared" si="66"/>
        <v>0</v>
      </c>
      <c r="N669" s="155">
        <f>+IF(OR($Q669=Parametres!$G$2,$Q669=Parametres!$G$3),I669,C669)</f>
        <v>0</v>
      </c>
      <c r="O669" s="553">
        <f>+IF(OR($Q669=Parametres!$G$2,$Q669=Parametres!$G$3),J669,D669)</f>
        <v>0</v>
      </c>
      <c r="P669" s="155">
        <f>+IF(OR($Q669=Parametres!$G$2,$Q669=Parametres!$G$3),K669,E669)</f>
        <v>0</v>
      </c>
      <c r="Q669" s="154">
        <f t="shared" si="67"/>
        <v>0</v>
      </c>
      <c r="R669" s="153">
        <f t="shared" si="68"/>
        <v>0</v>
      </c>
      <c r="S669" s="154">
        <f t="shared" si="69"/>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hidden="1" customHeight="1">
      <c r="A670" s="150"/>
      <c r="B670" s="150"/>
      <c r="C670" s="151"/>
      <c r="D670" s="151"/>
      <c r="E670" s="151"/>
      <c r="F670" s="150"/>
      <c r="G670" s="150"/>
      <c r="H670" s="150"/>
      <c r="I670" s="157"/>
      <c r="J670" s="157"/>
      <c r="K670" s="157"/>
      <c r="L670" s="153">
        <f t="shared" si="65"/>
        <v>0</v>
      </c>
      <c r="M670" s="154">
        <f t="shared" si="66"/>
        <v>0</v>
      </c>
      <c r="N670" s="155">
        <f>+IF(OR($Q670=Parametres!$G$2,$Q670=Parametres!$G$3),I670,C670)</f>
        <v>0</v>
      </c>
      <c r="O670" s="155">
        <f>+IF(OR($Q670=Parametres!$G$2,$Q670=Parametres!$G$3),J670,D670)</f>
        <v>0</v>
      </c>
      <c r="P670" s="155">
        <f>+IF(OR($Q670=Parametres!$G$2,$Q670=Parametres!$G$3),K670,E670)</f>
        <v>0</v>
      </c>
      <c r="Q670" s="154">
        <f t="shared" si="67"/>
        <v>0</v>
      </c>
      <c r="R670" s="153">
        <f t="shared" si="68"/>
        <v>0</v>
      </c>
      <c r="S670" s="154">
        <f t="shared" si="69"/>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hidden="1" customHeight="1">
      <c r="A671" s="150"/>
      <c r="B671" s="150"/>
      <c r="C671" s="151"/>
      <c r="D671" s="151"/>
      <c r="E671" s="151"/>
      <c r="F671" s="150"/>
      <c r="G671" s="150"/>
      <c r="H671" s="150"/>
      <c r="I671" s="157"/>
      <c r="J671" s="157"/>
      <c r="K671" s="157"/>
      <c r="L671" s="153">
        <f t="shared" si="65"/>
        <v>0</v>
      </c>
      <c r="M671" s="154">
        <f t="shared" si="66"/>
        <v>0</v>
      </c>
      <c r="N671" s="155">
        <f>+IF(OR($Q671=Parametres!$G$2,$Q671=Parametres!$G$3),I671,C671)</f>
        <v>0</v>
      </c>
      <c r="O671" s="553">
        <f>+IF(OR($Q671=Parametres!$G$2,$Q671=Parametres!$G$3),J671,D671)</f>
        <v>0</v>
      </c>
      <c r="P671" s="155">
        <f>+IF(OR($Q671=Parametres!$G$2,$Q671=Parametres!$G$3),K671,E671)</f>
        <v>0</v>
      </c>
      <c r="Q671" s="154">
        <f t="shared" si="67"/>
        <v>0</v>
      </c>
      <c r="R671" s="153">
        <f t="shared" si="68"/>
        <v>0</v>
      </c>
      <c r="S671" s="154">
        <f t="shared" si="69"/>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hidden="1" customHeight="1">
      <c r="A672" s="150"/>
      <c r="B672" s="150"/>
      <c r="C672" s="151"/>
      <c r="D672" s="151"/>
      <c r="E672" s="151"/>
      <c r="F672" s="150"/>
      <c r="G672" s="150"/>
      <c r="H672" s="150"/>
      <c r="I672" s="157"/>
      <c r="J672" s="157"/>
      <c r="K672" s="157"/>
      <c r="L672" s="153">
        <f t="shared" si="65"/>
        <v>0</v>
      </c>
      <c r="M672" s="154">
        <f t="shared" si="66"/>
        <v>0</v>
      </c>
      <c r="N672" s="155">
        <f>+IF(OR($Q672=Parametres!$G$2,$Q672=Parametres!$G$3),I672,C672)</f>
        <v>0</v>
      </c>
      <c r="O672" s="553">
        <f>+IF(OR($Q672=Parametres!$G$2,$Q672=Parametres!$G$3),J672,D672)</f>
        <v>0</v>
      </c>
      <c r="P672" s="155">
        <f>+IF(OR($Q672=Parametres!$G$2,$Q672=Parametres!$G$3),K672,E672)</f>
        <v>0</v>
      </c>
      <c r="Q672" s="154">
        <f t="shared" si="67"/>
        <v>0</v>
      </c>
      <c r="R672" s="153">
        <f t="shared" si="68"/>
        <v>0</v>
      </c>
      <c r="S672" s="154">
        <f t="shared" si="69"/>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hidden="1" customHeight="1">
      <c r="A673" s="150"/>
      <c r="B673" s="150"/>
      <c r="C673" s="151"/>
      <c r="D673" s="151"/>
      <c r="E673" s="151"/>
      <c r="F673" s="150"/>
      <c r="G673" s="150"/>
      <c r="H673" s="150"/>
      <c r="I673" s="157"/>
      <c r="J673" s="157"/>
      <c r="K673" s="157"/>
      <c r="L673" s="153">
        <f t="shared" si="65"/>
        <v>0</v>
      </c>
      <c r="M673" s="154">
        <f t="shared" si="66"/>
        <v>0</v>
      </c>
      <c r="N673" s="155">
        <f>+IF(OR($Q673=Parametres!$G$2,$Q673=Parametres!$G$3),I673,C673)</f>
        <v>0</v>
      </c>
      <c r="O673" s="553">
        <f>+IF(OR($Q673=Parametres!$G$2,$Q673=Parametres!$G$3),J673,D673)</f>
        <v>0</v>
      </c>
      <c r="P673" s="155">
        <f>+IF(OR($Q673=Parametres!$G$2,$Q673=Parametres!$G$3),K673,E673)</f>
        <v>0</v>
      </c>
      <c r="Q673" s="154">
        <f t="shared" si="67"/>
        <v>0</v>
      </c>
      <c r="R673" s="153">
        <f t="shared" si="68"/>
        <v>0</v>
      </c>
      <c r="S673" s="154">
        <f t="shared" si="69"/>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hidden="1" customHeight="1">
      <c r="A674" s="150"/>
      <c r="B674" s="150"/>
      <c r="C674" s="151"/>
      <c r="D674" s="151"/>
      <c r="E674" s="151"/>
      <c r="F674" s="150"/>
      <c r="G674" s="150"/>
      <c r="H674" s="150"/>
      <c r="I674" s="157"/>
      <c r="J674" s="157"/>
      <c r="K674" s="157"/>
      <c r="L674" s="153">
        <f t="shared" si="65"/>
        <v>0</v>
      </c>
      <c r="M674" s="154">
        <f t="shared" si="66"/>
        <v>0</v>
      </c>
      <c r="N674" s="155">
        <f>+IF(OR($Q674=Parametres!$G$2,$Q674=Parametres!$G$3),I674,C674)</f>
        <v>0</v>
      </c>
      <c r="O674" s="155">
        <f>+IF(OR($Q674=Parametres!$G$2,$Q674=Parametres!$G$3),J674,D674)</f>
        <v>0</v>
      </c>
      <c r="P674" s="155">
        <f>+IF(OR($Q674=Parametres!$G$2,$Q674=Parametres!$G$3),K674,E674)</f>
        <v>0</v>
      </c>
      <c r="Q674" s="154">
        <f t="shared" si="67"/>
        <v>0</v>
      </c>
      <c r="R674" s="153">
        <f t="shared" si="68"/>
        <v>0</v>
      </c>
      <c r="S674" s="154">
        <f t="shared" si="69"/>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hidden="1" customHeight="1">
      <c r="A675" s="150"/>
      <c r="B675" s="150"/>
      <c r="C675" s="151"/>
      <c r="D675" s="151"/>
      <c r="E675" s="151"/>
      <c r="F675" s="150"/>
      <c r="G675" s="150"/>
      <c r="H675" s="150"/>
      <c r="I675" s="157"/>
      <c r="J675" s="157"/>
      <c r="K675" s="157"/>
      <c r="L675" s="153">
        <f t="shared" si="65"/>
        <v>0</v>
      </c>
      <c r="M675" s="154">
        <f t="shared" si="66"/>
        <v>0</v>
      </c>
      <c r="N675" s="155">
        <f>+IF(OR($Q675=Parametres!$G$2,$Q675=Parametres!$G$3),I675,C675)</f>
        <v>0</v>
      </c>
      <c r="O675" s="155">
        <f>+IF(OR($Q675=Parametres!$G$2,$Q675=Parametres!$G$3),J675,D675)</f>
        <v>0</v>
      </c>
      <c r="P675" s="155">
        <f>+IF(OR($Q675=Parametres!$G$2,$Q675=Parametres!$G$3),K675,E675)</f>
        <v>0</v>
      </c>
      <c r="Q675" s="154">
        <f t="shared" si="67"/>
        <v>0</v>
      </c>
      <c r="R675" s="153">
        <f t="shared" si="68"/>
        <v>0</v>
      </c>
      <c r="S675" s="154">
        <f t="shared" si="69"/>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hidden="1" customHeight="1">
      <c r="A676" s="150"/>
      <c r="B676" s="150"/>
      <c r="C676" s="151"/>
      <c r="D676" s="151"/>
      <c r="E676" s="151"/>
      <c r="F676" s="150"/>
      <c r="G676" s="150"/>
      <c r="H676" s="150"/>
      <c r="I676" s="157"/>
      <c r="J676" s="157"/>
      <c r="K676" s="157"/>
      <c r="L676" s="153">
        <f t="shared" si="65"/>
        <v>0</v>
      </c>
      <c r="M676" s="154">
        <f t="shared" si="66"/>
        <v>0</v>
      </c>
      <c r="N676" s="155">
        <f>+IF(OR($Q676=Parametres!$G$2,$Q676=Parametres!$G$3),I676,C676)</f>
        <v>0</v>
      </c>
      <c r="O676" s="155">
        <f>+IF(OR($Q676=Parametres!$G$2,$Q676=Parametres!$G$3),J676,D676)</f>
        <v>0</v>
      </c>
      <c r="P676" s="155">
        <f>+IF(OR($Q676=Parametres!$G$2,$Q676=Parametres!$G$3),K676,E676)</f>
        <v>0</v>
      </c>
      <c r="Q676" s="154">
        <f t="shared" si="67"/>
        <v>0</v>
      </c>
      <c r="R676" s="153">
        <f t="shared" si="68"/>
        <v>0</v>
      </c>
      <c r="S676" s="154">
        <f t="shared" si="69"/>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hidden="1" customHeight="1">
      <c r="A677" s="150"/>
      <c r="B677" s="150"/>
      <c r="C677" s="151"/>
      <c r="D677" s="151"/>
      <c r="E677" s="151"/>
      <c r="F677" s="150"/>
      <c r="G677" s="150"/>
      <c r="H677" s="150"/>
      <c r="I677" s="157"/>
      <c r="J677" s="157"/>
      <c r="K677" s="157"/>
      <c r="L677" s="153">
        <f t="shared" si="65"/>
        <v>0</v>
      </c>
      <c r="M677" s="154">
        <f t="shared" si="66"/>
        <v>0</v>
      </c>
      <c r="N677" s="155">
        <f>+IF(OR($Q677=Parametres!$G$2,$Q677=Parametres!$G$3),I677,C677)</f>
        <v>0</v>
      </c>
      <c r="O677" s="155">
        <f>+IF(OR($Q677=Parametres!$G$2,$Q677=Parametres!$G$3),J677,D677)</f>
        <v>0</v>
      </c>
      <c r="P677" s="155">
        <f>+IF(OR($Q677=Parametres!$G$2,$Q677=Parametres!$G$3),K677,E677)</f>
        <v>0</v>
      </c>
      <c r="Q677" s="154">
        <f t="shared" si="67"/>
        <v>0</v>
      </c>
      <c r="R677" s="153">
        <f t="shared" si="68"/>
        <v>0</v>
      </c>
      <c r="S677" s="154">
        <f t="shared" si="69"/>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hidden="1" customHeight="1">
      <c r="A678" s="150"/>
      <c r="B678" s="150"/>
      <c r="C678" s="151"/>
      <c r="D678" s="151"/>
      <c r="E678" s="151"/>
      <c r="F678" s="150"/>
      <c r="G678" s="150"/>
      <c r="H678" s="150"/>
      <c r="I678" s="157"/>
      <c r="J678" s="157"/>
      <c r="K678" s="157"/>
      <c r="L678" s="153">
        <f t="shared" si="65"/>
        <v>0</v>
      </c>
      <c r="M678" s="154">
        <f t="shared" si="66"/>
        <v>0</v>
      </c>
      <c r="N678" s="155">
        <f>+IF(OR($Q678=Parametres!$G$2,$Q678=Parametres!$G$3),I678,C678)</f>
        <v>0</v>
      </c>
      <c r="O678" s="155">
        <f>+IF(OR($Q678=Parametres!$G$2,$Q678=Parametres!$G$3),J678,D678)</f>
        <v>0</v>
      </c>
      <c r="P678" s="155">
        <f>+IF(OR($Q678=Parametres!$G$2,$Q678=Parametres!$G$3),K678,E678)</f>
        <v>0</v>
      </c>
      <c r="Q678" s="154">
        <f t="shared" si="67"/>
        <v>0</v>
      </c>
      <c r="R678" s="153">
        <f t="shared" si="68"/>
        <v>0</v>
      </c>
      <c r="S678" s="154">
        <f t="shared" si="69"/>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hidden="1" customHeight="1">
      <c r="A679" s="150"/>
      <c r="B679" s="150"/>
      <c r="C679" s="151"/>
      <c r="D679" s="151"/>
      <c r="E679" s="151"/>
      <c r="F679" s="150"/>
      <c r="G679" s="150"/>
      <c r="H679" s="150"/>
      <c r="I679" s="157"/>
      <c r="J679" s="157"/>
      <c r="K679" s="157"/>
      <c r="L679" s="153">
        <f t="shared" si="65"/>
        <v>0</v>
      </c>
      <c r="M679" s="154">
        <f t="shared" si="66"/>
        <v>0</v>
      </c>
      <c r="N679" s="155">
        <f>+IF(OR($Q679=Parametres!$G$2,$Q679=Parametres!$G$3),I679,C679)</f>
        <v>0</v>
      </c>
      <c r="O679" s="155">
        <f>+IF(OR($Q679=Parametres!$G$2,$Q679=Parametres!$G$3),J679,D679)</f>
        <v>0</v>
      </c>
      <c r="P679" s="155">
        <f>+IF(OR($Q679=Parametres!$G$2,$Q679=Parametres!$G$3),K679,E679)</f>
        <v>0</v>
      </c>
      <c r="Q679" s="154">
        <f t="shared" si="67"/>
        <v>0</v>
      </c>
      <c r="R679" s="153">
        <f t="shared" si="68"/>
        <v>0</v>
      </c>
      <c r="S679" s="154">
        <f t="shared" si="69"/>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hidden="1" customHeight="1">
      <c r="A680" s="150"/>
      <c r="B680" s="150"/>
      <c r="C680" s="151"/>
      <c r="D680" s="151"/>
      <c r="E680" s="151"/>
      <c r="F680" s="150"/>
      <c r="G680" s="150"/>
      <c r="H680" s="150"/>
      <c r="I680" s="157"/>
      <c r="J680" s="157"/>
      <c r="K680" s="157"/>
      <c r="L680" s="153">
        <f t="shared" si="65"/>
        <v>0</v>
      </c>
      <c r="M680" s="154">
        <f t="shared" si="66"/>
        <v>0</v>
      </c>
      <c r="N680" s="155">
        <f>+IF(OR($Q680=Parametres!$G$2,$Q680=Parametres!$G$3),I680,C680)</f>
        <v>0</v>
      </c>
      <c r="O680" s="155">
        <f>+IF(OR($Q680=Parametres!$G$2,$Q680=Parametres!$G$3),J680,D680)</f>
        <v>0</v>
      </c>
      <c r="P680" s="155">
        <f>+IF(OR($Q680=Parametres!$G$2,$Q680=Parametres!$G$3),K680,E680)</f>
        <v>0</v>
      </c>
      <c r="Q680" s="154">
        <f t="shared" si="67"/>
        <v>0</v>
      </c>
      <c r="R680" s="153">
        <f t="shared" si="68"/>
        <v>0</v>
      </c>
      <c r="S680" s="154">
        <f t="shared" si="69"/>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hidden="1" customHeight="1">
      <c r="A681" s="150"/>
      <c r="B681" s="150"/>
      <c r="C681" s="151"/>
      <c r="D681" s="151"/>
      <c r="E681" s="151"/>
      <c r="F681" s="150"/>
      <c r="G681" s="150"/>
      <c r="H681" s="150"/>
      <c r="I681" s="157"/>
      <c r="J681" s="157"/>
      <c r="K681" s="157"/>
      <c r="L681" s="153">
        <f t="shared" si="65"/>
        <v>0</v>
      </c>
      <c r="M681" s="154">
        <f t="shared" si="66"/>
        <v>0</v>
      </c>
      <c r="N681" s="155">
        <f>+IF(OR($Q681=Parametres!$G$2,$Q681=Parametres!$G$3),I681,C681)</f>
        <v>0</v>
      </c>
      <c r="O681" s="155">
        <f>+IF(OR($Q681=Parametres!$G$2,$Q681=Parametres!$G$3),J681,D681)</f>
        <v>0</v>
      </c>
      <c r="P681" s="155">
        <f>+IF(OR($Q681=Parametres!$G$2,$Q681=Parametres!$G$3),K681,E681)</f>
        <v>0</v>
      </c>
      <c r="Q681" s="154">
        <f t="shared" si="67"/>
        <v>0</v>
      </c>
      <c r="R681" s="153">
        <f t="shared" si="68"/>
        <v>0</v>
      </c>
      <c r="S681" s="154">
        <f t="shared" si="69"/>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hidden="1" customHeight="1">
      <c r="A682" s="150"/>
      <c r="B682" s="150"/>
      <c r="C682" s="151"/>
      <c r="D682" s="151"/>
      <c r="E682" s="151"/>
      <c r="F682" s="150"/>
      <c r="G682" s="150"/>
      <c r="H682" s="150"/>
      <c r="I682" s="157"/>
      <c r="J682" s="157"/>
      <c r="K682" s="157"/>
      <c r="L682" s="153">
        <f t="shared" si="65"/>
        <v>0</v>
      </c>
      <c r="M682" s="154">
        <f t="shared" si="66"/>
        <v>0</v>
      </c>
      <c r="N682" s="155">
        <f>+IF(OR($Q682=Parametres!$G$2,$Q682=Parametres!$G$3),I682,C682)</f>
        <v>0</v>
      </c>
      <c r="O682" s="155">
        <f>+IF(OR($Q682=Parametres!$G$2,$Q682=Parametres!$G$3),J682,D682)</f>
        <v>0</v>
      </c>
      <c r="P682" s="155">
        <f>+IF(OR($Q682=Parametres!$G$2,$Q682=Parametres!$G$3),K682,E682)</f>
        <v>0</v>
      </c>
      <c r="Q682" s="154">
        <f t="shared" si="67"/>
        <v>0</v>
      </c>
      <c r="R682" s="153">
        <f t="shared" si="68"/>
        <v>0</v>
      </c>
      <c r="S682" s="154">
        <f t="shared" si="69"/>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hidden="1" customHeight="1">
      <c r="A683" s="150"/>
      <c r="B683" s="150"/>
      <c r="C683" s="151"/>
      <c r="D683" s="151"/>
      <c r="E683" s="151"/>
      <c r="F683" s="150"/>
      <c r="G683" s="150"/>
      <c r="H683" s="150"/>
      <c r="I683" s="157"/>
      <c r="J683" s="157"/>
      <c r="K683" s="157"/>
      <c r="L683" s="153">
        <f t="shared" si="65"/>
        <v>0</v>
      </c>
      <c r="M683" s="154">
        <f t="shared" si="66"/>
        <v>0</v>
      </c>
      <c r="N683" s="155">
        <f>+IF(OR($Q683=Parametres!$G$2,$Q683=Parametres!$G$3),I683,C683)</f>
        <v>0</v>
      </c>
      <c r="O683" s="155">
        <f>+IF(OR($Q683=Parametres!$G$2,$Q683=Parametres!$G$3),J683,D683)</f>
        <v>0</v>
      </c>
      <c r="P683" s="155">
        <f>+IF(OR($Q683=Parametres!$G$2,$Q683=Parametres!$G$3),K683,E683)</f>
        <v>0</v>
      </c>
      <c r="Q683" s="154">
        <f t="shared" si="67"/>
        <v>0</v>
      </c>
      <c r="R683" s="153">
        <f t="shared" si="68"/>
        <v>0</v>
      </c>
      <c r="S683" s="154">
        <f t="shared" si="69"/>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hidden="1" customHeight="1">
      <c r="A684" s="150"/>
      <c r="B684" s="150"/>
      <c r="C684" s="151"/>
      <c r="D684" s="151"/>
      <c r="E684" s="151"/>
      <c r="F684" s="150"/>
      <c r="G684" s="150"/>
      <c r="H684" s="150"/>
      <c r="I684" s="157"/>
      <c r="J684" s="157"/>
      <c r="K684" s="157"/>
      <c r="L684" s="153">
        <f t="shared" si="65"/>
        <v>0</v>
      </c>
      <c r="M684" s="154">
        <f t="shared" si="66"/>
        <v>0</v>
      </c>
      <c r="N684" s="155">
        <f>+IF(OR($Q684=Parametres!$G$2,$Q684=Parametres!$G$3),I684,C684)</f>
        <v>0</v>
      </c>
      <c r="O684" s="155">
        <f>+IF(OR($Q684=Parametres!$G$2,$Q684=Parametres!$G$3),J684,D684)</f>
        <v>0</v>
      </c>
      <c r="P684" s="155">
        <f>+IF(OR($Q684=Parametres!$G$2,$Q684=Parametres!$G$3),K684,E684)</f>
        <v>0</v>
      </c>
      <c r="Q684" s="154">
        <f t="shared" si="67"/>
        <v>0</v>
      </c>
      <c r="R684" s="153">
        <f t="shared" si="68"/>
        <v>0</v>
      </c>
      <c r="S684" s="154">
        <f t="shared" si="69"/>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hidden="1" customHeight="1">
      <c r="A685" s="150"/>
      <c r="B685" s="150"/>
      <c r="C685" s="151"/>
      <c r="D685" s="151"/>
      <c r="E685" s="151"/>
      <c r="F685" s="150"/>
      <c r="G685" s="150"/>
      <c r="H685" s="150"/>
      <c r="I685" s="157"/>
      <c r="J685" s="157"/>
      <c r="K685" s="157"/>
      <c r="L685" s="153">
        <f t="shared" si="65"/>
        <v>0</v>
      </c>
      <c r="M685" s="154">
        <f t="shared" si="66"/>
        <v>0</v>
      </c>
      <c r="N685" s="155">
        <f>+IF(OR($Q685=Parametres!$G$2,$Q685=Parametres!$G$3),I685,C685)</f>
        <v>0</v>
      </c>
      <c r="O685" s="155">
        <f>+IF(OR($Q685=Parametres!$G$2,$Q685=Parametres!$G$3),J685,D685)</f>
        <v>0</v>
      </c>
      <c r="P685" s="155">
        <f>+IF(OR($Q685=Parametres!$G$2,$Q685=Parametres!$G$3),K685,E685)</f>
        <v>0</v>
      </c>
      <c r="Q685" s="154">
        <f t="shared" si="67"/>
        <v>0</v>
      </c>
      <c r="R685" s="153">
        <f t="shared" si="68"/>
        <v>0</v>
      </c>
      <c r="S685" s="154">
        <f t="shared" si="69"/>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hidden="1" customHeight="1">
      <c r="A686" s="150"/>
      <c r="B686" s="150"/>
      <c r="C686" s="151"/>
      <c r="D686" s="151"/>
      <c r="E686" s="151"/>
      <c r="F686" s="150"/>
      <c r="G686" s="150"/>
      <c r="H686" s="150"/>
      <c r="I686" s="157"/>
      <c r="J686" s="157"/>
      <c r="K686" s="157"/>
      <c r="L686" s="153">
        <f t="shared" si="65"/>
        <v>0</v>
      </c>
      <c r="M686" s="154">
        <f t="shared" si="66"/>
        <v>0</v>
      </c>
      <c r="N686" s="155">
        <f>+IF(OR($Q686=Parametres!$G$2,$Q686=Parametres!$G$3),I686,C686)</f>
        <v>0</v>
      </c>
      <c r="O686" s="155">
        <f>+IF(OR($Q686=Parametres!$G$2,$Q686=Parametres!$G$3),J686,D686)</f>
        <v>0</v>
      </c>
      <c r="P686" s="155">
        <f>+IF(OR($Q686=Parametres!$G$2,$Q686=Parametres!$G$3),K686,E686)</f>
        <v>0</v>
      </c>
      <c r="Q686" s="154">
        <f t="shared" si="67"/>
        <v>0</v>
      </c>
      <c r="R686" s="153">
        <f t="shared" si="68"/>
        <v>0</v>
      </c>
      <c r="S686" s="154">
        <f t="shared" si="69"/>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hidden="1" customHeight="1">
      <c r="A687" s="150"/>
      <c r="B687" s="150"/>
      <c r="C687" s="151"/>
      <c r="D687" s="151"/>
      <c r="E687" s="151"/>
      <c r="F687" s="150"/>
      <c r="G687" s="150"/>
      <c r="H687" s="150"/>
      <c r="I687" s="157"/>
      <c r="J687" s="157"/>
      <c r="K687" s="157"/>
      <c r="L687" s="153">
        <f t="shared" si="65"/>
        <v>0</v>
      </c>
      <c r="M687" s="154">
        <f t="shared" si="66"/>
        <v>0</v>
      </c>
      <c r="N687" s="155">
        <f>+IF(OR($Q687=Parametres!$G$2,$Q687=Parametres!$G$3),I687,C687)</f>
        <v>0</v>
      </c>
      <c r="O687" s="553">
        <f>+IF(OR($Q687=Parametres!$G$2,$Q687=Parametres!$G$3),J687,D687)</f>
        <v>0</v>
      </c>
      <c r="P687" s="155">
        <f>+IF(OR($Q687=Parametres!$G$2,$Q687=Parametres!$G$3),K687,E687)</f>
        <v>0</v>
      </c>
      <c r="Q687" s="154">
        <f t="shared" si="67"/>
        <v>0</v>
      </c>
      <c r="R687" s="153">
        <f t="shared" si="68"/>
        <v>0</v>
      </c>
      <c r="S687" s="154">
        <f t="shared" si="69"/>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hidden="1" customHeight="1">
      <c r="A688" s="150"/>
      <c r="B688" s="150"/>
      <c r="C688" s="151"/>
      <c r="D688" s="151"/>
      <c r="E688" s="151"/>
      <c r="F688" s="150"/>
      <c r="G688" s="150"/>
      <c r="H688" s="150"/>
      <c r="I688" s="157"/>
      <c r="J688" s="157"/>
      <c r="K688" s="157"/>
      <c r="L688" s="153">
        <f t="shared" si="65"/>
        <v>0</v>
      </c>
      <c r="M688" s="154">
        <f t="shared" si="66"/>
        <v>0</v>
      </c>
      <c r="N688" s="155">
        <f>+IF(OR($Q688=Parametres!$G$2,$Q688=Parametres!$G$3),I688,C688)</f>
        <v>0</v>
      </c>
      <c r="O688" s="155">
        <f>+IF(OR($Q688=Parametres!$G$2,$Q688=Parametres!$G$3),J688,D688)</f>
        <v>0</v>
      </c>
      <c r="P688" s="155">
        <f>+IF(OR($Q688=Parametres!$G$2,$Q688=Parametres!$G$3),K688,E688)</f>
        <v>0</v>
      </c>
      <c r="Q688" s="154">
        <f t="shared" si="67"/>
        <v>0</v>
      </c>
      <c r="R688" s="153">
        <f t="shared" si="68"/>
        <v>0</v>
      </c>
      <c r="S688" s="154">
        <f t="shared" si="69"/>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hidden="1" customHeight="1">
      <c r="A689" s="150"/>
      <c r="B689" s="150"/>
      <c r="C689" s="151"/>
      <c r="D689" s="151"/>
      <c r="E689" s="151"/>
      <c r="F689" s="150"/>
      <c r="G689" s="150"/>
      <c r="H689" s="150"/>
      <c r="I689" s="157"/>
      <c r="J689" s="157"/>
      <c r="K689" s="157"/>
      <c r="L689" s="153">
        <f t="shared" si="65"/>
        <v>0</v>
      </c>
      <c r="M689" s="154">
        <f t="shared" si="66"/>
        <v>0</v>
      </c>
      <c r="N689" s="155">
        <f>+IF(OR($Q689=Parametres!$G$2,$Q689=Parametres!$G$3),I689,C689)</f>
        <v>0</v>
      </c>
      <c r="O689" s="155">
        <f>+IF(OR($Q689=Parametres!$G$2,$Q689=Parametres!$G$3),J689,D689)</f>
        <v>0</v>
      </c>
      <c r="P689" s="155">
        <f>+IF(OR($Q689=Parametres!$G$2,$Q689=Parametres!$G$3),K689,E689)</f>
        <v>0</v>
      </c>
      <c r="Q689" s="154">
        <f t="shared" si="67"/>
        <v>0</v>
      </c>
      <c r="R689" s="153">
        <f t="shared" si="68"/>
        <v>0</v>
      </c>
      <c r="S689" s="154">
        <f t="shared" si="69"/>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hidden="1" customHeight="1">
      <c r="A690" s="150"/>
      <c r="B690" s="150"/>
      <c r="C690" s="151"/>
      <c r="D690" s="151"/>
      <c r="E690" s="151"/>
      <c r="F690" s="150"/>
      <c r="G690" s="150"/>
      <c r="H690" s="150"/>
      <c r="I690" s="157"/>
      <c r="J690" s="157"/>
      <c r="K690" s="157"/>
      <c r="L690" s="153">
        <f t="shared" si="65"/>
        <v>0</v>
      </c>
      <c r="M690" s="154">
        <f t="shared" si="66"/>
        <v>0</v>
      </c>
      <c r="N690" s="155">
        <f>+IF(OR($Q690=Parametres!$G$2,$Q690=Parametres!$G$3),I690,C690)</f>
        <v>0</v>
      </c>
      <c r="O690" s="155">
        <f>+IF(OR($Q690=Parametres!$G$2,$Q690=Parametres!$G$3),J690,D690)</f>
        <v>0</v>
      </c>
      <c r="P690" s="155">
        <f>+IF(OR($Q690=Parametres!$G$2,$Q690=Parametres!$G$3),K690,E690)</f>
        <v>0</v>
      </c>
      <c r="Q690" s="154">
        <f t="shared" si="67"/>
        <v>0</v>
      </c>
      <c r="R690" s="153">
        <f t="shared" si="68"/>
        <v>0</v>
      </c>
      <c r="S690" s="154">
        <f t="shared" si="6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hidden="1" customHeight="1">
      <c r="A691" s="150"/>
      <c r="B691" s="150"/>
      <c r="C691" s="151"/>
      <c r="D691" s="151"/>
      <c r="E691" s="151"/>
      <c r="F691" s="150"/>
      <c r="G691" s="150"/>
      <c r="H691" s="150"/>
      <c r="I691" s="157"/>
      <c r="J691" s="157"/>
      <c r="K691" s="157"/>
      <c r="L691" s="153">
        <f t="shared" si="65"/>
        <v>0</v>
      </c>
      <c r="M691" s="154">
        <f t="shared" si="66"/>
        <v>0</v>
      </c>
      <c r="N691" s="155">
        <f>+IF(OR($Q691=Parametres!$G$2,$Q691=Parametres!$G$3),I691,C691)</f>
        <v>0</v>
      </c>
      <c r="O691" s="155">
        <f>+IF(OR($Q691=Parametres!$G$2,$Q691=Parametres!$G$3),J691,D691)</f>
        <v>0</v>
      </c>
      <c r="P691" s="155">
        <f>+IF(OR($Q691=Parametres!$G$2,$Q691=Parametres!$G$3),K691,E691)</f>
        <v>0</v>
      </c>
      <c r="Q691" s="154">
        <f t="shared" si="67"/>
        <v>0</v>
      </c>
      <c r="R691" s="153">
        <f t="shared" si="68"/>
        <v>0</v>
      </c>
      <c r="S691" s="154">
        <f t="shared" si="6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hidden="1" customHeight="1">
      <c r="A692" s="150"/>
      <c r="B692" s="150"/>
      <c r="C692" s="151"/>
      <c r="D692" s="151"/>
      <c r="E692" s="151"/>
      <c r="F692" s="150"/>
      <c r="G692" s="150"/>
      <c r="H692" s="150"/>
      <c r="I692" s="157"/>
      <c r="J692" s="157"/>
      <c r="K692" s="157"/>
      <c r="L692" s="153">
        <f t="shared" si="65"/>
        <v>0</v>
      </c>
      <c r="M692" s="154">
        <f t="shared" si="66"/>
        <v>0</v>
      </c>
      <c r="N692" s="155">
        <f>+IF(OR($Q692=Parametres!$G$2,$Q692=Parametres!$G$3),I692,C692)</f>
        <v>0</v>
      </c>
      <c r="O692" s="155">
        <f>+IF(OR($Q692=Parametres!$G$2,$Q692=Parametres!$G$3),J692,D692)</f>
        <v>0</v>
      </c>
      <c r="P692" s="155">
        <f>+IF(OR($Q692=Parametres!$G$2,$Q692=Parametres!$G$3),K692,E692)</f>
        <v>0</v>
      </c>
      <c r="Q692" s="154">
        <f t="shared" si="67"/>
        <v>0</v>
      </c>
      <c r="R692" s="153">
        <f t="shared" si="68"/>
        <v>0</v>
      </c>
      <c r="S692" s="154">
        <f t="shared" si="6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hidden="1" customHeight="1">
      <c r="A693" s="150"/>
      <c r="B693" s="150"/>
      <c r="C693" s="151"/>
      <c r="D693" s="151"/>
      <c r="E693" s="151"/>
      <c r="F693" s="150"/>
      <c r="G693" s="150"/>
      <c r="H693" s="150"/>
      <c r="I693" s="157"/>
      <c r="J693" s="157"/>
      <c r="K693" s="157"/>
      <c r="L693" s="153">
        <f t="shared" si="65"/>
        <v>0</v>
      </c>
      <c r="M693" s="154">
        <f t="shared" si="66"/>
        <v>0</v>
      </c>
      <c r="N693" s="155">
        <f>+IF(OR($Q693=Parametres!$G$2,$Q693=Parametres!$G$3),I693,C693)</f>
        <v>0</v>
      </c>
      <c r="O693" s="155">
        <f>+IF(OR($Q693=Parametres!$G$2,$Q693=Parametres!$G$3),J693,D693)</f>
        <v>0</v>
      </c>
      <c r="P693" s="155">
        <f>+IF(OR($Q693=Parametres!$G$2,$Q693=Parametres!$G$3),K693,E693)</f>
        <v>0</v>
      </c>
      <c r="Q693" s="154">
        <f t="shared" si="67"/>
        <v>0</v>
      </c>
      <c r="R693" s="153">
        <f t="shared" si="68"/>
        <v>0</v>
      </c>
      <c r="S693" s="154">
        <f t="shared" si="6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hidden="1" customHeight="1">
      <c r="A694" s="150"/>
      <c r="B694" s="150"/>
      <c r="C694" s="151"/>
      <c r="D694" s="151"/>
      <c r="E694" s="151"/>
      <c r="F694" s="150"/>
      <c r="G694" s="150"/>
      <c r="H694" s="150"/>
      <c r="I694" s="157"/>
      <c r="J694" s="157"/>
      <c r="K694" s="157"/>
      <c r="L694" s="153">
        <f t="shared" si="65"/>
        <v>0</v>
      </c>
      <c r="M694" s="154">
        <f t="shared" si="66"/>
        <v>0</v>
      </c>
      <c r="N694" s="155">
        <f>+IF(OR($Q694=Parametres!$G$2,$Q694=Parametres!$G$3),I694,C694)</f>
        <v>0</v>
      </c>
      <c r="O694" s="155">
        <f>+IF(OR($Q694=Parametres!$G$2,$Q694=Parametres!$G$3),J694,D694)</f>
        <v>0</v>
      </c>
      <c r="P694" s="155">
        <f>+IF(OR($Q694=Parametres!$G$2,$Q694=Parametres!$G$3),K694,E694)</f>
        <v>0</v>
      </c>
      <c r="Q694" s="154">
        <f t="shared" si="67"/>
        <v>0</v>
      </c>
      <c r="R694" s="153">
        <f t="shared" si="68"/>
        <v>0</v>
      </c>
      <c r="S694" s="154">
        <f t="shared" si="6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hidden="1" customHeight="1">
      <c r="A695" s="150"/>
      <c r="B695" s="150"/>
      <c r="C695" s="151"/>
      <c r="D695" s="151"/>
      <c r="E695" s="151"/>
      <c r="F695" s="150"/>
      <c r="G695" s="150"/>
      <c r="H695" s="150"/>
      <c r="I695" s="157"/>
      <c r="J695" s="157"/>
      <c r="K695" s="157"/>
      <c r="L695" s="153">
        <f t="shared" si="65"/>
        <v>0</v>
      </c>
      <c r="M695" s="154">
        <f t="shared" si="66"/>
        <v>0</v>
      </c>
      <c r="N695" s="155">
        <f>+IF(OR($Q695=Parametres!$G$2,$Q695=Parametres!$G$3),I695,C695)</f>
        <v>0</v>
      </c>
      <c r="O695" s="155">
        <f>+IF(OR($Q695=Parametres!$G$2,$Q695=Parametres!$G$3),J695,D695)</f>
        <v>0</v>
      </c>
      <c r="P695" s="155">
        <f>+IF(OR($Q695=Parametres!$G$2,$Q695=Parametres!$G$3),K695,E695)</f>
        <v>0</v>
      </c>
      <c r="Q695" s="154">
        <f t="shared" si="67"/>
        <v>0</v>
      </c>
      <c r="R695" s="153">
        <f t="shared" si="68"/>
        <v>0</v>
      </c>
      <c r="S695" s="154">
        <f t="shared" si="6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hidden="1" customHeight="1">
      <c r="A696" s="150"/>
      <c r="B696" s="150"/>
      <c r="C696" s="151"/>
      <c r="D696" s="151"/>
      <c r="E696" s="151"/>
      <c r="F696" s="150"/>
      <c r="G696" s="150"/>
      <c r="H696" s="150"/>
      <c r="I696" s="157"/>
      <c r="J696" s="157"/>
      <c r="K696" s="157"/>
      <c r="L696" s="153">
        <f t="shared" si="65"/>
        <v>0</v>
      </c>
      <c r="M696" s="154">
        <f t="shared" si="66"/>
        <v>0</v>
      </c>
      <c r="N696" s="155">
        <f>+IF(OR($Q696=Parametres!$G$2,$Q696=Parametres!$G$3),I696,C696)</f>
        <v>0</v>
      </c>
      <c r="O696" s="155">
        <f>+IF(OR($Q696=Parametres!$G$2,$Q696=Parametres!$G$3),J696,D696)</f>
        <v>0</v>
      </c>
      <c r="P696" s="155">
        <f>+IF(OR($Q696=Parametres!$G$2,$Q696=Parametres!$G$3),K696,E696)</f>
        <v>0</v>
      </c>
      <c r="Q696" s="154">
        <f t="shared" si="67"/>
        <v>0</v>
      </c>
      <c r="R696" s="153">
        <f t="shared" si="68"/>
        <v>0</v>
      </c>
      <c r="S696" s="154">
        <f t="shared" si="6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hidden="1" customHeight="1">
      <c r="A697" s="157"/>
      <c r="B697" s="158"/>
      <c r="C697" s="159"/>
      <c r="D697" s="157"/>
      <c r="E697" s="157"/>
      <c r="F697" s="157"/>
      <c r="G697" s="157"/>
      <c r="H697" s="157"/>
      <c r="I697" s="157"/>
      <c r="J697" s="157"/>
      <c r="K697" s="157"/>
      <c r="L697" s="153">
        <f t="shared" si="65"/>
        <v>0</v>
      </c>
      <c r="M697" s="154">
        <f t="shared" si="66"/>
        <v>0</v>
      </c>
      <c r="N697" s="155">
        <f>+IF(OR($Q697=Parametres!$G$2,$Q697=Parametres!$G$3),I697,C697)</f>
        <v>0</v>
      </c>
      <c r="O697" s="155">
        <f>+IF(OR($Q697=Parametres!$G$2,$Q697=Parametres!$G$3),J697,D697)</f>
        <v>0</v>
      </c>
      <c r="P697" s="155">
        <f>+IF(OR($Q697=Parametres!$G$2,$Q697=Parametres!$G$3),K697,E697)</f>
        <v>0</v>
      </c>
      <c r="Q697" s="154">
        <f t="shared" si="67"/>
        <v>0</v>
      </c>
      <c r="R697" s="153">
        <f t="shared" si="68"/>
        <v>0</v>
      </c>
      <c r="S697" s="154">
        <f t="shared" si="69"/>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hidden="1" customHeight="1">
      <c r="A698" s="157"/>
      <c r="B698" s="158"/>
      <c r="C698" s="159"/>
      <c r="D698" s="157"/>
      <c r="E698" s="157"/>
      <c r="F698" s="157"/>
      <c r="G698" s="157"/>
      <c r="H698" s="157"/>
      <c r="I698" s="157"/>
      <c r="J698" s="157"/>
      <c r="K698" s="157"/>
      <c r="L698" s="153">
        <f t="shared" si="65"/>
        <v>0</v>
      </c>
      <c r="M698" s="154">
        <f t="shared" si="66"/>
        <v>0</v>
      </c>
      <c r="N698" s="155">
        <f>+IF(OR($Q698=Parametres!$G$2,$Q698=Parametres!$G$3),I698,C698)</f>
        <v>0</v>
      </c>
      <c r="O698" s="155">
        <f>+IF(OR($Q698=Parametres!$G$2,$Q698=Parametres!$G$3),J698,D698)</f>
        <v>0</v>
      </c>
      <c r="P698" s="155">
        <f>+IF(OR($Q698=Parametres!$G$2,$Q698=Parametres!$G$3),K698,E698)</f>
        <v>0</v>
      </c>
      <c r="Q698" s="154">
        <f t="shared" si="67"/>
        <v>0</v>
      </c>
      <c r="R698" s="153">
        <f t="shared" si="68"/>
        <v>0</v>
      </c>
      <c r="S698" s="154">
        <f t="shared" si="69"/>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hidden="1" customHeight="1">
      <c r="A699" s="157"/>
      <c r="B699" s="158"/>
      <c r="C699" s="159"/>
      <c r="D699" s="157"/>
      <c r="E699" s="157"/>
      <c r="F699" s="157"/>
      <c r="G699" s="157"/>
      <c r="H699" s="157"/>
      <c r="I699" s="157"/>
      <c r="J699" s="157"/>
      <c r="K699" s="157"/>
      <c r="L699" s="153">
        <f t="shared" si="65"/>
        <v>0</v>
      </c>
      <c r="M699" s="154">
        <f t="shared" si="66"/>
        <v>0</v>
      </c>
      <c r="N699" s="155">
        <f>+IF(OR($Q699=Parametres!$G$2,$Q699=Parametres!$G$3),I699,C699)</f>
        <v>0</v>
      </c>
      <c r="O699" s="155">
        <f>+IF(OR($Q699=Parametres!$G$2,$Q699=Parametres!$G$3),J699,D699)</f>
        <v>0</v>
      </c>
      <c r="P699" s="155">
        <f>+IF(OR($Q699=Parametres!$G$2,$Q699=Parametres!$G$3),K699,E699)</f>
        <v>0</v>
      </c>
      <c r="Q699" s="154">
        <f t="shared" si="67"/>
        <v>0</v>
      </c>
      <c r="R699" s="153">
        <f t="shared" si="68"/>
        <v>0</v>
      </c>
      <c r="S699" s="154">
        <f t="shared" si="69"/>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hidden="1" customHeight="1">
      <c r="A700" s="157"/>
      <c r="B700" s="158"/>
      <c r="C700" s="159"/>
      <c r="D700" s="157"/>
      <c r="E700" s="157"/>
      <c r="F700" s="157"/>
      <c r="G700" s="157"/>
      <c r="H700" s="157"/>
      <c r="I700" s="157"/>
      <c r="J700" s="157"/>
      <c r="K700" s="157"/>
      <c r="L700" s="153">
        <f t="shared" si="65"/>
        <v>0</v>
      </c>
      <c r="M700" s="154">
        <f t="shared" si="66"/>
        <v>0</v>
      </c>
      <c r="N700" s="155">
        <f>+IF(OR($Q700=Parametres!$G$2,$Q700=Parametres!$G$3),I700,C700)</f>
        <v>0</v>
      </c>
      <c r="O700" s="155">
        <f>+IF(OR($Q700=Parametres!$G$2,$Q700=Parametres!$G$3),J700,D700)</f>
        <v>0</v>
      </c>
      <c r="P700" s="155">
        <f>+IF(OR($Q700=Parametres!$G$2,$Q700=Parametres!$G$3),K700,E700)</f>
        <v>0</v>
      </c>
      <c r="Q700" s="154">
        <f t="shared" si="67"/>
        <v>0</v>
      </c>
      <c r="R700" s="153">
        <f t="shared" si="68"/>
        <v>0</v>
      </c>
      <c r="S700" s="154">
        <f t="shared" si="69"/>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hidden="1" customHeight="1">
      <c r="A701" s="157"/>
      <c r="B701" s="158"/>
      <c r="C701" s="159"/>
      <c r="D701" s="157"/>
      <c r="E701" s="157"/>
      <c r="F701" s="157"/>
      <c r="G701" s="157"/>
      <c r="H701" s="157"/>
      <c r="I701" s="157"/>
      <c r="J701" s="157"/>
      <c r="K701" s="157"/>
      <c r="L701" s="153">
        <f t="shared" si="65"/>
        <v>0</v>
      </c>
      <c r="M701" s="154">
        <f t="shared" si="66"/>
        <v>0</v>
      </c>
      <c r="N701" s="155">
        <f>+IF(OR($Q701=Parametres!$G$2,$Q701=Parametres!$G$3),I701,C701)</f>
        <v>0</v>
      </c>
      <c r="O701" s="155">
        <f>+IF(OR($Q701=Parametres!$G$2,$Q701=Parametres!$G$3),J701,D701)</f>
        <v>0</v>
      </c>
      <c r="P701" s="155">
        <f>+IF(OR($Q701=Parametres!$G$2,$Q701=Parametres!$G$3),K701,E701)</f>
        <v>0</v>
      </c>
      <c r="Q701" s="154">
        <f t="shared" si="67"/>
        <v>0</v>
      </c>
      <c r="R701" s="153">
        <f t="shared" si="68"/>
        <v>0</v>
      </c>
      <c r="S701" s="154">
        <f t="shared" si="69"/>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hidden="1" customHeight="1">
      <c r="A702" s="157"/>
      <c r="B702" s="158"/>
      <c r="C702" s="159"/>
      <c r="D702" s="157"/>
      <c r="E702" s="157"/>
      <c r="F702" s="157"/>
      <c r="G702" s="157"/>
      <c r="H702" s="157"/>
      <c r="I702" s="157"/>
      <c r="J702" s="157"/>
      <c r="K702" s="157"/>
      <c r="L702" s="153">
        <f t="shared" si="65"/>
        <v>0</v>
      </c>
      <c r="M702" s="154">
        <f t="shared" si="66"/>
        <v>0</v>
      </c>
      <c r="N702" s="155">
        <f>+IF(OR($Q702=Parametres!$G$2,$Q702=Parametres!$G$3),I702,C702)</f>
        <v>0</v>
      </c>
      <c r="O702" s="155">
        <f>+IF(OR($Q702=Parametres!$G$2,$Q702=Parametres!$G$3),J702,D702)</f>
        <v>0</v>
      </c>
      <c r="P702" s="155">
        <f>+IF(OR($Q702=Parametres!$G$2,$Q702=Parametres!$G$3),K702,E702)</f>
        <v>0</v>
      </c>
      <c r="Q702" s="154">
        <f t="shared" si="67"/>
        <v>0</v>
      </c>
      <c r="R702" s="153">
        <f t="shared" si="68"/>
        <v>0</v>
      </c>
      <c r="S702" s="154">
        <f t="shared" si="69"/>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hidden="1" customHeight="1">
      <c r="A703" s="157"/>
      <c r="B703" s="158"/>
      <c r="C703" s="159"/>
      <c r="D703" s="157"/>
      <c r="E703" s="157"/>
      <c r="F703" s="157"/>
      <c r="G703" s="157"/>
      <c r="H703" s="157"/>
      <c r="I703" s="157"/>
      <c r="J703" s="157"/>
      <c r="K703" s="157"/>
      <c r="L703" s="153">
        <f t="shared" si="65"/>
        <v>0</v>
      </c>
      <c r="M703" s="154">
        <f t="shared" si="66"/>
        <v>0</v>
      </c>
      <c r="N703" s="155">
        <f>+IF(OR($Q703=Parametres!$G$2,$Q703=Parametres!$G$3),I703,C703)</f>
        <v>0</v>
      </c>
      <c r="O703" s="155">
        <f>+IF(OR($Q703=Parametres!$G$2,$Q703=Parametres!$G$3),J703,D703)</f>
        <v>0</v>
      </c>
      <c r="P703" s="155">
        <f>+IF(OR($Q703=Parametres!$G$2,$Q703=Parametres!$G$3),K703,E703)</f>
        <v>0</v>
      </c>
      <c r="Q703" s="154">
        <f t="shared" si="67"/>
        <v>0</v>
      </c>
      <c r="R703" s="153">
        <f t="shared" si="68"/>
        <v>0</v>
      </c>
      <c r="S703" s="154">
        <f t="shared" si="69"/>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hidden="1" customHeight="1">
      <c r="A704" s="157"/>
      <c r="B704" s="158"/>
      <c r="C704" s="159"/>
      <c r="D704" s="157"/>
      <c r="E704" s="157"/>
      <c r="F704" s="157"/>
      <c r="G704" s="157"/>
      <c r="H704" s="157"/>
      <c r="I704" s="157"/>
      <c r="J704" s="157"/>
      <c r="K704" s="157"/>
      <c r="L704" s="153">
        <f t="shared" si="65"/>
        <v>0</v>
      </c>
      <c r="M704" s="154">
        <f t="shared" si="66"/>
        <v>0</v>
      </c>
      <c r="N704" s="155">
        <f>+IF(OR($Q704=Parametres!$G$2,$Q704=Parametres!$G$3),I704,C704)</f>
        <v>0</v>
      </c>
      <c r="O704" s="155">
        <f>+IF(OR($Q704=Parametres!$G$2,$Q704=Parametres!$G$3),J704,D704)</f>
        <v>0</v>
      </c>
      <c r="P704" s="155">
        <f>+IF(OR($Q704=Parametres!$G$2,$Q704=Parametres!$G$3),K704,E704)</f>
        <v>0</v>
      </c>
      <c r="Q704" s="154">
        <f t="shared" si="67"/>
        <v>0</v>
      </c>
      <c r="R704" s="153">
        <f t="shared" si="68"/>
        <v>0</v>
      </c>
      <c r="S704" s="154">
        <f t="shared" si="69"/>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hidden="1" customHeight="1">
      <c r="A705" s="157"/>
      <c r="B705" s="158"/>
      <c r="C705" s="159"/>
      <c r="D705" s="157"/>
      <c r="E705" s="157"/>
      <c r="F705" s="157"/>
      <c r="G705" s="157"/>
      <c r="H705" s="157"/>
      <c r="I705" s="157"/>
      <c r="J705" s="157"/>
      <c r="K705" s="157"/>
      <c r="L705" s="153">
        <f t="shared" si="65"/>
        <v>0</v>
      </c>
      <c r="M705" s="154">
        <f t="shared" si="66"/>
        <v>0</v>
      </c>
      <c r="N705" s="155">
        <f>+IF(OR($Q705=Parametres!$G$2,$Q705=Parametres!$G$3),I705,C705)</f>
        <v>0</v>
      </c>
      <c r="O705" s="155">
        <f>+IF(OR($Q705=Parametres!$G$2,$Q705=Parametres!$G$3),J705,D705)</f>
        <v>0</v>
      </c>
      <c r="P705" s="155">
        <f>+IF(OR($Q705=Parametres!$G$2,$Q705=Parametres!$G$3),K705,E705)</f>
        <v>0</v>
      </c>
      <c r="Q705" s="154">
        <f t="shared" si="67"/>
        <v>0</v>
      </c>
      <c r="R705" s="153">
        <f t="shared" si="68"/>
        <v>0</v>
      </c>
      <c r="S705" s="154">
        <f t="shared" si="69"/>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hidden="1" customHeight="1">
      <c r="A706" s="157"/>
      <c r="B706" s="158"/>
      <c r="C706" s="159"/>
      <c r="D706" s="157"/>
      <c r="E706" s="157"/>
      <c r="F706" s="157"/>
      <c r="G706" s="157"/>
      <c r="H706" s="157"/>
      <c r="I706" s="157"/>
      <c r="J706" s="157"/>
      <c r="K706" s="157"/>
      <c r="L706" s="153">
        <f t="shared" ref="L706:L769" si="70">+B706</f>
        <v>0</v>
      </c>
      <c r="M706" s="154">
        <f t="shared" ref="M706:M769" si="71">+A706</f>
        <v>0</v>
      </c>
      <c r="N706" s="155">
        <f>+IF(OR($Q706=Parametres!$G$2,$Q706=Parametres!$G$3),I706,C706)</f>
        <v>0</v>
      </c>
      <c r="O706" s="155">
        <f>+IF(OR($Q706=Parametres!$G$2,$Q706=Parametres!$G$3),J706,D706)</f>
        <v>0</v>
      </c>
      <c r="P706" s="155">
        <f>+IF(OR($Q706=Parametres!$G$2,$Q706=Parametres!$G$3),K706,E706)</f>
        <v>0</v>
      </c>
      <c r="Q706" s="154">
        <f t="shared" ref="Q706:Q769" si="72">+F706</f>
        <v>0</v>
      </c>
      <c r="R706" s="153">
        <f t="shared" ref="R706:R769" si="73">+G706</f>
        <v>0</v>
      </c>
      <c r="S706" s="154">
        <f t="shared" ref="S706:S769" si="74">+H706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hidden="1" customHeight="1">
      <c r="A707" s="157"/>
      <c r="B707" s="158"/>
      <c r="C707" s="159"/>
      <c r="D707" s="157"/>
      <c r="E707" s="157"/>
      <c r="F707" s="157"/>
      <c r="G707" s="157"/>
      <c r="H707" s="157"/>
      <c r="I707" s="157"/>
      <c r="J707" s="157"/>
      <c r="K707" s="157"/>
      <c r="L707" s="153">
        <f t="shared" si="70"/>
        <v>0</v>
      </c>
      <c r="M707" s="154">
        <f t="shared" si="71"/>
        <v>0</v>
      </c>
      <c r="N707" s="155">
        <f>+IF(OR($Q707=Parametres!$G$2,$Q707=Parametres!$G$3),I707,C707)</f>
        <v>0</v>
      </c>
      <c r="O707" s="155">
        <f>+IF(OR($Q707=Parametres!$G$2,$Q707=Parametres!$G$3),J707,D707)</f>
        <v>0</v>
      </c>
      <c r="P707" s="155">
        <f>+IF(OR($Q707=Parametres!$G$2,$Q707=Parametres!$G$3),K707,E707)</f>
        <v>0</v>
      </c>
      <c r="Q707" s="154">
        <f t="shared" si="72"/>
        <v>0</v>
      </c>
      <c r="R707" s="153">
        <f t="shared" si="73"/>
        <v>0</v>
      </c>
      <c r="S707" s="154">
        <f t="shared" si="74"/>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hidden="1" customHeight="1">
      <c r="A708" s="157"/>
      <c r="B708" s="158"/>
      <c r="C708" s="159"/>
      <c r="D708" s="157"/>
      <c r="E708" s="157"/>
      <c r="F708" s="157"/>
      <c r="G708" s="157"/>
      <c r="H708" s="157"/>
      <c r="I708" s="157"/>
      <c r="J708" s="157"/>
      <c r="K708" s="157"/>
      <c r="L708" s="153">
        <f t="shared" si="70"/>
        <v>0</v>
      </c>
      <c r="M708" s="154">
        <f t="shared" si="71"/>
        <v>0</v>
      </c>
      <c r="N708" s="155">
        <f>+IF(OR($Q708=Parametres!$G$2,$Q708=Parametres!$G$3),I708,C708)</f>
        <v>0</v>
      </c>
      <c r="O708" s="155">
        <f>+IF(OR($Q708=Parametres!$G$2,$Q708=Parametres!$G$3),J708,D708)</f>
        <v>0</v>
      </c>
      <c r="P708" s="155">
        <f>+IF(OR($Q708=Parametres!$G$2,$Q708=Parametres!$G$3),K708,E708)</f>
        <v>0</v>
      </c>
      <c r="Q708" s="154">
        <f t="shared" si="72"/>
        <v>0</v>
      </c>
      <c r="R708" s="153">
        <f t="shared" si="73"/>
        <v>0</v>
      </c>
      <c r="S708" s="154">
        <f t="shared" si="74"/>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hidden="1" customHeight="1">
      <c r="A709" s="157"/>
      <c r="B709" s="158"/>
      <c r="C709" s="159"/>
      <c r="D709" s="157"/>
      <c r="E709" s="157"/>
      <c r="F709" s="157"/>
      <c r="G709" s="157"/>
      <c r="H709" s="157"/>
      <c r="I709" s="157"/>
      <c r="J709" s="157"/>
      <c r="K709" s="157"/>
      <c r="L709" s="153">
        <f t="shared" si="70"/>
        <v>0</v>
      </c>
      <c r="M709" s="154">
        <f t="shared" si="71"/>
        <v>0</v>
      </c>
      <c r="N709" s="155">
        <f>+IF(OR($Q709=Parametres!$G$2,$Q709=Parametres!$G$3),I709,C709)</f>
        <v>0</v>
      </c>
      <c r="O709" s="155">
        <f>+IF(OR($Q709=Parametres!$G$2,$Q709=Parametres!$G$3),J709,D709)</f>
        <v>0</v>
      </c>
      <c r="P709" s="155">
        <f>+IF(OR($Q709=Parametres!$G$2,$Q709=Parametres!$G$3),K709,E709)</f>
        <v>0</v>
      </c>
      <c r="Q709" s="154">
        <f t="shared" si="72"/>
        <v>0</v>
      </c>
      <c r="R709" s="153">
        <f t="shared" si="73"/>
        <v>0</v>
      </c>
      <c r="S709" s="154">
        <f t="shared" si="74"/>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hidden="1" customHeight="1">
      <c r="A710" s="157"/>
      <c r="B710" s="158"/>
      <c r="C710" s="159"/>
      <c r="D710" s="157"/>
      <c r="E710" s="157"/>
      <c r="F710" s="157"/>
      <c r="G710" s="157"/>
      <c r="H710" s="157"/>
      <c r="I710" s="157"/>
      <c r="J710" s="157"/>
      <c r="K710" s="157"/>
      <c r="L710" s="153">
        <f t="shared" si="70"/>
        <v>0</v>
      </c>
      <c r="M710" s="154">
        <f t="shared" si="71"/>
        <v>0</v>
      </c>
      <c r="N710" s="155">
        <f>+IF(OR($Q710=Parametres!$G$2,$Q710=Parametres!$G$3),I710,C710)</f>
        <v>0</v>
      </c>
      <c r="O710" s="155">
        <f>+IF(OR($Q710=Parametres!$G$2,$Q710=Parametres!$G$3),J710,D710)</f>
        <v>0</v>
      </c>
      <c r="P710" s="155">
        <f>+IF(OR($Q710=Parametres!$G$2,$Q710=Parametres!$G$3),K710,E710)</f>
        <v>0</v>
      </c>
      <c r="Q710" s="154">
        <f t="shared" si="72"/>
        <v>0</v>
      </c>
      <c r="R710" s="153">
        <f t="shared" si="73"/>
        <v>0</v>
      </c>
      <c r="S710" s="154">
        <f t="shared" si="74"/>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hidden="1" customHeight="1">
      <c r="A711" s="157"/>
      <c r="B711" s="158"/>
      <c r="C711" s="159"/>
      <c r="D711" s="157"/>
      <c r="E711" s="157"/>
      <c r="F711" s="157"/>
      <c r="G711" s="157"/>
      <c r="H711" s="157"/>
      <c r="I711" s="157"/>
      <c r="J711" s="157"/>
      <c r="K711" s="157"/>
      <c r="L711" s="153">
        <f t="shared" si="70"/>
        <v>0</v>
      </c>
      <c r="M711" s="154">
        <f t="shared" si="71"/>
        <v>0</v>
      </c>
      <c r="N711" s="155">
        <f>+IF(OR($Q711=Parametres!$G$2,$Q711=Parametres!$G$3),I711,C711)</f>
        <v>0</v>
      </c>
      <c r="O711" s="155">
        <f>+IF(OR($Q711=Parametres!$G$2,$Q711=Parametres!$G$3),J711,D711)</f>
        <v>0</v>
      </c>
      <c r="P711" s="155">
        <f>+IF(OR($Q711=Parametres!$G$2,$Q711=Parametres!$G$3),K711,E711)</f>
        <v>0</v>
      </c>
      <c r="Q711" s="154">
        <f t="shared" si="72"/>
        <v>0</v>
      </c>
      <c r="R711" s="153">
        <f t="shared" si="73"/>
        <v>0</v>
      </c>
      <c r="S711" s="154">
        <f t="shared" si="74"/>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hidden="1" customHeight="1">
      <c r="A712" s="157"/>
      <c r="B712" s="158"/>
      <c r="C712" s="159"/>
      <c r="D712" s="157"/>
      <c r="E712" s="157"/>
      <c r="F712" s="157"/>
      <c r="G712" s="157"/>
      <c r="H712" s="157"/>
      <c r="I712" s="157"/>
      <c r="J712" s="157"/>
      <c r="K712" s="157"/>
      <c r="L712" s="153">
        <f t="shared" si="70"/>
        <v>0</v>
      </c>
      <c r="M712" s="154">
        <f t="shared" si="71"/>
        <v>0</v>
      </c>
      <c r="N712" s="155">
        <f>+IF(OR($Q712=Parametres!$G$2,$Q712=Parametres!$G$3),I712,C712)</f>
        <v>0</v>
      </c>
      <c r="O712" s="155">
        <f>+IF(OR($Q712=Parametres!$G$2,$Q712=Parametres!$G$3),J712,D712)</f>
        <v>0</v>
      </c>
      <c r="P712" s="155">
        <f>+IF(OR($Q712=Parametres!$G$2,$Q712=Parametres!$G$3),K712,E712)</f>
        <v>0</v>
      </c>
      <c r="Q712" s="154">
        <f t="shared" si="72"/>
        <v>0</v>
      </c>
      <c r="R712" s="153">
        <f t="shared" si="73"/>
        <v>0</v>
      </c>
      <c r="S712" s="154">
        <f t="shared" si="74"/>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hidden="1" customHeight="1">
      <c r="A713" s="157"/>
      <c r="B713" s="158"/>
      <c r="C713" s="159"/>
      <c r="D713" s="157"/>
      <c r="E713" s="157"/>
      <c r="F713" s="157"/>
      <c r="G713" s="157"/>
      <c r="H713" s="157"/>
      <c r="I713" s="157"/>
      <c r="J713" s="157"/>
      <c r="K713" s="157"/>
      <c r="L713" s="153">
        <f t="shared" si="70"/>
        <v>0</v>
      </c>
      <c r="M713" s="154">
        <f t="shared" si="71"/>
        <v>0</v>
      </c>
      <c r="N713" s="155">
        <f>+IF(OR($Q713=Parametres!$G$2,$Q713=Parametres!$G$3),I713,C713)</f>
        <v>0</v>
      </c>
      <c r="O713" s="155">
        <f>+IF(OR($Q713=Parametres!$G$2,$Q713=Parametres!$G$3),J713,D713)</f>
        <v>0</v>
      </c>
      <c r="P713" s="155">
        <f>+IF(OR($Q713=Parametres!$G$2,$Q713=Parametres!$G$3),K713,E713)</f>
        <v>0</v>
      </c>
      <c r="Q713" s="154">
        <f t="shared" si="72"/>
        <v>0</v>
      </c>
      <c r="R713" s="153">
        <f t="shared" si="73"/>
        <v>0</v>
      </c>
      <c r="S713" s="154">
        <f t="shared" si="74"/>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hidden="1" customHeight="1">
      <c r="A714" s="157"/>
      <c r="B714" s="158"/>
      <c r="C714" s="159"/>
      <c r="D714" s="157"/>
      <c r="E714" s="157"/>
      <c r="F714" s="157"/>
      <c r="G714" s="157"/>
      <c r="H714" s="157"/>
      <c r="I714" s="157"/>
      <c r="J714" s="157"/>
      <c r="K714" s="157"/>
      <c r="L714" s="153">
        <f t="shared" si="70"/>
        <v>0</v>
      </c>
      <c r="M714" s="154">
        <f t="shared" si="71"/>
        <v>0</v>
      </c>
      <c r="N714" s="155">
        <f>+IF(OR($Q714=Parametres!$G$2,$Q714=Parametres!$G$3),I714,C714)</f>
        <v>0</v>
      </c>
      <c r="O714" s="155">
        <f>+IF(OR($Q714=Parametres!$G$2,$Q714=Parametres!$G$3),J714,D714)</f>
        <v>0</v>
      </c>
      <c r="P714" s="155">
        <f>+IF(OR($Q714=Parametres!$G$2,$Q714=Parametres!$G$3),K714,E714)</f>
        <v>0</v>
      </c>
      <c r="Q714" s="154">
        <f t="shared" si="72"/>
        <v>0</v>
      </c>
      <c r="R714" s="153">
        <f t="shared" si="73"/>
        <v>0</v>
      </c>
      <c r="S714" s="154">
        <f t="shared" si="74"/>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hidden="1" customHeight="1">
      <c r="A715" s="157"/>
      <c r="B715" s="158"/>
      <c r="C715" s="159"/>
      <c r="D715" s="157"/>
      <c r="E715" s="157"/>
      <c r="F715" s="157"/>
      <c r="G715" s="157"/>
      <c r="H715" s="157"/>
      <c r="I715" s="157"/>
      <c r="J715" s="157"/>
      <c r="K715" s="157"/>
      <c r="L715" s="153">
        <f t="shared" si="70"/>
        <v>0</v>
      </c>
      <c r="M715" s="154">
        <f t="shared" si="71"/>
        <v>0</v>
      </c>
      <c r="N715" s="155">
        <f>+IF(OR($Q715=Parametres!$G$2,$Q715=Parametres!$G$3),I715,C715)</f>
        <v>0</v>
      </c>
      <c r="O715" s="155">
        <f>+IF(OR($Q715=Parametres!$G$2,$Q715=Parametres!$G$3),J715,D715)</f>
        <v>0</v>
      </c>
      <c r="P715" s="155">
        <f>+IF(OR($Q715=Parametres!$G$2,$Q715=Parametres!$G$3),K715,E715)</f>
        <v>0</v>
      </c>
      <c r="Q715" s="154">
        <f t="shared" si="72"/>
        <v>0</v>
      </c>
      <c r="R715" s="153">
        <f t="shared" si="73"/>
        <v>0</v>
      </c>
      <c r="S715" s="154">
        <f t="shared" si="74"/>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hidden="1" customHeight="1">
      <c r="A716" s="157"/>
      <c r="B716" s="158"/>
      <c r="C716" s="159"/>
      <c r="D716" s="157"/>
      <c r="E716" s="157"/>
      <c r="F716" s="157"/>
      <c r="G716" s="157"/>
      <c r="H716" s="157"/>
      <c r="I716" s="157"/>
      <c r="J716" s="157"/>
      <c r="K716" s="157"/>
      <c r="L716" s="153">
        <f t="shared" si="70"/>
        <v>0</v>
      </c>
      <c r="M716" s="154">
        <f t="shared" si="71"/>
        <v>0</v>
      </c>
      <c r="N716" s="155">
        <f>+IF(OR($Q716=Parametres!$G$2,$Q716=Parametres!$G$3),I716,C716)</f>
        <v>0</v>
      </c>
      <c r="O716" s="155">
        <f>+IF(OR($Q716=Parametres!$G$2,$Q716=Parametres!$G$3),J716,D716)</f>
        <v>0</v>
      </c>
      <c r="P716" s="155">
        <f>+IF(OR($Q716=Parametres!$G$2,$Q716=Parametres!$G$3),K716,E716)</f>
        <v>0</v>
      </c>
      <c r="Q716" s="154">
        <f t="shared" si="72"/>
        <v>0</v>
      </c>
      <c r="R716" s="153">
        <f t="shared" si="73"/>
        <v>0</v>
      </c>
      <c r="S716" s="154">
        <f t="shared" si="74"/>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hidden="1" customHeight="1">
      <c r="A717" s="157"/>
      <c r="B717" s="158"/>
      <c r="C717" s="159"/>
      <c r="D717" s="157"/>
      <c r="E717" s="157"/>
      <c r="F717" s="157"/>
      <c r="G717" s="157"/>
      <c r="H717" s="157"/>
      <c r="I717" s="157"/>
      <c r="J717" s="157"/>
      <c r="K717" s="157"/>
      <c r="L717" s="153">
        <f t="shared" si="70"/>
        <v>0</v>
      </c>
      <c r="M717" s="154">
        <f t="shared" si="71"/>
        <v>0</v>
      </c>
      <c r="N717" s="155">
        <f>+IF(OR($Q717=Parametres!$G$2,$Q717=Parametres!$G$3),I717,C717)</f>
        <v>0</v>
      </c>
      <c r="O717" s="155">
        <f>+IF(OR($Q717=Parametres!$G$2,$Q717=Parametres!$G$3),J717,D717)</f>
        <v>0</v>
      </c>
      <c r="P717" s="155">
        <f>+IF(OR($Q717=Parametres!$G$2,$Q717=Parametres!$G$3),K717,E717)</f>
        <v>0</v>
      </c>
      <c r="Q717" s="154">
        <f t="shared" si="72"/>
        <v>0</v>
      </c>
      <c r="R717" s="153">
        <f t="shared" si="73"/>
        <v>0</v>
      </c>
      <c r="S717" s="154">
        <f t="shared" si="74"/>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hidden="1" customHeight="1">
      <c r="A718" s="157"/>
      <c r="B718" s="158"/>
      <c r="C718" s="159"/>
      <c r="D718" s="157"/>
      <c r="E718" s="157"/>
      <c r="F718" s="157"/>
      <c r="G718" s="157"/>
      <c r="H718" s="157"/>
      <c r="I718" s="157"/>
      <c r="J718" s="157"/>
      <c r="K718" s="157"/>
      <c r="L718" s="153">
        <f t="shared" si="70"/>
        <v>0</v>
      </c>
      <c r="M718" s="154">
        <f t="shared" si="71"/>
        <v>0</v>
      </c>
      <c r="N718" s="155">
        <f>+IF(OR($Q718=Parametres!$G$2,$Q718=Parametres!$G$3),I718,C718)</f>
        <v>0</v>
      </c>
      <c r="O718" s="155">
        <f>+IF(OR($Q718=Parametres!$G$2,$Q718=Parametres!$G$3),J718,D718)</f>
        <v>0</v>
      </c>
      <c r="P718" s="155">
        <f>+IF(OR($Q718=Parametres!$G$2,$Q718=Parametres!$G$3),K718,E718)</f>
        <v>0</v>
      </c>
      <c r="Q718" s="154">
        <f t="shared" si="72"/>
        <v>0</v>
      </c>
      <c r="R718" s="153">
        <f t="shared" si="73"/>
        <v>0</v>
      </c>
      <c r="S718" s="154">
        <f t="shared" si="74"/>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hidden="1" customHeight="1">
      <c r="A719" s="157"/>
      <c r="B719" s="158"/>
      <c r="C719" s="159"/>
      <c r="D719" s="157"/>
      <c r="E719" s="157"/>
      <c r="F719" s="157"/>
      <c r="G719" s="157"/>
      <c r="H719" s="157"/>
      <c r="I719" s="157"/>
      <c r="J719" s="157"/>
      <c r="K719" s="157"/>
      <c r="L719" s="153">
        <f t="shared" si="70"/>
        <v>0</v>
      </c>
      <c r="M719" s="154">
        <f t="shared" si="71"/>
        <v>0</v>
      </c>
      <c r="N719" s="155">
        <f>+IF(OR($Q719=Parametres!$G$2,$Q719=Parametres!$G$3),I719,C719)</f>
        <v>0</v>
      </c>
      <c r="O719" s="155">
        <f>+IF(OR($Q719=Parametres!$G$2,$Q719=Parametres!$G$3),J719,D719)</f>
        <v>0</v>
      </c>
      <c r="P719" s="155">
        <f>+IF(OR($Q719=Parametres!$G$2,$Q719=Parametres!$G$3),K719,E719)</f>
        <v>0</v>
      </c>
      <c r="Q719" s="154">
        <f t="shared" si="72"/>
        <v>0</v>
      </c>
      <c r="R719" s="153">
        <f t="shared" si="73"/>
        <v>0</v>
      </c>
      <c r="S719" s="154">
        <f t="shared" si="74"/>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hidden="1" customHeight="1">
      <c r="A720" s="157"/>
      <c r="B720" s="158"/>
      <c r="C720" s="159"/>
      <c r="D720" s="157"/>
      <c r="E720" s="157"/>
      <c r="F720" s="157"/>
      <c r="G720" s="157"/>
      <c r="H720" s="157"/>
      <c r="I720" s="157"/>
      <c r="J720" s="157"/>
      <c r="K720" s="157"/>
      <c r="L720" s="153">
        <f t="shared" si="70"/>
        <v>0</v>
      </c>
      <c r="M720" s="154">
        <f t="shared" si="71"/>
        <v>0</v>
      </c>
      <c r="N720" s="155">
        <f>+IF(OR($Q720=Parametres!$G$2,$Q720=Parametres!$G$3),I720,C720)</f>
        <v>0</v>
      </c>
      <c r="O720" s="155">
        <f>+IF(OR($Q720=Parametres!$G$2,$Q720=Parametres!$G$3),J720,D720)</f>
        <v>0</v>
      </c>
      <c r="P720" s="155">
        <f>+IF(OR($Q720=Parametres!$G$2,$Q720=Parametres!$G$3),K720,E720)</f>
        <v>0</v>
      </c>
      <c r="Q720" s="154">
        <f t="shared" si="72"/>
        <v>0</v>
      </c>
      <c r="R720" s="153">
        <f t="shared" si="73"/>
        <v>0</v>
      </c>
      <c r="S720" s="154">
        <f t="shared" si="74"/>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hidden="1" customHeight="1">
      <c r="A721" s="157"/>
      <c r="B721" s="158"/>
      <c r="C721" s="159"/>
      <c r="D721" s="157"/>
      <c r="E721" s="157"/>
      <c r="F721" s="157"/>
      <c r="G721" s="157"/>
      <c r="H721" s="157"/>
      <c r="I721" s="157"/>
      <c r="J721" s="157"/>
      <c r="K721" s="157"/>
      <c r="L721" s="153">
        <f t="shared" si="70"/>
        <v>0</v>
      </c>
      <c r="M721" s="154">
        <f t="shared" si="71"/>
        <v>0</v>
      </c>
      <c r="N721" s="155">
        <f>+IF(OR($Q721=Parametres!$G$2,$Q721=Parametres!$G$3),I721,C721)</f>
        <v>0</v>
      </c>
      <c r="O721" s="155">
        <f>+IF(OR($Q721=Parametres!$G$2,$Q721=Parametres!$G$3),J721,D721)</f>
        <v>0</v>
      </c>
      <c r="P721" s="155">
        <f>+IF(OR($Q721=Parametres!$G$2,$Q721=Parametres!$G$3),K721,E721)</f>
        <v>0</v>
      </c>
      <c r="Q721" s="154">
        <f t="shared" si="72"/>
        <v>0</v>
      </c>
      <c r="R721" s="153">
        <f t="shared" si="73"/>
        <v>0</v>
      </c>
      <c r="S721" s="154">
        <f t="shared" si="74"/>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hidden="1" customHeight="1">
      <c r="A722" s="157"/>
      <c r="B722" s="158"/>
      <c r="C722" s="159"/>
      <c r="D722" s="157"/>
      <c r="E722" s="157"/>
      <c r="F722" s="157"/>
      <c r="G722" s="157"/>
      <c r="H722" s="157"/>
      <c r="I722" s="157"/>
      <c r="J722" s="157"/>
      <c r="K722" s="157"/>
      <c r="L722" s="153">
        <f t="shared" si="70"/>
        <v>0</v>
      </c>
      <c r="M722" s="154">
        <f t="shared" si="71"/>
        <v>0</v>
      </c>
      <c r="N722" s="155">
        <f>+IF(OR($Q722=Parametres!$G$2,$Q722=Parametres!$G$3),I722,C722)</f>
        <v>0</v>
      </c>
      <c r="O722" s="155">
        <f>+IF(OR($Q722=Parametres!$G$2,$Q722=Parametres!$G$3),J722,D722)</f>
        <v>0</v>
      </c>
      <c r="P722" s="155">
        <f>+IF(OR($Q722=Parametres!$G$2,$Q722=Parametres!$G$3),K722,E722)</f>
        <v>0</v>
      </c>
      <c r="Q722" s="154">
        <f t="shared" si="72"/>
        <v>0</v>
      </c>
      <c r="R722" s="153">
        <f t="shared" si="73"/>
        <v>0</v>
      </c>
      <c r="S722" s="154">
        <f t="shared" si="74"/>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hidden="1" customHeight="1">
      <c r="A723" s="157"/>
      <c r="B723" s="158"/>
      <c r="C723" s="159"/>
      <c r="D723" s="157"/>
      <c r="E723" s="157"/>
      <c r="F723" s="157"/>
      <c r="G723" s="157"/>
      <c r="H723" s="157"/>
      <c r="I723" s="157"/>
      <c r="J723" s="157"/>
      <c r="K723" s="157"/>
      <c r="L723" s="153">
        <f t="shared" si="70"/>
        <v>0</v>
      </c>
      <c r="M723" s="154">
        <f t="shared" si="71"/>
        <v>0</v>
      </c>
      <c r="N723" s="155">
        <f>+IF(OR($Q723=Parametres!$G$2,$Q723=Parametres!$G$3),I723,C723)</f>
        <v>0</v>
      </c>
      <c r="O723" s="155">
        <f>+IF(OR($Q723=Parametres!$G$2,$Q723=Parametres!$G$3),J723,D723)</f>
        <v>0</v>
      </c>
      <c r="P723" s="155">
        <f>+IF(OR($Q723=Parametres!$G$2,$Q723=Parametres!$G$3),K723,E723)</f>
        <v>0</v>
      </c>
      <c r="Q723" s="154">
        <f t="shared" si="72"/>
        <v>0</v>
      </c>
      <c r="R723" s="153">
        <f t="shared" si="73"/>
        <v>0</v>
      </c>
      <c r="S723" s="154">
        <f t="shared" si="74"/>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hidden="1" customHeight="1">
      <c r="A724" s="157"/>
      <c r="B724" s="158"/>
      <c r="C724" s="159"/>
      <c r="D724" s="157"/>
      <c r="E724" s="157"/>
      <c r="F724" s="157"/>
      <c r="G724" s="157"/>
      <c r="H724" s="157"/>
      <c r="I724" s="157"/>
      <c r="J724" s="157"/>
      <c r="K724" s="157"/>
      <c r="L724" s="153">
        <f t="shared" si="70"/>
        <v>0</v>
      </c>
      <c r="M724" s="154">
        <f t="shared" si="71"/>
        <v>0</v>
      </c>
      <c r="N724" s="155">
        <f>+IF(OR($Q724=Parametres!$G$2,$Q724=Parametres!$G$3),I724,C724)</f>
        <v>0</v>
      </c>
      <c r="O724" s="155">
        <f>+IF(OR($Q724=Parametres!$G$2,$Q724=Parametres!$G$3),J724,D724)</f>
        <v>0</v>
      </c>
      <c r="P724" s="155">
        <f>+IF(OR($Q724=Parametres!$G$2,$Q724=Parametres!$G$3),K724,E724)</f>
        <v>0</v>
      </c>
      <c r="Q724" s="154">
        <f t="shared" si="72"/>
        <v>0</v>
      </c>
      <c r="R724" s="153">
        <f t="shared" si="73"/>
        <v>0</v>
      </c>
      <c r="S724" s="154">
        <f t="shared" si="74"/>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hidden="1" customHeight="1">
      <c r="A725" s="157"/>
      <c r="B725" s="158"/>
      <c r="C725" s="159"/>
      <c r="D725" s="157"/>
      <c r="E725" s="157"/>
      <c r="F725" s="157"/>
      <c r="G725" s="157"/>
      <c r="H725" s="157"/>
      <c r="I725" s="157"/>
      <c r="J725" s="157"/>
      <c r="K725" s="157"/>
      <c r="L725" s="153">
        <f t="shared" si="70"/>
        <v>0</v>
      </c>
      <c r="M725" s="154">
        <f t="shared" si="71"/>
        <v>0</v>
      </c>
      <c r="N725" s="155">
        <f>+IF(OR($Q725=Parametres!$G$2,$Q725=Parametres!$G$3),I725,C725)</f>
        <v>0</v>
      </c>
      <c r="O725" s="155">
        <f>+IF(OR($Q725=Parametres!$G$2,$Q725=Parametres!$G$3),J725,D725)</f>
        <v>0</v>
      </c>
      <c r="P725" s="155">
        <f>+IF(OR($Q725=Parametres!$G$2,$Q725=Parametres!$G$3),K725,E725)</f>
        <v>0</v>
      </c>
      <c r="Q725" s="154">
        <f t="shared" si="72"/>
        <v>0</v>
      </c>
      <c r="R725" s="153">
        <f t="shared" si="73"/>
        <v>0</v>
      </c>
      <c r="S725" s="154">
        <f t="shared" si="74"/>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hidden="1" customHeight="1">
      <c r="A726" s="157"/>
      <c r="B726" s="158"/>
      <c r="C726" s="159"/>
      <c r="D726" s="157"/>
      <c r="E726" s="157"/>
      <c r="F726" s="157"/>
      <c r="G726" s="157"/>
      <c r="H726" s="157"/>
      <c r="I726" s="157"/>
      <c r="J726" s="157"/>
      <c r="K726" s="157"/>
      <c r="L726" s="153">
        <f t="shared" si="70"/>
        <v>0</v>
      </c>
      <c r="M726" s="154">
        <f t="shared" si="71"/>
        <v>0</v>
      </c>
      <c r="N726" s="155">
        <f>+IF(OR($Q726=Parametres!$G$2,$Q726=Parametres!$G$3),I726,C726)</f>
        <v>0</v>
      </c>
      <c r="O726" s="155">
        <f>+IF(OR($Q726=Parametres!$G$2,$Q726=Parametres!$G$3),J726,D726)</f>
        <v>0</v>
      </c>
      <c r="P726" s="155">
        <f>+IF(OR($Q726=Parametres!$G$2,$Q726=Parametres!$G$3),K726,E726)</f>
        <v>0</v>
      </c>
      <c r="Q726" s="154">
        <f t="shared" si="72"/>
        <v>0</v>
      </c>
      <c r="R726" s="153">
        <f t="shared" si="73"/>
        <v>0</v>
      </c>
      <c r="S726" s="154">
        <f t="shared" si="74"/>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hidden="1" customHeight="1">
      <c r="A727" s="157"/>
      <c r="B727" s="158"/>
      <c r="C727" s="159"/>
      <c r="D727" s="157"/>
      <c r="E727" s="157"/>
      <c r="F727" s="157"/>
      <c r="G727" s="157"/>
      <c r="H727" s="157"/>
      <c r="I727" s="157"/>
      <c r="J727" s="157"/>
      <c r="K727" s="157"/>
      <c r="L727" s="153">
        <f t="shared" si="70"/>
        <v>0</v>
      </c>
      <c r="M727" s="154">
        <f t="shared" si="71"/>
        <v>0</v>
      </c>
      <c r="N727" s="155">
        <f>+IF(OR($Q727=Parametres!$G$2,$Q727=Parametres!$G$3),I727,C727)</f>
        <v>0</v>
      </c>
      <c r="O727" s="155">
        <f>+IF(OR($Q727=Parametres!$G$2,$Q727=Parametres!$G$3),J727,D727)</f>
        <v>0</v>
      </c>
      <c r="P727" s="155">
        <f>+IF(OR($Q727=Parametres!$G$2,$Q727=Parametres!$G$3),K727,E727)</f>
        <v>0</v>
      </c>
      <c r="Q727" s="154">
        <f t="shared" si="72"/>
        <v>0</v>
      </c>
      <c r="R727" s="153">
        <f t="shared" si="73"/>
        <v>0</v>
      </c>
      <c r="S727" s="154">
        <f t="shared" si="74"/>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hidden="1" customHeight="1">
      <c r="A728" s="157"/>
      <c r="B728" s="158"/>
      <c r="C728" s="159"/>
      <c r="D728" s="157"/>
      <c r="E728" s="157"/>
      <c r="F728" s="157"/>
      <c r="G728" s="157"/>
      <c r="H728" s="157"/>
      <c r="I728" s="157"/>
      <c r="J728" s="157"/>
      <c r="K728" s="157"/>
      <c r="L728" s="153">
        <f t="shared" si="70"/>
        <v>0</v>
      </c>
      <c r="M728" s="154">
        <f t="shared" si="71"/>
        <v>0</v>
      </c>
      <c r="N728" s="155">
        <f>+IF(OR($Q728=Parametres!$G$2,$Q728=Parametres!$G$3),I728,C728)</f>
        <v>0</v>
      </c>
      <c r="O728" s="155">
        <f>+IF(OR($Q728=Parametres!$G$2,$Q728=Parametres!$G$3),J728,D728)</f>
        <v>0</v>
      </c>
      <c r="P728" s="155">
        <f>+IF(OR($Q728=Parametres!$G$2,$Q728=Parametres!$G$3),K728,E728)</f>
        <v>0</v>
      </c>
      <c r="Q728" s="154">
        <f t="shared" si="72"/>
        <v>0</v>
      </c>
      <c r="R728" s="153">
        <f t="shared" si="73"/>
        <v>0</v>
      </c>
      <c r="S728" s="154">
        <f t="shared" si="74"/>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hidden="1" customHeight="1">
      <c r="A729" s="157"/>
      <c r="B729" s="158"/>
      <c r="C729" s="159"/>
      <c r="D729" s="157"/>
      <c r="E729" s="157"/>
      <c r="F729" s="157"/>
      <c r="G729" s="157"/>
      <c r="H729" s="157"/>
      <c r="I729" s="157"/>
      <c r="J729" s="157"/>
      <c r="K729" s="157"/>
      <c r="L729" s="153">
        <f t="shared" si="70"/>
        <v>0</v>
      </c>
      <c r="M729" s="154">
        <f t="shared" si="71"/>
        <v>0</v>
      </c>
      <c r="N729" s="155">
        <f>+IF(OR($Q729=Parametres!$G$2,$Q729=Parametres!$G$3),I729,C729)</f>
        <v>0</v>
      </c>
      <c r="O729" s="155">
        <f>+IF(OR($Q729=Parametres!$G$2,$Q729=Parametres!$G$3),J729,D729)</f>
        <v>0</v>
      </c>
      <c r="P729" s="155">
        <f>+IF(OR($Q729=Parametres!$G$2,$Q729=Parametres!$G$3),K729,E729)</f>
        <v>0</v>
      </c>
      <c r="Q729" s="154">
        <f t="shared" si="72"/>
        <v>0</v>
      </c>
      <c r="R729" s="153">
        <f t="shared" si="73"/>
        <v>0</v>
      </c>
      <c r="S729" s="154">
        <f t="shared" si="74"/>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hidden="1" customHeight="1">
      <c r="A730" s="157"/>
      <c r="B730" s="158"/>
      <c r="C730" s="159"/>
      <c r="D730" s="157"/>
      <c r="E730" s="157"/>
      <c r="F730" s="157"/>
      <c r="G730" s="157"/>
      <c r="H730" s="157"/>
      <c r="I730" s="157"/>
      <c r="J730" s="157"/>
      <c r="K730" s="157"/>
      <c r="L730" s="153">
        <f t="shared" si="70"/>
        <v>0</v>
      </c>
      <c r="M730" s="154">
        <f t="shared" si="71"/>
        <v>0</v>
      </c>
      <c r="N730" s="155">
        <f>+IF(OR($Q730=Parametres!$G$2,$Q730=Parametres!$G$3),I730,C730)</f>
        <v>0</v>
      </c>
      <c r="O730" s="155">
        <f>+IF(OR($Q730=Parametres!$G$2,$Q730=Parametres!$G$3),J730,D730)</f>
        <v>0</v>
      </c>
      <c r="P730" s="155">
        <f>+IF(OR($Q730=Parametres!$G$2,$Q730=Parametres!$G$3),K730,E730)</f>
        <v>0</v>
      </c>
      <c r="Q730" s="154">
        <f t="shared" si="72"/>
        <v>0</v>
      </c>
      <c r="R730" s="153">
        <f t="shared" si="73"/>
        <v>0</v>
      </c>
      <c r="S730" s="154">
        <f t="shared" si="74"/>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hidden="1" customHeight="1">
      <c r="A731" s="157"/>
      <c r="B731" s="158"/>
      <c r="C731" s="159"/>
      <c r="D731" s="157"/>
      <c r="E731" s="157"/>
      <c r="F731" s="157"/>
      <c r="G731" s="157"/>
      <c r="H731" s="157"/>
      <c r="I731" s="157"/>
      <c r="J731" s="157"/>
      <c r="K731" s="157"/>
      <c r="L731" s="153">
        <f t="shared" si="70"/>
        <v>0</v>
      </c>
      <c r="M731" s="154">
        <f t="shared" si="71"/>
        <v>0</v>
      </c>
      <c r="N731" s="155">
        <f>+IF(OR($Q731=Parametres!$G$2,$Q731=Parametres!$G$3),I731,C731)</f>
        <v>0</v>
      </c>
      <c r="O731" s="155">
        <f>+IF(OR($Q731=Parametres!$G$2,$Q731=Parametres!$G$3),J731,D731)</f>
        <v>0</v>
      </c>
      <c r="P731" s="155">
        <f>+IF(OR($Q731=Parametres!$G$2,$Q731=Parametres!$G$3),K731,E731)</f>
        <v>0</v>
      </c>
      <c r="Q731" s="154">
        <f t="shared" si="72"/>
        <v>0</v>
      </c>
      <c r="R731" s="153">
        <f t="shared" si="73"/>
        <v>0</v>
      </c>
      <c r="S731" s="154">
        <f t="shared" si="74"/>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hidden="1" customHeight="1">
      <c r="A732" s="157"/>
      <c r="B732" s="158"/>
      <c r="C732" s="159"/>
      <c r="D732" s="157"/>
      <c r="E732" s="157"/>
      <c r="F732" s="157"/>
      <c r="G732" s="157"/>
      <c r="H732" s="157"/>
      <c r="I732" s="157"/>
      <c r="J732" s="157"/>
      <c r="K732" s="157"/>
      <c r="L732" s="153">
        <f t="shared" si="70"/>
        <v>0</v>
      </c>
      <c r="M732" s="154">
        <f t="shared" si="71"/>
        <v>0</v>
      </c>
      <c r="N732" s="155">
        <f>+IF(OR($Q732=Parametres!$G$2,$Q732=Parametres!$G$3),I732,C732)</f>
        <v>0</v>
      </c>
      <c r="O732" s="155">
        <f>+IF(OR($Q732=Parametres!$G$2,$Q732=Parametres!$G$3),J732,D732)</f>
        <v>0</v>
      </c>
      <c r="P732" s="155">
        <f>+IF(OR($Q732=Parametres!$G$2,$Q732=Parametres!$G$3),K732,E732)</f>
        <v>0</v>
      </c>
      <c r="Q732" s="154">
        <f t="shared" si="72"/>
        <v>0</v>
      </c>
      <c r="R732" s="153">
        <f t="shared" si="73"/>
        <v>0</v>
      </c>
      <c r="S732" s="154">
        <f t="shared" si="74"/>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hidden="1" customHeight="1">
      <c r="A733" s="157"/>
      <c r="B733" s="158"/>
      <c r="C733" s="159"/>
      <c r="D733" s="157"/>
      <c r="E733" s="157"/>
      <c r="F733" s="157"/>
      <c r="G733" s="157"/>
      <c r="H733" s="157"/>
      <c r="I733" s="157"/>
      <c r="J733" s="157"/>
      <c r="K733" s="157"/>
      <c r="L733" s="153">
        <f t="shared" si="70"/>
        <v>0</v>
      </c>
      <c r="M733" s="154">
        <f t="shared" si="71"/>
        <v>0</v>
      </c>
      <c r="N733" s="155">
        <f>+IF(OR($Q733=Parametres!$G$2,$Q733=Parametres!$G$3),I733,C733)</f>
        <v>0</v>
      </c>
      <c r="O733" s="155">
        <f>+IF(OR($Q733=Parametres!$G$2,$Q733=Parametres!$G$3),J733,D733)</f>
        <v>0</v>
      </c>
      <c r="P733" s="155">
        <f>+IF(OR($Q733=Parametres!$G$2,$Q733=Parametres!$G$3),K733,E733)</f>
        <v>0</v>
      </c>
      <c r="Q733" s="154">
        <f t="shared" si="72"/>
        <v>0</v>
      </c>
      <c r="R733" s="153">
        <f t="shared" si="73"/>
        <v>0</v>
      </c>
      <c r="S733" s="154">
        <f t="shared" si="74"/>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hidden="1" customHeight="1">
      <c r="A734" s="157"/>
      <c r="B734" s="158"/>
      <c r="C734" s="159"/>
      <c r="D734" s="157"/>
      <c r="E734" s="157"/>
      <c r="F734" s="157"/>
      <c r="G734" s="157"/>
      <c r="H734" s="157"/>
      <c r="I734" s="157"/>
      <c r="J734" s="157"/>
      <c r="K734" s="157"/>
      <c r="L734" s="153">
        <f t="shared" si="70"/>
        <v>0</v>
      </c>
      <c r="M734" s="154">
        <f t="shared" si="71"/>
        <v>0</v>
      </c>
      <c r="N734" s="155">
        <f>+IF(OR($Q734=Parametres!$G$2,$Q734=Parametres!$G$3),I734,C734)</f>
        <v>0</v>
      </c>
      <c r="O734" s="155">
        <f>+IF(OR($Q734=Parametres!$G$2,$Q734=Parametres!$G$3),J734,D734)</f>
        <v>0</v>
      </c>
      <c r="P734" s="155">
        <f>+IF(OR($Q734=Parametres!$G$2,$Q734=Parametres!$G$3),K734,E734)</f>
        <v>0</v>
      </c>
      <c r="Q734" s="154">
        <f t="shared" si="72"/>
        <v>0</v>
      </c>
      <c r="R734" s="153">
        <f t="shared" si="73"/>
        <v>0</v>
      </c>
      <c r="S734" s="154">
        <f t="shared" si="74"/>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hidden="1" customHeight="1">
      <c r="A735" s="157"/>
      <c r="B735" s="158"/>
      <c r="C735" s="159"/>
      <c r="D735" s="157"/>
      <c r="E735" s="157"/>
      <c r="F735" s="157"/>
      <c r="G735" s="157"/>
      <c r="H735" s="157"/>
      <c r="I735" s="157"/>
      <c r="J735" s="157"/>
      <c r="K735" s="157"/>
      <c r="L735" s="153">
        <f t="shared" si="70"/>
        <v>0</v>
      </c>
      <c r="M735" s="154">
        <f t="shared" si="71"/>
        <v>0</v>
      </c>
      <c r="N735" s="155">
        <f>+IF(OR($Q735=Parametres!$G$2,$Q735=Parametres!$G$3),I735,C735)</f>
        <v>0</v>
      </c>
      <c r="O735" s="155">
        <f>+IF(OR($Q735=Parametres!$G$2,$Q735=Parametres!$G$3),J735,D735)</f>
        <v>0</v>
      </c>
      <c r="P735" s="155">
        <f>+IF(OR($Q735=Parametres!$G$2,$Q735=Parametres!$G$3),K735,E735)</f>
        <v>0</v>
      </c>
      <c r="Q735" s="154">
        <f t="shared" si="72"/>
        <v>0</v>
      </c>
      <c r="R735" s="153">
        <f t="shared" si="73"/>
        <v>0</v>
      </c>
      <c r="S735" s="154">
        <f t="shared" si="74"/>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hidden="1" customHeight="1">
      <c r="A736" s="157"/>
      <c r="B736" s="158"/>
      <c r="C736" s="159"/>
      <c r="D736" s="157"/>
      <c r="E736" s="157"/>
      <c r="F736" s="157"/>
      <c r="G736" s="157"/>
      <c r="H736" s="157"/>
      <c r="I736" s="157"/>
      <c r="J736" s="157"/>
      <c r="K736" s="157"/>
      <c r="L736" s="153">
        <f t="shared" si="70"/>
        <v>0</v>
      </c>
      <c r="M736" s="154">
        <f t="shared" si="71"/>
        <v>0</v>
      </c>
      <c r="N736" s="155">
        <f>+IF(OR($Q736=Parametres!$G$2,$Q736=Parametres!$G$3),I736,C736)</f>
        <v>0</v>
      </c>
      <c r="O736" s="155">
        <f>+IF(OR($Q736=Parametres!$G$2,$Q736=Parametres!$G$3),J736,D736)</f>
        <v>0</v>
      </c>
      <c r="P736" s="155">
        <f>+IF(OR($Q736=Parametres!$G$2,$Q736=Parametres!$G$3),K736,E736)</f>
        <v>0</v>
      </c>
      <c r="Q736" s="154">
        <f t="shared" si="72"/>
        <v>0</v>
      </c>
      <c r="R736" s="153">
        <f t="shared" si="73"/>
        <v>0</v>
      </c>
      <c r="S736" s="154">
        <f t="shared" si="74"/>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hidden="1" customHeight="1">
      <c r="A737" s="157"/>
      <c r="B737" s="158"/>
      <c r="C737" s="159"/>
      <c r="D737" s="157"/>
      <c r="E737" s="157"/>
      <c r="F737" s="157"/>
      <c r="G737" s="157"/>
      <c r="H737" s="157"/>
      <c r="I737" s="157"/>
      <c r="J737" s="157"/>
      <c r="K737" s="157"/>
      <c r="L737" s="153">
        <f t="shared" si="70"/>
        <v>0</v>
      </c>
      <c r="M737" s="154">
        <f t="shared" si="71"/>
        <v>0</v>
      </c>
      <c r="N737" s="155">
        <f>+IF(OR($Q737=Parametres!$G$2,$Q737=Parametres!$G$3),I737,C737)</f>
        <v>0</v>
      </c>
      <c r="O737" s="155">
        <f>+IF(OR($Q737=Parametres!$G$2,$Q737=Parametres!$G$3),J737,D737)</f>
        <v>0</v>
      </c>
      <c r="P737" s="155">
        <f>+IF(OR($Q737=Parametres!$G$2,$Q737=Parametres!$G$3),K737,E737)</f>
        <v>0</v>
      </c>
      <c r="Q737" s="154">
        <f t="shared" si="72"/>
        <v>0</v>
      </c>
      <c r="R737" s="153">
        <f t="shared" si="73"/>
        <v>0</v>
      </c>
      <c r="S737" s="154">
        <f t="shared" si="74"/>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hidden="1" customHeight="1">
      <c r="A738" s="157"/>
      <c r="B738" s="158"/>
      <c r="C738" s="159"/>
      <c r="D738" s="157"/>
      <c r="E738" s="157"/>
      <c r="F738" s="157"/>
      <c r="G738" s="157"/>
      <c r="H738" s="157"/>
      <c r="I738" s="157"/>
      <c r="J738" s="157"/>
      <c r="K738" s="157"/>
      <c r="L738" s="153">
        <f t="shared" si="70"/>
        <v>0</v>
      </c>
      <c r="M738" s="154">
        <f t="shared" si="71"/>
        <v>0</v>
      </c>
      <c r="N738" s="155">
        <f>+IF(OR($Q738=Parametres!$G$2,$Q738=Parametres!$G$3),I738,C738)</f>
        <v>0</v>
      </c>
      <c r="O738" s="155">
        <f>+IF(OR($Q738=Parametres!$G$2,$Q738=Parametres!$G$3),J738,D738)</f>
        <v>0</v>
      </c>
      <c r="P738" s="155">
        <f>+IF(OR($Q738=Parametres!$G$2,$Q738=Parametres!$G$3),K738,E738)</f>
        <v>0</v>
      </c>
      <c r="Q738" s="154">
        <f t="shared" si="72"/>
        <v>0</v>
      </c>
      <c r="R738" s="153">
        <f t="shared" si="73"/>
        <v>0</v>
      </c>
      <c r="S738" s="154">
        <f t="shared" si="74"/>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hidden="1" customHeight="1">
      <c r="A739" s="157"/>
      <c r="B739" s="158"/>
      <c r="C739" s="159"/>
      <c r="D739" s="157"/>
      <c r="E739" s="157"/>
      <c r="F739" s="157"/>
      <c r="G739" s="157"/>
      <c r="H739" s="157"/>
      <c r="I739" s="157"/>
      <c r="J739" s="157"/>
      <c r="K739" s="157"/>
      <c r="L739" s="153">
        <f t="shared" si="70"/>
        <v>0</v>
      </c>
      <c r="M739" s="154">
        <f t="shared" si="71"/>
        <v>0</v>
      </c>
      <c r="N739" s="155">
        <f>+IF(OR($Q739=Parametres!$G$2,$Q739=Parametres!$G$3),I739,C739)</f>
        <v>0</v>
      </c>
      <c r="O739" s="155">
        <f>+IF(OR($Q739=Parametres!$G$2,$Q739=Parametres!$G$3),J739,D739)</f>
        <v>0</v>
      </c>
      <c r="P739" s="155">
        <f>+IF(OR($Q739=Parametres!$G$2,$Q739=Parametres!$G$3),K739,E739)</f>
        <v>0</v>
      </c>
      <c r="Q739" s="154">
        <f t="shared" si="72"/>
        <v>0</v>
      </c>
      <c r="R739" s="153">
        <f t="shared" si="73"/>
        <v>0</v>
      </c>
      <c r="S739" s="154">
        <f t="shared" si="74"/>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hidden="1" customHeight="1">
      <c r="A740" s="157"/>
      <c r="B740" s="158"/>
      <c r="C740" s="159"/>
      <c r="D740" s="157"/>
      <c r="E740" s="157"/>
      <c r="F740" s="157"/>
      <c r="G740" s="157"/>
      <c r="H740" s="157"/>
      <c r="I740" s="157"/>
      <c r="J740" s="157"/>
      <c r="K740" s="157"/>
      <c r="L740" s="153">
        <f t="shared" si="70"/>
        <v>0</v>
      </c>
      <c r="M740" s="154">
        <f t="shared" si="71"/>
        <v>0</v>
      </c>
      <c r="N740" s="155">
        <f>+IF(OR($Q740=Parametres!$G$2,$Q740=Parametres!$G$3),I740,C740)</f>
        <v>0</v>
      </c>
      <c r="O740" s="155">
        <f>+IF(OR($Q740=Parametres!$G$2,$Q740=Parametres!$G$3),J740,D740)</f>
        <v>0</v>
      </c>
      <c r="P740" s="155">
        <f>+IF(OR($Q740=Parametres!$G$2,$Q740=Parametres!$G$3),K740,E740)</f>
        <v>0</v>
      </c>
      <c r="Q740" s="154">
        <f t="shared" si="72"/>
        <v>0</v>
      </c>
      <c r="R740" s="153">
        <f t="shared" si="73"/>
        <v>0</v>
      </c>
      <c r="S740" s="154">
        <f t="shared" si="74"/>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hidden="1" customHeight="1">
      <c r="A741" s="157"/>
      <c r="B741" s="158"/>
      <c r="C741" s="159"/>
      <c r="D741" s="157"/>
      <c r="E741" s="157"/>
      <c r="F741" s="157"/>
      <c r="G741" s="157"/>
      <c r="H741" s="157"/>
      <c r="I741" s="157"/>
      <c r="J741" s="157"/>
      <c r="K741" s="157"/>
      <c r="L741" s="153">
        <f t="shared" si="70"/>
        <v>0</v>
      </c>
      <c r="M741" s="154">
        <f t="shared" si="71"/>
        <v>0</v>
      </c>
      <c r="N741" s="155">
        <f>+IF(OR($Q741=Parametres!$G$2,$Q741=Parametres!$G$3),I741,C741)</f>
        <v>0</v>
      </c>
      <c r="O741" s="155">
        <f>+IF(OR($Q741=Parametres!$G$2,$Q741=Parametres!$G$3),J741,D741)</f>
        <v>0</v>
      </c>
      <c r="P741" s="155">
        <f>+IF(OR($Q741=Parametres!$G$2,$Q741=Parametres!$G$3),K741,E741)</f>
        <v>0</v>
      </c>
      <c r="Q741" s="154">
        <f t="shared" si="72"/>
        <v>0</v>
      </c>
      <c r="R741" s="153">
        <f t="shared" si="73"/>
        <v>0</v>
      </c>
      <c r="S741" s="154">
        <f t="shared" si="74"/>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hidden="1" customHeight="1">
      <c r="A742" s="157"/>
      <c r="B742" s="158"/>
      <c r="C742" s="159"/>
      <c r="D742" s="157"/>
      <c r="E742" s="157"/>
      <c r="F742" s="157"/>
      <c r="G742" s="157"/>
      <c r="H742" s="157"/>
      <c r="I742" s="157"/>
      <c r="J742" s="157"/>
      <c r="K742" s="157"/>
      <c r="L742" s="153">
        <f t="shared" si="70"/>
        <v>0</v>
      </c>
      <c r="M742" s="154">
        <f t="shared" si="71"/>
        <v>0</v>
      </c>
      <c r="N742" s="155">
        <f>+IF(OR($Q742=Parametres!$G$2,$Q742=Parametres!$G$3),I742,C742)</f>
        <v>0</v>
      </c>
      <c r="O742" s="155">
        <f>+IF(OR($Q742=Parametres!$G$2,$Q742=Parametres!$G$3),J742,D742)</f>
        <v>0</v>
      </c>
      <c r="P742" s="155">
        <f>+IF(OR($Q742=Parametres!$G$2,$Q742=Parametres!$G$3),K742,E742)</f>
        <v>0</v>
      </c>
      <c r="Q742" s="154">
        <f t="shared" si="72"/>
        <v>0</v>
      </c>
      <c r="R742" s="153">
        <f t="shared" si="73"/>
        <v>0</v>
      </c>
      <c r="S742" s="154">
        <f t="shared" si="74"/>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hidden="1" customHeight="1">
      <c r="A743" s="157"/>
      <c r="B743" s="158"/>
      <c r="C743" s="159"/>
      <c r="D743" s="157"/>
      <c r="E743" s="157"/>
      <c r="F743" s="157"/>
      <c r="G743" s="157"/>
      <c r="H743" s="157"/>
      <c r="I743" s="157"/>
      <c r="J743" s="157"/>
      <c r="K743" s="157"/>
      <c r="L743" s="153">
        <f t="shared" si="70"/>
        <v>0</v>
      </c>
      <c r="M743" s="154">
        <f t="shared" si="71"/>
        <v>0</v>
      </c>
      <c r="N743" s="155">
        <f>+IF(OR($Q743=Parametres!$G$2,$Q743=Parametres!$G$3),I743,C743)</f>
        <v>0</v>
      </c>
      <c r="O743" s="155">
        <f>+IF(OR($Q743=Parametres!$G$2,$Q743=Parametres!$G$3),J743,D743)</f>
        <v>0</v>
      </c>
      <c r="P743" s="155">
        <f>+IF(OR($Q743=Parametres!$G$2,$Q743=Parametres!$G$3),K743,E743)</f>
        <v>0</v>
      </c>
      <c r="Q743" s="154">
        <f t="shared" si="72"/>
        <v>0</v>
      </c>
      <c r="R743" s="153">
        <f t="shared" si="73"/>
        <v>0</v>
      </c>
      <c r="S743" s="154">
        <f t="shared" si="74"/>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hidden="1" customHeight="1">
      <c r="A744" s="157"/>
      <c r="B744" s="158"/>
      <c r="C744" s="159"/>
      <c r="D744" s="157"/>
      <c r="E744" s="157"/>
      <c r="F744" s="157"/>
      <c r="G744" s="157"/>
      <c r="H744" s="157"/>
      <c r="I744" s="157"/>
      <c r="J744" s="157"/>
      <c r="K744" s="157"/>
      <c r="L744" s="153">
        <f t="shared" si="70"/>
        <v>0</v>
      </c>
      <c r="M744" s="154">
        <f t="shared" si="71"/>
        <v>0</v>
      </c>
      <c r="N744" s="155">
        <f>+IF(OR($Q744=Parametres!$G$2,$Q744=Parametres!$G$3),I744,C744)</f>
        <v>0</v>
      </c>
      <c r="O744" s="155">
        <f>+IF(OR($Q744=Parametres!$G$2,$Q744=Parametres!$G$3),J744,D744)</f>
        <v>0</v>
      </c>
      <c r="P744" s="155">
        <f>+IF(OR($Q744=Parametres!$G$2,$Q744=Parametres!$G$3),K744,E744)</f>
        <v>0</v>
      </c>
      <c r="Q744" s="154">
        <f t="shared" si="72"/>
        <v>0</v>
      </c>
      <c r="R744" s="153">
        <f t="shared" si="73"/>
        <v>0</v>
      </c>
      <c r="S744" s="154">
        <f t="shared" si="74"/>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hidden="1" customHeight="1">
      <c r="A745" s="157"/>
      <c r="B745" s="158"/>
      <c r="C745" s="159"/>
      <c r="D745" s="157"/>
      <c r="E745" s="157"/>
      <c r="F745" s="157"/>
      <c r="G745" s="157"/>
      <c r="H745" s="157"/>
      <c r="I745" s="157"/>
      <c r="J745" s="157"/>
      <c r="K745" s="157"/>
      <c r="L745" s="153">
        <f t="shared" si="70"/>
        <v>0</v>
      </c>
      <c r="M745" s="154">
        <f t="shared" si="71"/>
        <v>0</v>
      </c>
      <c r="N745" s="155">
        <f>+IF(OR($Q745=Parametres!$G$2,$Q745=Parametres!$G$3),I745,C745)</f>
        <v>0</v>
      </c>
      <c r="O745" s="155">
        <f>+IF(OR($Q745=Parametres!$G$2,$Q745=Parametres!$G$3),J745,D745)</f>
        <v>0</v>
      </c>
      <c r="P745" s="155">
        <f>+IF(OR($Q745=Parametres!$G$2,$Q745=Parametres!$G$3),K745,E745)</f>
        <v>0</v>
      </c>
      <c r="Q745" s="154">
        <f t="shared" si="72"/>
        <v>0</v>
      </c>
      <c r="R745" s="153">
        <f t="shared" si="73"/>
        <v>0</v>
      </c>
      <c r="S745" s="154">
        <f t="shared" si="74"/>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hidden="1" customHeight="1">
      <c r="A746" s="157"/>
      <c r="B746" s="158"/>
      <c r="C746" s="159"/>
      <c r="D746" s="157"/>
      <c r="E746" s="157"/>
      <c r="F746" s="157"/>
      <c r="G746" s="157"/>
      <c r="H746" s="157"/>
      <c r="I746" s="157"/>
      <c r="J746" s="157"/>
      <c r="K746" s="157"/>
      <c r="L746" s="153">
        <f t="shared" si="70"/>
        <v>0</v>
      </c>
      <c r="M746" s="154">
        <f t="shared" si="71"/>
        <v>0</v>
      </c>
      <c r="N746" s="155">
        <f>+IF(OR($Q746=Parametres!$G$2,$Q746=Parametres!$G$3),I746,C746)</f>
        <v>0</v>
      </c>
      <c r="O746" s="155">
        <f>+IF(OR($Q746=Parametres!$G$2,$Q746=Parametres!$G$3),J746,D746)</f>
        <v>0</v>
      </c>
      <c r="P746" s="155">
        <f>+IF(OR($Q746=Parametres!$G$2,$Q746=Parametres!$G$3),K746,E746)</f>
        <v>0</v>
      </c>
      <c r="Q746" s="154">
        <f t="shared" si="72"/>
        <v>0</v>
      </c>
      <c r="R746" s="153">
        <f t="shared" si="73"/>
        <v>0</v>
      </c>
      <c r="S746" s="154">
        <f t="shared" si="74"/>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hidden="1" customHeight="1">
      <c r="A747" s="157"/>
      <c r="B747" s="158"/>
      <c r="C747" s="159"/>
      <c r="D747" s="157"/>
      <c r="E747" s="157"/>
      <c r="F747" s="157"/>
      <c r="G747" s="157"/>
      <c r="H747" s="157"/>
      <c r="I747" s="157"/>
      <c r="J747" s="157"/>
      <c r="K747" s="157"/>
      <c r="L747" s="153">
        <f t="shared" si="70"/>
        <v>0</v>
      </c>
      <c r="M747" s="154">
        <f t="shared" si="71"/>
        <v>0</v>
      </c>
      <c r="N747" s="155">
        <f>+IF(OR($Q747=Parametres!$G$2,$Q747=Parametres!$G$3),I747,C747)</f>
        <v>0</v>
      </c>
      <c r="O747" s="155">
        <f>+IF(OR($Q747=Parametres!$G$2,$Q747=Parametres!$G$3),J747,D747)</f>
        <v>0</v>
      </c>
      <c r="P747" s="155">
        <f>+IF(OR($Q747=Parametres!$G$2,$Q747=Parametres!$G$3),K747,E747)</f>
        <v>0</v>
      </c>
      <c r="Q747" s="154">
        <f t="shared" si="72"/>
        <v>0</v>
      </c>
      <c r="R747" s="153">
        <f t="shared" si="73"/>
        <v>0</v>
      </c>
      <c r="S747" s="154">
        <f t="shared" si="74"/>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hidden="1" customHeight="1">
      <c r="A748" s="157"/>
      <c r="B748" s="158"/>
      <c r="C748" s="159"/>
      <c r="D748" s="157"/>
      <c r="E748" s="157"/>
      <c r="F748" s="157"/>
      <c r="G748" s="157"/>
      <c r="H748" s="157"/>
      <c r="I748" s="157"/>
      <c r="J748" s="157"/>
      <c r="K748" s="157"/>
      <c r="L748" s="153">
        <f t="shared" si="70"/>
        <v>0</v>
      </c>
      <c r="M748" s="154">
        <f t="shared" si="71"/>
        <v>0</v>
      </c>
      <c r="N748" s="155">
        <f>+IF(OR($Q748=Parametres!$G$2,$Q748=Parametres!$G$3),I748,C748)</f>
        <v>0</v>
      </c>
      <c r="O748" s="155">
        <f>+IF(OR($Q748=Parametres!$G$2,$Q748=Parametres!$G$3),J748,D748)</f>
        <v>0</v>
      </c>
      <c r="P748" s="155">
        <f>+IF(OR($Q748=Parametres!$G$2,$Q748=Parametres!$G$3),K748,E748)</f>
        <v>0</v>
      </c>
      <c r="Q748" s="154">
        <f t="shared" si="72"/>
        <v>0</v>
      </c>
      <c r="R748" s="153">
        <f t="shared" si="73"/>
        <v>0</v>
      </c>
      <c r="S748" s="154">
        <f t="shared" si="74"/>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hidden="1" customHeight="1">
      <c r="A749" s="157"/>
      <c r="B749" s="158"/>
      <c r="C749" s="159"/>
      <c r="D749" s="157"/>
      <c r="E749" s="157"/>
      <c r="F749" s="157"/>
      <c r="G749" s="157"/>
      <c r="H749" s="157"/>
      <c r="I749" s="157"/>
      <c r="J749" s="157"/>
      <c r="K749" s="157"/>
      <c r="L749" s="153">
        <f t="shared" si="70"/>
        <v>0</v>
      </c>
      <c r="M749" s="154">
        <f t="shared" si="71"/>
        <v>0</v>
      </c>
      <c r="N749" s="155">
        <f>+IF(OR($Q749=Parametres!$G$2,$Q749=Parametres!$G$3),I749,C749)</f>
        <v>0</v>
      </c>
      <c r="O749" s="155">
        <f>+IF(OR($Q749=Parametres!$G$2,$Q749=Parametres!$G$3),J749,D749)</f>
        <v>0</v>
      </c>
      <c r="P749" s="155">
        <f>+IF(OR($Q749=Parametres!$G$2,$Q749=Parametres!$G$3),K749,E749)</f>
        <v>0</v>
      </c>
      <c r="Q749" s="154">
        <f t="shared" si="72"/>
        <v>0</v>
      </c>
      <c r="R749" s="153">
        <f t="shared" si="73"/>
        <v>0</v>
      </c>
      <c r="S749" s="154">
        <f t="shared" si="74"/>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hidden="1" customHeight="1">
      <c r="A750" s="157"/>
      <c r="B750" s="158"/>
      <c r="C750" s="159"/>
      <c r="D750" s="157"/>
      <c r="E750" s="157"/>
      <c r="F750" s="157"/>
      <c r="G750" s="157"/>
      <c r="H750" s="157"/>
      <c r="I750" s="157"/>
      <c r="J750" s="157"/>
      <c r="K750" s="157"/>
      <c r="L750" s="153">
        <f t="shared" si="70"/>
        <v>0</v>
      </c>
      <c r="M750" s="154">
        <f t="shared" si="71"/>
        <v>0</v>
      </c>
      <c r="N750" s="155">
        <f>+IF(OR($Q750=Parametres!$G$2,$Q750=Parametres!$G$3),I750,C750)</f>
        <v>0</v>
      </c>
      <c r="O750" s="155">
        <f>+IF(OR($Q750=Parametres!$G$2,$Q750=Parametres!$G$3),J750,D750)</f>
        <v>0</v>
      </c>
      <c r="P750" s="155">
        <f>+IF(OR($Q750=Parametres!$G$2,$Q750=Parametres!$G$3),K750,E750)</f>
        <v>0</v>
      </c>
      <c r="Q750" s="154">
        <f t="shared" si="72"/>
        <v>0</v>
      </c>
      <c r="R750" s="153">
        <f t="shared" si="73"/>
        <v>0</v>
      </c>
      <c r="S750" s="154">
        <f t="shared" si="74"/>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hidden="1" customHeight="1">
      <c r="A751" s="157"/>
      <c r="B751" s="158"/>
      <c r="C751" s="159"/>
      <c r="D751" s="157"/>
      <c r="E751" s="157"/>
      <c r="F751" s="157"/>
      <c r="G751" s="157"/>
      <c r="H751" s="157"/>
      <c r="I751" s="157"/>
      <c r="J751" s="157"/>
      <c r="K751" s="157"/>
      <c r="L751" s="153">
        <f t="shared" si="70"/>
        <v>0</v>
      </c>
      <c r="M751" s="154">
        <f t="shared" si="71"/>
        <v>0</v>
      </c>
      <c r="N751" s="155">
        <f>+IF(OR($Q751=Parametres!$G$2,$Q751=Parametres!$G$3),I751,C751)</f>
        <v>0</v>
      </c>
      <c r="O751" s="155">
        <f>+IF(OR($Q751=Parametres!$G$2,$Q751=Parametres!$G$3),J751,D751)</f>
        <v>0</v>
      </c>
      <c r="P751" s="155">
        <f>+IF(OR($Q751=Parametres!$G$2,$Q751=Parametres!$G$3),K751,E751)</f>
        <v>0</v>
      </c>
      <c r="Q751" s="154">
        <f t="shared" si="72"/>
        <v>0</v>
      </c>
      <c r="R751" s="153">
        <f t="shared" si="73"/>
        <v>0</v>
      </c>
      <c r="S751" s="154">
        <f t="shared" si="74"/>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hidden="1" customHeight="1">
      <c r="A752" s="157"/>
      <c r="B752" s="158"/>
      <c r="C752" s="159"/>
      <c r="D752" s="157"/>
      <c r="E752" s="157"/>
      <c r="F752" s="157"/>
      <c r="G752" s="157"/>
      <c r="H752" s="157"/>
      <c r="I752" s="157"/>
      <c r="J752" s="157"/>
      <c r="K752" s="157"/>
      <c r="L752" s="153">
        <f t="shared" si="70"/>
        <v>0</v>
      </c>
      <c r="M752" s="154">
        <f t="shared" si="71"/>
        <v>0</v>
      </c>
      <c r="N752" s="155">
        <f>+IF(OR($Q752=Parametres!$G$2,$Q752=Parametres!$G$3),I752,C752)</f>
        <v>0</v>
      </c>
      <c r="O752" s="155">
        <f>+IF(OR($Q752=Parametres!$G$2,$Q752=Parametres!$G$3),J752,D752)</f>
        <v>0</v>
      </c>
      <c r="P752" s="155">
        <f>+IF(OR($Q752=Parametres!$G$2,$Q752=Parametres!$G$3),K752,E752)</f>
        <v>0</v>
      </c>
      <c r="Q752" s="154">
        <f t="shared" si="72"/>
        <v>0</v>
      </c>
      <c r="R752" s="153">
        <f t="shared" si="73"/>
        <v>0</v>
      </c>
      <c r="S752" s="154">
        <f t="shared" si="74"/>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hidden="1" customHeight="1">
      <c r="A753" s="157"/>
      <c r="B753" s="158"/>
      <c r="C753" s="159"/>
      <c r="D753" s="157"/>
      <c r="E753" s="157"/>
      <c r="F753" s="157"/>
      <c r="G753" s="157"/>
      <c r="H753" s="157"/>
      <c r="I753" s="157"/>
      <c r="J753" s="157"/>
      <c r="K753" s="157"/>
      <c r="L753" s="153">
        <f t="shared" si="70"/>
        <v>0</v>
      </c>
      <c r="M753" s="154">
        <f t="shared" si="71"/>
        <v>0</v>
      </c>
      <c r="N753" s="155">
        <f>+IF(OR($Q753=Parametres!$G$2,$Q753=Parametres!$G$3),I753,C753)</f>
        <v>0</v>
      </c>
      <c r="O753" s="155">
        <f>+IF(OR($Q753=Parametres!$G$2,$Q753=Parametres!$G$3),J753,D753)</f>
        <v>0</v>
      </c>
      <c r="P753" s="155">
        <f>+IF(OR($Q753=Parametres!$G$2,$Q753=Parametres!$G$3),K753,E753)</f>
        <v>0</v>
      </c>
      <c r="Q753" s="154">
        <f t="shared" si="72"/>
        <v>0</v>
      </c>
      <c r="R753" s="153">
        <f t="shared" si="73"/>
        <v>0</v>
      </c>
      <c r="S753" s="154">
        <f t="shared" si="74"/>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hidden="1" customHeight="1">
      <c r="A754" s="157"/>
      <c r="B754" s="158"/>
      <c r="C754" s="159"/>
      <c r="D754" s="157"/>
      <c r="E754" s="157"/>
      <c r="F754" s="157"/>
      <c r="G754" s="157"/>
      <c r="H754" s="157"/>
      <c r="I754" s="157"/>
      <c r="J754" s="157"/>
      <c r="K754" s="157"/>
      <c r="L754" s="153">
        <f t="shared" si="70"/>
        <v>0</v>
      </c>
      <c r="M754" s="154">
        <f t="shared" si="71"/>
        <v>0</v>
      </c>
      <c r="N754" s="155">
        <f>+IF(OR($Q754=Parametres!$G$2,$Q754=Parametres!$G$3),I754,C754)</f>
        <v>0</v>
      </c>
      <c r="O754" s="155">
        <f>+IF(OR($Q754=Parametres!$G$2,$Q754=Parametres!$G$3),J754,D754)</f>
        <v>0</v>
      </c>
      <c r="P754" s="155">
        <f>+IF(OR($Q754=Parametres!$G$2,$Q754=Parametres!$G$3),K754,E754)</f>
        <v>0</v>
      </c>
      <c r="Q754" s="154">
        <f t="shared" si="72"/>
        <v>0</v>
      </c>
      <c r="R754" s="153">
        <f t="shared" si="73"/>
        <v>0</v>
      </c>
      <c r="S754" s="154">
        <f t="shared" si="74"/>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hidden="1" customHeight="1">
      <c r="A755" s="157"/>
      <c r="B755" s="158"/>
      <c r="C755" s="159"/>
      <c r="D755" s="157"/>
      <c r="E755" s="157"/>
      <c r="F755" s="157"/>
      <c r="G755" s="157"/>
      <c r="H755" s="157"/>
      <c r="I755" s="157"/>
      <c r="J755" s="157"/>
      <c r="K755" s="157"/>
      <c r="L755" s="153">
        <f t="shared" si="70"/>
        <v>0</v>
      </c>
      <c r="M755" s="154">
        <f t="shared" si="71"/>
        <v>0</v>
      </c>
      <c r="N755" s="155">
        <f>+IF(OR($Q755=Parametres!$G$2,$Q755=Parametres!$G$3),I755,C755)</f>
        <v>0</v>
      </c>
      <c r="O755" s="155">
        <f>+IF(OR($Q755=Parametres!$G$2,$Q755=Parametres!$G$3),J755,D755)</f>
        <v>0</v>
      </c>
      <c r="P755" s="155">
        <f>+IF(OR($Q755=Parametres!$G$2,$Q755=Parametres!$G$3),K755,E755)</f>
        <v>0</v>
      </c>
      <c r="Q755" s="154">
        <f t="shared" si="72"/>
        <v>0</v>
      </c>
      <c r="R755" s="153">
        <f t="shared" si="73"/>
        <v>0</v>
      </c>
      <c r="S755" s="154">
        <f t="shared" si="74"/>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hidden="1" customHeight="1">
      <c r="A756" s="157"/>
      <c r="B756" s="158"/>
      <c r="C756" s="159"/>
      <c r="D756" s="157"/>
      <c r="E756" s="157"/>
      <c r="F756" s="157"/>
      <c r="G756" s="157"/>
      <c r="H756" s="157"/>
      <c r="I756" s="157"/>
      <c r="J756" s="157"/>
      <c r="K756" s="157"/>
      <c r="L756" s="153">
        <f t="shared" si="70"/>
        <v>0</v>
      </c>
      <c r="M756" s="154">
        <f t="shared" si="71"/>
        <v>0</v>
      </c>
      <c r="N756" s="155">
        <f>+IF(OR($Q756=Parametres!$G$2,$Q756=Parametres!$G$3),I756,C756)</f>
        <v>0</v>
      </c>
      <c r="O756" s="155">
        <f>+IF(OR($Q756=Parametres!$G$2,$Q756=Parametres!$G$3),J756,D756)</f>
        <v>0</v>
      </c>
      <c r="P756" s="155">
        <f>+IF(OR($Q756=Parametres!$G$2,$Q756=Parametres!$G$3),K756,E756)</f>
        <v>0</v>
      </c>
      <c r="Q756" s="154">
        <f t="shared" si="72"/>
        <v>0</v>
      </c>
      <c r="R756" s="153">
        <f t="shared" si="73"/>
        <v>0</v>
      </c>
      <c r="S756" s="154">
        <f t="shared" si="74"/>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hidden="1" customHeight="1">
      <c r="A757" s="157"/>
      <c r="B757" s="158"/>
      <c r="C757" s="159"/>
      <c r="D757" s="157"/>
      <c r="E757" s="157"/>
      <c r="F757" s="157"/>
      <c r="G757" s="157"/>
      <c r="H757" s="157"/>
      <c r="I757" s="157"/>
      <c r="J757" s="157"/>
      <c r="K757" s="157"/>
      <c r="L757" s="153">
        <f t="shared" si="70"/>
        <v>0</v>
      </c>
      <c r="M757" s="154">
        <f t="shared" si="71"/>
        <v>0</v>
      </c>
      <c r="N757" s="155">
        <f>+IF(OR($Q757=Parametres!$G$2,$Q757=Parametres!$G$3),I757,C757)</f>
        <v>0</v>
      </c>
      <c r="O757" s="155">
        <f>+IF(OR($Q757=Parametres!$G$2,$Q757=Parametres!$G$3),J757,D757)</f>
        <v>0</v>
      </c>
      <c r="P757" s="155">
        <f>+IF(OR($Q757=Parametres!$G$2,$Q757=Parametres!$G$3),K757,E757)</f>
        <v>0</v>
      </c>
      <c r="Q757" s="154">
        <f t="shared" si="72"/>
        <v>0</v>
      </c>
      <c r="R757" s="153">
        <f t="shared" si="73"/>
        <v>0</v>
      </c>
      <c r="S757" s="154">
        <f t="shared" si="74"/>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hidden="1" customHeight="1">
      <c r="A758" s="157"/>
      <c r="B758" s="158"/>
      <c r="C758" s="159"/>
      <c r="D758" s="157"/>
      <c r="E758" s="157"/>
      <c r="F758" s="157"/>
      <c r="G758" s="157"/>
      <c r="H758" s="157"/>
      <c r="I758" s="157"/>
      <c r="J758" s="157"/>
      <c r="K758" s="157"/>
      <c r="L758" s="153">
        <f t="shared" si="70"/>
        <v>0</v>
      </c>
      <c r="M758" s="154">
        <f t="shared" si="71"/>
        <v>0</v>
      </c>
      <c r="N758" s="155">
        <f>+IF(OR($Q758=Parametres!$G$2,$Q758=Parametres!$G$3),I758,C758)</f>
        <v>0</v>
      </c>
      <c r="O758" s="155">
        <f>+IF(OR($Q758=Parametres!$G$2,$Q758=Parametres!$G$3),J758,D758)</f>
        <v>0</v>
      </c>
      <c r="P758" s="155">
        <f>+IF(OR($Q758=Parametres!$G$2,$Q758=Parametres!$G$3),K758,E758)</f>
        <v>0</v>
      </c>
      <c r="Q758" s="154">
        <f t="shared" si="72"/>
        <v>0</v>
      </c>
      <c r="R758" s="153">
        <f t="shared" si="73"/>
        <v>0</v>
      </c>
      <c r="S758" s="154">
        <f t="shared" si="74"/>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hidden="1" customHeight="1">
      <c r="A759" s="157"/>
      <c r="B759" s="158"/>
      <c r="C759" s="159"/>
      <c r="D759" s="157"/>
      <c r="E759" s="157"/>
      <c r="F759" s="157"/>
      <c r="G759" s="157"/>
      <c r="H759" s="157"/>
      <c r="I759" s="157"/>
      <c r="J759" s="157"/>
      <c r="K759" s="157"/>
      <c r="L759" s="153">
        <f t="shared" si="70"/>
        <v>0</v>
      </c>
      <c r="M759" s="154">
        <f t="shared" si="71"/>
        <v>0</v>
      </c>
      <c r="N759" s="155">
        <f>+IF(OR($Q759=Parametres!$G$2,$Q759=Parametres!$G$3),I759,C759)</f>
        <v>0</v>
      </c>
      <c r="O759" s="155">
        <f>+IF(OR($Q759=Parametres!$G$2,$Q759=Parametres!$G$3),J759,D759)</f>
        <v>0</v>
      </c>
      <c r="P759" s="155">
        <f>+IF(OR($Q759=Parametres!$G$2,$Q759=Parametres!$G$3),K759,E759)</f>
        <v>0</v>
      </c>
      <c r="Q759" s="154">
        <f t="shared" si="72"/>
        <v>0</v>
      </c>
      <c r="R759" s="153">
        <f t="shared" si="73"/>
        <v>0</v>
      </c>
      <c r="S759" s="154">
        <f t="shared" si="74"/>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hidden="1" customHeight="1">
      <c r="A760" s="157"/>
      <c r="B760" s="158"/>
      <c r="C760" s="159"/>
      <c r="D760" s="157"/>
      <c r="E760" s="157"/>
      <c r="F760" s="157"/>
      <c r="G760" s="157"/>
      <c r="H760" s="157"/>
      <c r="I760" s="157"/>
      <c r="J760" s="157"/>
      <c r="K760" s="157"/>
      <c r="L760" s="153">
        <f t="shared" si="70"/>
        <v>0</v>
      </c>
      <c r="M760" s="154">
        <f t="shared" si="71"/>
        <v>0</v>
      </c>
      <c r="N760" s="155">
        <f>+IF(OR($Q760=Parametres!$G$2,$Q760=Parametres!$G$3),I760,C760)</f>
        <v>0</v>
      </c>
      <c r="O760" s="155">
        <f>+IF(OR($Q760=Parametres!$G$2,$Q760=Parametres!$G$3),J760,D760)</f>
        <v>0</v>
      </c>
      <c r="P760" s="155">
        <f>+IF(OR($Q760=Parametres!$G$2,$Q760=Parametres!$G$3),K760,E760)</f>
        <v>0</v>
      </c>
      <c r="Q760" s="154">
        <f t="shared" si="72"/>
        <v>0</v>
      </c>
      <c r="R760" s="153">
        <f t="shared" si="73"/>
        <v>0</v>
      </c>
      <c r="S760" s="154">
        <f t="shared" si="74"/>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hidden="1" customHeight="1">
      <c r="A761" s="157"/>
      <c r="B761" s="158"/>
      <c r="C761" s="159"/>
      <c r="D761" s="157"/>
      <c r="E761" s="157"/>
      <c r="F761" s="157"/>
      <c r="G761" s="157"/>
      <c r="H761" s="157"/>
      <c r="I761" s="157"/>
      <c r="J761" s="157"/>
      <c r="K761" s="157"/>
      <c r="L761" s="153">
        <f t="shared" si="70"/>
        <v>0</v>
      </c>
      <c r="M761" s="154">
        <f t="shared" si="71"/>
        <v>0</v>
      </c>
      <c r="N761" s="155">
        <f>+IF(OR($Q761=Parametres!$G$2,$Q761=Parametres!$G$3),I761,C761)</f>
        <v>0</v>
      </c>
      <c r="O761" s="155">
        <f>+IF(OR($Q761=Parametres!$G$2,$Q761=Parametres!$G$3),J761,D761)</f>
        <v>0</v>
      </c>
      <c r="P761" s="155">
        <f>+IF(OR($Q761=Parametres!$G$2,$Q761=Parametres!$G$3),K761,E761)</f>
        <v>0</v>
      </c>
      <c r="Q761" s="154">
        <f t="shared" si="72"/>
        <v>0</v>
      </c>
      <c r="R761" s="153">
        <f t="shared" si="73"/>
        <v>0</v>
      </c>
      <c r="S761" s="154">
        <f t="shared" si="74"/>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hidden="1" customHeight="1">
      <c r="A762" s="157"/>
      <c r="B762" s="158"/>
      <c r="C762" s="159"/>
      <c r="D762" s="157"/>
      <c r="E762" s="157"/>
      <c r="F762" s="157"/>
      <c r="G762" s="157"/>
      <c r="H762" s="157"/>
      <c r="I762" s="157"/>
      <c r="J762" s="157"/>
      <c r="K762" s="157"/>
      <c r="L762" s="153">
        <f t="shared" si="70"/>
        <v>0</v>
      </c>
      <c r="M762" s="154">
        <f t="shared" si="71"/>
        <v>0</v>
      </c>
      <c r="N762" s="155">
        <f>+IF(OR($Q762=Parametres!$G$2,$Q762=Parametres!$G$3),I762,C762)</f>
        <v>0</v>
      </c>
      <c r="O762" s="155">
        <f>+IF(OR($Q762=Parametres!$G$2,$Q762=Parametres!$G$3),J762,D762)</f>
        <v>0</v>
      </c>
      <c r="P762" s="155">
        <f>+IF(OR($Q762=Parametres!$G$2,$Q762=Parametres!$G$3),K762,E762)</f>
        <v>0</v>
      </c>
      <c r="Q762" s="154">
        <f t="shared" si="72"/>
        <v>0</v>
      </c>
      <c r="R762" s="153">
        <f t="shared" si="73"/>
        <v>0</v>
      </c>
      <c r="S762" s="154">
        <f t="shared" si="74"/>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hidden="1" customHeight="1">
      <c r="A763" s="157"/>
      <c r="B763" s="158"/>
      <c r="C763" s="159"/>
      <c r="D763" s="157"/>
      <c r="E763" s="157"/>
      <c r="F763" s="157"/>
      <c r="G763" s="157"/>
      <c r="H763" s="157"/>
      <c r="I763" s="157"/>
      <c r="J763" s="157"/>
      <c r="K763" s="157"/>
      <c r="L763" s="153">
        <f t="shared" si="70"/>
        <v>0</v>
      </c>
      <c r="M763" s="154">
        <f t="shared" si="71"/>
        <v>0</v>
      </c>
      <c r="N763" s="155">
        <f>+IF(OR($Q763=Parametres!$G$2,$Q763=Parametres!$G$3),I763,C763)</f>
        <v>0</v>
      </c>
      <c r="O763" s="155">
        <f>+IF(OR($Q763=Parametres!$G$2,$Q763=Parametres!$G$3),J763,D763)</f>
        <v>0</v>
      </c>
      <c r="P763" s="155">
        <f>+IF(OR($Q763=Parametres!$G$2,$Q763=Parametres!$G$3),K763,E763)</f>
        <v>0</v>
      </c>
      <c r="Q763" s="154">
        <f t="shared" si="72"/>
        <v>0</v>
      </c>
      <c r="R763" s="153">
        <f t="shared" si="73"/>
        <v>0</v>
      </c>
      <c r="S763" s="154">
        <f t="shared" si="74"/>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hidden="1" customHeight="1">
      <c r="A764" s="157"/>
      <c r="B764" s="158"/>
      <c r="C764" s="159"/>
      <c r="D764" s="157"/>
      <c r="E764" s="157"/>
      <c r="F764" s="157"/>
      <c r="G764" s="157"/>
      <c r="H764" s="157"/>
      <c r="I764" s="157"/>
      <c r="J764" s="157"/>
      <c r="K764" s="157"/>
      <c r="L764" s="153">
        <f t="shared" si="70"/>
        <v>0</v>
      </c>
      <c r="M764" s="154">
        <f t="shared" si="71"/>
        <v>0</v>
      </c>
      <c r="N764" s="155">
        <f>+IF(OR($Q764=Parametres!$G$2,$Q764=Parametres!$G$3),I764,C764)</f>
        <v>0</v>
      </c>
      <c r="O764" s="155">
        <f>+IF(OR($Q764=Parametres!$G$2,$Q764=Parametres!$G$3),J764,D764)</f>
        <v>0</v>
      </c>
      <c r="P764" s="155">
        <f>+IF(OR($Q764=Parametres!$G$2,$Q764=Parametres!$G$3),K764,E764)</f>
        <v>0</v>
      </c>
      <c r="Q764" s="154">
        <f t="shared" si="72"/>
        <v>0</v>
      </c>
      <c r="R764" s="153">
        <f t="shared" si="73"/>
        <v>0</v>
      </c>
      <c r="S764" s="154">
        <f t="shared" si="74"/>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hidden="1" customHeight="1">
      <c r="A765" s="157"/>
      <c r="B765" s="158"/>
      <c r="C765" s="159"/>
      <c r="D765" s="157"/>
      <c r="E765" s="157"/>
      <c r="F765" s="157"/>
      <c r="G765" s="157"/>
      <c r="H765" s="157"/>
      <c r="I765" s="157"/>
      <c r="J765" s="157"/>
      <c r="K765" s="157"/>
      <c r="L765" s="153">
        <f t="shared" si="70"/>
        <v>0</v>
      </c>
      <c r="M765" s="154">
        <f t="shared" si="71"/>
        <v>0</v>
      </c>
      <c r="N765" s="155">
        <f>+IF(OR($Q765=Parametres!$G$2,$Q765=Parametres!$G$3),I765,C765)</f>
        <v>0</v>
      </c>
      <c r="O765" s="155">
        <f>+IF(OR($Q765=Parametres!$G$2,$Q765=Parametres!$G$3),J765,D765)</f>
        <v>0</v>
      </c>
      <c r="P765" s="155">
        <f>+IF(OR($Q765=Parametres!$G$2,$Q765=Parametres!$G$3),K765,E765)</f>
        <v>0</v>
      </c>
      <c r="Q765" s="154">
        <f t="shared" si="72"/>
        <v>0</v>
      </c>
      <c r="R765" s="153">
        <f t="shared" si="73"/>
        <v>0</v>
      </c>
      <c r="S765" s="154">
        <f t="shared" si="74"/>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hidden="1" customHeight="1">
      <c r="A766" s="157"/>
      <c r="B766" s="158"/>
      <c r="C766" s="159"/>
      <c r="D766" s="157"/>
      <c r="E766" s="157"/>
      <c r="F766" s="157"/>
      <c r="G766" s="157"/>
      <c r="H766" s="157"/>
      <c r="I766" s="157"/>
      <c r="J766" s="157"/>
      <c r="K766" s="157"/>
      <c r="L766" s="153">
        <f t="shared" si="70"/>
        <v>0</v>
      </c>
      <c r="M766" s="154">
        <f t="shared" si="71"/>
        <v>0</v>
      </c>
      <c r="N766" s="155">
        <f>+IF(OR($Q766=Parametres!$G$2,$Q766=Parametres!$G$3),I766,C766)</f>
        <v>0</v>
      </c>
      <c r="O766" s="155">
        <f>+IF(OR($Q766=Parametres!$G$2,$Q766=Parametres!$G$3),J766,D766)</f>
        <v>0</v>
      </c>
      <c r="P766" s="155">
        <f>+IF(OR($Q766=Parametres!$G$2,$Q766=Parametres!$G$3),K766,E766)</f>
        <v>0</v>
      </c>
      <c r="Q766" s="154">
        <f t="shared" si="72"/>
        <v>0</v>
      </c>
      <c r="R766" s="153">
        <f t="shared" si="73"/>
        <v>0</v>
      </c>
      <c r="S766" s="154">
        <f t="shared" si="74"/>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hidden="1" customHeight="1">
      <c r="A767" s="157"/>
      <c r="B767" s="158"/>
      <c r="C767" s="159"/>
      <c r="D767" s="157"/>
      <c r="E767" s="157"/>
      <c r="F767" s="157"/>
      <c r="G767" s="157"/>
      <c r="H767" s="157"/>
      <c r="I767" s="157"/>
      <c r="J767" s="157"/>
      <c r="K767" s="157"/>
      <c r="L767" s="153">
        <f t="shared" si="70"/>
        <v>0</v>
      </c>
      <c r="M767" s="154">
        <f t="shared" si="71"/>
        <v>0</v>
      </c>
      <c r="N767" s="155">
        <f>+IF(OR($Q767=Parametres!$G$2,$Q767=Parametres!$G$3),I767,C767)</f>
        <v>0</v>
      </c>
      <c r="O767" s="155">
        <f>+IF(OR($Q767=Parametres!$G$2,$Q767=Parametres!$G$3),J767,D767)</f>
        <v>0</v>
      </c>
      <c r="P767" s="155">
        <f>+IF(OR($Q767=Parametres!$G$2,$Q767=Parametres!$G$3),K767,E767)</f>
        <v>0</v>
      </c>
      <c r="Q767" s="154">
        <f t="shared" si="72"/>
        <v>0</v>
      </c>
      <c r="R767" s="153">
        <f t="shared" si="73"/>
        <v>0</v>
      </c>
      <c r="S767" s="154">
        <f t="shared" si="74"/>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hidden="1" customHeight="1">
      <c r="A768" s="157"/>
      <c r="B768" s="158"/>
      <c r="C768" s="159"/>
      <c r="D768" s="157"/>
      <c r="E768" s="157"/>
      <c r="F768" s="157"/>
      <c r="G768" s="157"/>
      <c r="H768" s="157"/>
      <c r="I768" s="157"/>
      <c r="J768" s="157"/>
      <c r="K768" s="157"/>
      <c r="L768" s="153">
        <f t="shared" si="70"/>
        <v>0</v>
      </c>
      <c r="M768" s="154">
        <f t="shared" si="71"/>
        <v>0</v>
      </c>
      <c r="N768" s="155">
        <f>+IF(OR($Q768=Parametres!$G$2,$Q768=Parametres!$G$3),I768,C768)</f>
        <v>0</v>
      </c>
      <c r="O768" s="155">
        <f>+IF(OR($Q768=Parametres!$G$2,$Q768=Parametres!$G$3),J768,D768)</f>
        <v>0</v>
      </c>
      <c r="P768" s="155">
        <f>+IF(OR($Q768=Parametres!$G$2,$Q768=Parametres!$G$3),K768,E768)</f>
        <v>0</v>
      </c>
      <c r="Q768" s="154">
        <f t="shared" si="72"/>
        <v>0</v>
      </c>
      <c r="R768" s="153">
        <f t="shared" si="73"/>
        <v>0</v>
      </c>
      <c r="S768" s="154">
        <f t="shared" si="74"/>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hidden="1" customHeight="1">
      <c r="A769" s="157"/>
      <c r="B769" s="158"/>
      <c r="C769" s="159"/>
      <c r="D769" s="157"/>
      <c r="E769" s="157"/>
      <c r="F769" s="157"/>
      <c r="G769" s="157"/>
      <c r="H769" s="157"/>
      <c r="I769" s="157"/>
      <c r="J769" s="157"/>
      <c r="K769" s="157"/>
      <c r="L769" s="153">
        <f t="shared" si="70"/>
        <v>0</v>
      </c>
      <c r="M769" s="154">
        <f t="shared" si="71"/>
        <v>0</v>
      </c>
      <c r="N769" s="155">
        <f>+IF(OR($Q769=Parametres!$G$2,$Q769=Parametres!$G$3),I769,C769)</f>
        <v>0</v>
      </c>
      <c r="O769" s="155">
        <f>+IF(OR($Q769=Parametres!$G$2,$Q769=Parametres!$G$3),J769,D769)</f>
        <v>0</v>
      </c>
      <c r="P769" s="155">
        <f>+IF(OR($Q769=Parametres!$G$2,$Q769=Parametres!$G$3),K769,E769)</f>
        <v>0</v>
      </c>
      <c r="Q769" s="154">
        <f t="shared" si="72"/>
        <v>0</v>
      </c>
      <c r="R769" s="153">
        <f t="shared" si="73"/>
        <v>0</v>
      </c>
      <c r="S769" s="154">
        <f t="shared" si="74"/>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hidden="1" customHeight="1">
      <c r="A770" s="157"/>
      <c r="B770" s="158"/>
      <c r="C770" s="159"/>
      <c r="D770" s="157"/>
      <c r="E770" s="157"/>
      <c r="F770" s="157"/>
      <c r="G770" s="157"/>
      <c r="H770" s="157"/>
      <c r="I770" s="157"/>
      <c r="J770" s="157"/>
      <c r="K770" s="157"/>
      <c r="L770" s="153">
        <f t="shared" ref="L770:L833" si="75">+B770</f>
        <v>0</v>
      </c>
      <c r="M770" s="154">
        <f t="shared" ref="M770:M833" si="76">+A770</f>
        <v>0</v>
      </c>
      <c r="N770" s="155">
        <f>+IF(OR($Q770=Parametres!$G$2,$Q770=Parametres!$G$3),I770,C770)</f>
        <v>0</v>
      </c>
      <c r="O770" s="155">
        <f>+IF(OR($Q770=Parametres!$G$2,$Q770=Parametres!$G$3),J770,D770)</f>
        <v>0</v>
      </c>
      <c r="P770" s="155">
        <f>+IF(OR($Q770=Parametres!$G$2,$Q770=Parametres!$G$3),K770,E770)</f>
        <v>0</v>
      </c>
      <c r="Q770" s="154">
        <f t="shared" ref="Q770:Q833" si="77">+F770</f>
        <v>0</v>
      </c>
      <c r="R770" s="153">
        <f t="shared" ref="R770:R833" si="78">+G770</f>
        <v>0</v>
      </c>
      <c r="S770" s="154">
        <f t="shared" ref="S770:S833" si="79">+H770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hidden="1" customHeight="1">
      <c r="A771" s="157"/>
      <c r="B771" s="158"/>
      <c r="C771" s="159"/>
      <c r="D771" s="157"/>
      <c r="E771" s="157"/>
      <c r="F771" s="157"/>
      <c r="G771" s="157"/>
      <c r="H771" s="157"/>
      <c r="I771" s="157"/>
      <c r="J771" s="157"/>
      <c r="K771" s="157"/>
      <c r="L771" s="153">
        <f t="shared" si="75"/>
        <v>0</v>
      </c>
      <c r="M771" s="154">
        <f t="shared" si="76"/>
        <v>0</v>
      </c>
      <c r="N771" s="155">
        <f>+IF(OR($Q771=Parametres!$G$2,$Q771=Parametres!$G$3),I771,C771)</f>
        <v>0</v>
      </c>
      <c r="O771" s="155">
        <f>+IF(OR($Q771=Parametres!$G$2,$Q771=Parametres!$G$3),J771,D771)</f>
        <v>0</v>
      </c>
      <c r="P771" s="155">
        <f>+IF(OR($Q771=Parametres!$G$2,$Q771=Parametres!$G$3),K771,E771)</f>
        <v>0</v>
      </c>
      <c r="Q771" s="154">
        <f t="shared" si="77"/>
        <v>0</v>
      </c>
      <c r="R771" s="153">
        <f t="shared" si="78"/>
        <v>0</v>
      </c>
      <c r="S771" s="154">
        <f t="shared" si="79"/>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hidden="1" customHeight="1">
      <c r="A772" s="157"/>
      <c r="B772" s="158"/>
      <c r="C772" s="159"/>
      <c r="D772" s="157"/>
      <c r="E772" s="157"/>
      <c r="F772" s="157"/>
      <c r="G772" s="157"/>
      <c r="H772" s="157"/>
      <c r="I772" s="157"/>
      <c r="J772" s="157"/>
      <c r="K772" s="157"/>
      <c r="L772" s="153">
        <f t="shared" si="75"/>
        <v>0</v>
      </c>
      <c r="M772" s="154">
        <f t="shared" si="76"/>
        <v>0</v>
      </c>
      <c r="N772" s="155">
        <f>+IF(OR($Q772=Parametres!$G$2,$Q772=Parametres!$G$3),I772,C772)</f>
        <v>0</v>
      </c>
      <c r="O772" s="155">
        <f>+IF(OR($Q772=Parametres!$G$2,$Q772=Parametres!$G$3),J772,D772)</f>
        <v>0</v>
      </c>
      <c r="P772" s="155">
        <f>+IF(OR($Q772=Parametres!$G$2,$Q772=Parametres!$G$3),K772,E772)</f>
        <v>0</v>
      </c>
      <c r="Q772" s="154">
        <f t="shared" si="77"/>
        <v>0</v>
      </c>
      <c r="R772" s="153">
        <f t="shared" si="78"/>
        <v>0</v>
      </c>
      <c r="S772" s="154">
        <f t="shared" si="79"/>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hidden="1" customHeight="1">
      <c r="A773" s="157"/>
      <c r="B773" s="158"/>
      <c r="C773" s="159"/>
      <c r="D773" s="157"/>
      <c r="E773" s="157"/>
      <c r="F773" s="157"/>
      <c r="G773" s="157"/>
      <c r="H773" s="157"/>
      <c r="I773" s="157"/>
      <c r="J773" s="157"/>
      <c r="K773" s="157"/>
      <c r="L773" s="153">
        <f t="shared" si="75"/>
        <v>0</v>
      </c>
      <c r="M773" s="154">
        <f t="shared" si="76"/>
        <v>0</v>
      </c>
      <c r="N773" s="155">
        <f>+IF(OR($Q773=Parametres!$G$2,$Q773=Parametres!$G$3),I773,C773)</f>
        <v>0</v>
      </c>
      <c r="O773" s="155">
        <f>+IF(OR($Q773=Parametres!$G$2,$Q773=Parametres!$G$3),J773,D773)</f>
        <v>0</v>
      </c>
      <c r="P773" s="155">
        <f>+IF(OR($Q773=Parametres!$G$2,$Q773=Parametres!$G$3),K773,E773)</f>
        <v>0</v>
      </c>
      <c r="Q773" s="154">
        <f t="shared" si="77"/>
        <v>0</v>
      </c>
      <c r="R773" s="153">
        <f t="shared" si="78"/>
        <v>0</v>
      </c>
      <c r="S773" s="154">
        <f t="shared" si="79"/>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hidden="1" customHeight="1">
      <c r="A774" s="157"/>
      <c r="B774" s="158"/>
      <c r="C774" s="159"/>
      <c r="D774" s="157"/>
      <c r="E774" s="157"/>
      <c r="F774" s="157"/>
      <c r="G774" s="157"/>
      <c r="H774" s="157"/>
      <c r="I774" s="157"/>
      <c r="J774" s="157"/>
      <c r="K774" s="157"/>
      <c r="L774" s="153">
        <f t="shared" si="75"/>
        <v>0</v>
      </c>
      <c r="M774" s="154">
        <f t="shared" si="76"/>
        <v>0</v>
      </c>
      <c r="N774" s="155">
        <f>+IF(OR($Q774=Parametres!$G$2,$Q774=Parametres!$G$3),I774,C774)</f>
        <v>0</v>
      </c>
      <c r="O774" s="155">
        <f>+IF(OR($Q774=Parametres!$G$2,$Q774=Parametres!$G$3),J774,D774)</f>
        <v>0</v>
      </c>
      <c r="P774" s="155">
        <f>+IF(OR($Q774=Parametres!$G$2,$Q774=Parametres!$G$3),K774,E774)</f>
        <v>0</v>
      </c>
      <c r="Q774" s="154">
        <f t="shared" si="77"/>
        <v>0</v>
      </c>
      <c r="R774" s="153">
        <f t="shared" si="78"/>
        <v>0</v>
      </c>
      <c r="S774" s="154">
        <f t="shared" si="79"/>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hidden="1" customHeight="1">
      <c r="A775" s="157"/>
      <c r="B775" s="158"/>
      <c r="C775" s="159"/>
      <c r="D775" s="157"/>
      <c r="E775" s="157"/>
      <c r="F775" s="157"/>
      <c r="G775" s="157"/>
      <c r="H775" s="157"/>
      <c r="I775" s="157"/>
      <c r="J775" s="157"/>
      <c r="K775" s="157"/>
      <c r="L775" s="153">
        <f t="shared" si="75"/>
        <v>0</v>
      </c>
      <c r="M775" s="154">
        <f t="shared" si="76"/>
        <v>0</v>
      </c>
      <c r="N775" s="155">
        <f>+IF(OR($Q775=Parametres!$G$2,$Q775=Parametres!$G$3),I775,C775)</f>
        <v>0</v>
      </c>
      <c r="O775" s="155">
        <f>+IF(OR($Q775=Parametres!$G$2,$Q775=Parametres!$G$3),J775,D775)</f>
        <v>0</v>
      </c>
      <c r="P775" s="155">
        <f>+IF(OR($Q775=Parametres!$G$2,$Q775=Parametres!$G$3),K775,E775)</f>
        <v>0</v>
      </c>
      <c r="Q775" s="154">
        <f t="shared" si="77"/>
        <v>0</v>
      </c>
      <c r="R775" s="153">
        <f t="shared" si="78"/>
        <v>0</v>
      </c>
      <c r="S775" s="154">
        <f t="shared" si="79"/>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hidden="1" customHeight="1">
      <c r="A776" s="157"/>
      <c r="B776" s="158"/>
      <c r="C776" s="159"/>
      <c r="D776" s="157"/>
      <c r="E776" s="157"/>
      <c r="F776" s="157"/>
      <c r="G776" s="157"/>
      <c r="H776" s="157"/>
      <c r="I776" s="157"/>
      <c r="J776" s="157"/>
      <c r="K776" s="157"/>
      <c r="L776" s="153">
        <f t="shared" si="75"/>
        <v>0</v>
      </c>
      <c r="M776" s="154">
        <f t="shared" si="76"/>
        <v>0</v>
      </c>
      <c r="N776" s="155">
        <f>+IF(OR($Q776=Parametres!$G$2,$Q776=Parametres!$G$3),I776,C776)</f>
        <v>0</v>
      </c>
      <c r="O776" s="155">
        <f>+IF(OR($Q776=Parametres!$G$2,$Q776=Parametres!$G$3),J776,D776)</f>
        <v>0</v>
      </c>
      <c r="P776" s="155">
        <f>+IF(OR($Q776=Parametres!$G$2,$Q776=Parametres!$G$3),K776,E776)</f>
        <v>0</v>
      </c>
      <c r="Q776" s="154">
        <f t="shared" si="77"/>
        <v>0</v>
      </c>
      <c r="R776" s="153">
        <f t="shared" si="78"/>
        <v>0</v>
      </c>
      <c r="S776" s="154">
        <f t="shared" si="79"/>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hidden="1" customHeight="1">
      <c r="A777" s="157"/>
      <c r="B777" s="158"/>
      <c r="C777" s="159"/>
      <c r="D777" s="157"/>
      <c r="E777" s="157"/>
      <c r="F777" s="157"/>
      <c r="G777" s="157"/>
      <c r="H777" s="157"/>
      <c r="I777" s="157"/>
      <c r="J777" s="157"/>
      <c r="K777" s="157"/>
      <c r="L777" s="153">
        <f t="shared" si="75"/>
        <v>0</v>
      </c>
      <c r="M777" s="154">
        <f t="shared" si="76"/>
        <v>0</v>
      </c>
      <c r="N777" s="155">
        <f>+IF(OR($Q777=Parametres!$G$2,$Q777=Parametres!$G$3),I777,C777)</f>
        <v>0</v>
      </c>
      <c r="O777" s="155">
        <f>+IF(OR($Q777=Parametres!$G$2,$Q777=Parametres!$G$3),J777,D777)</f>
        <v>0</v>
      </c>
      <c r="P777" s="155">
        <f>+IF(OR($Q777=Parametres!$G$2,$Q777=Parametres!$G$3),K777,E777)</f>
        <v>0</v>
      </c>
      <c r="Q777" s="154">
        <f t="shared" si="77"/>
        <v>0</v>
      </c>
      <c r="R777" s="153">
        <f t="shared" si="78"/>
        <v>0</v>
      </c>
      <c r="S777" s="154">
        <f t="shared" si="79"/>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hidden="1" customHeight="1">
      <c r="A778" s="157"/>
      <c r="B778" s="158"/>
      <c r="C778" s="159"/>
      <c r="D778" s="157"/>
      <c r="E778" s="157"/>
      <c r="F778" s="157"/>
      <c r="G778" s="157"/>
      <c r="H778" s="157"/>
      <c r="I778" s="157"/>
      <c r="J778" s="157"/>
      <c r="K778" s="157"/>
      <c r="L778" s="153">
        <f t="shared" si="75"/>
        <v>0</v>
      </c>
      <c r="M778" s="154">
        <f t="shared" si="76"/>
        <v>0</v>
      </c>
      <c r="N778" s="155">
        <f>+IF(OR($Q778=Parametres!$G$2,$Q778=Parametres!$G$3),I778,C778)</f>
        <v>0</v>
      </c>
      <c r="O778" s="155">
        <f>+IF(OR($Q778=Parametres!$G$2,$Q778=Parametres!$G$3),J778,D778)</f>
        <v>0</v>
      </c>
      <c r="P778" s="155">
        <f>+IF(OR($Q778=Parametres!$G$2,$Q778=Parametres!$G$3),K778,E778)</f>
        <v>0</v>
      </c>
      <c r="Q778" s="154">
        <f t="shared" si="77"/>
        <v>0</v>
      </c>
      <c r="R778" s="153">
        <f t="shared" si="78"/>
        <v>0</v>
      </c>
      <c r="S778" s="154">
        <f t="shared" si="79"/>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hidden="1" customHeight="1">
      <c r="A779" s="157"/>
      <c r="B779" s="158"/>
      <c r="C779" s="159"/>
      <c r="D779" s="157"/>
      <c r="E779" s="157"/>
      <c r="F779" s="157"/>
      <c r="G779" s="157"/>
      <c r="H779" s="157"/>
      <c r="I779" s="157"/>
      <c r="J779" s="157"/>
      <c r="K779" s="157"/>
      <c r="L779" s="153">
        <f t="shared" si="75"/>
        <v>0</v>
      </c>
      <c r="M779" s="154">
        <f t="shared" si="76"/>
        <v>0</v>
      </c>
      <c r="N779" s="155">
        <f>+IF(OR($Q779=Parametres!$G$2,$Q779=Parametres!$G$3),I779,C779)</f>
        <v>0</v>
      </c>
      <c r="O779" s="155">
        <f>+IF(OR($Q779=Parametres!$G$2,$Q779=Parametres!$G$3),J779,D779)</f>
        <v>0</v>
      </c>
      <c r="P779" s="155">
        <f>+IF(OR($Q779=Parametres!$G$2,$Q779=Parametres!$G$3),K779,E779)</f>
        <v>0</v>
      </c>
      <c r="Q779" s="154">
        <f t="shared" si="77"/>
        <v>0</v>
      </c>
      <c r="R779" s="153">
        <f t="shared" si="78"/>
        <v>0</v>
      </c>
      <c r="S779" s="154">
        <f t="shared" si="79"/>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hidden="1" customHeight="1">
      <c r="A780" s="157"/>
      <c r="B780" s="158"/>
      <c r="C780" s="159"/>
      <c r="D780" s="157"/>
      <c r="E780" s="157"/>
      <c r="F780" s="157"/>
      <c r="G780" s="157"/>
      <c r="H780" s="157"/>
      <c r="I780" s="157"/>
      <c r="J780" s="157"/>
      <c r="K780" s="157"/>
      <c r="L780" s="153">
        <f t="shared" si="75"/>
        <v>0</v>
      </c>
      <c r="M780" s="154">
        <f t="shared" si="76"/>
        <v>0</v>
      </c>
      <c r="N780" s="155">
        <f>+IF(OR($Q780=Parametres!$G$2,$Q780=Parametres!$G$3),I780,C780)</f>
        <v>0</v>
      </c>
      <c r="O780" s="155">
        <f>+IF(OR($Q780=Parametres!$G$2,$Q780=Parametres!$G$3),J780,D780)</f>
        <v>0</v>
      </c>
      <c r="P780" s="155">
        <f>+IF(OR($Q780=Parametres!$G$2,$Q780=Parametres!$G$3),K780,E780)</f>
        <v>0</v>
      </c>
      <c r="Q780" s="154">
        <f t="shared" si="77"/>
        <v>0</v>
      </c>
      <c r="R780" s="153">
        <f t="shared" si="78"/>
        <v>0</v>
      </c>
      <c r="S780" s="154">
        <f t="shared" si="79"/>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hidden="1" customHeight="1">
      <c r="A781" s="157"/>
      <c r="B781" s="158"/>
      <c r="C781" s="159"/>
      <c r="D781" s="157"/>
      <c r="E781" s="157"/>
      <c r="F781" s="157"/>
      <c r="G781" s="157"/>
      <c r="H781" s="157"/>
      <c r="I781" s="157"/>
      <c r="J781" s="157"/>
      <c r="K781" s="157"/>
      <c r="L781" s="153">
        <f t="shared" si="75"/>
        <v>0</v>
      </c>
      <c r="M781" s="154">
        <f t="shared" si="76"/>
        <v>0</v>
      </c>
      <c r="N781" s="155">
        <f>+IF(OR($Q781=Parametres!$G$2,$Q781=Parametres!$G$3),I781,C781)</f>
        <v>0</v>
      </c>
      <c r="O781" s="155">
        <f>+IF(OR($Q781=Parametres!$G$2,$Q781=Parametres!$G$3),J781,D781)</f>
        <v>0</v>
      </c>
      <c r="P781" s="155">
        <f>+IF(OR($Q781=Parametres!$G$2,$Q781=Parametres!$G$3),K781,E781)</f>
        <v>0</v>
      </c>
      <c r="Q781" s="154">
        <f t="shared" si="77"/>
        <v>0</v>
      </c>
      <c r="R781" s="153">
        <f t="shared" si="78"/>
        <v>0</v>
      </c>
      <c r="S781" s="154">
        <f t="shared" si="79"/>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hidden="1" customHeight="1">
      <c r="A782" s="157"/>
      <c r="B782" s="158"/>
      <c r="C782" s="159"/>
      <c r="D782" s="157"/>
      <c r="E782" s="157"/>
      <c r="F782" s="157"/>
      <c r="G782" s="157"/>
      <c r="H782" s="157"/>
      <c r="I782" s="157"/>
      <c r="J782" s="157"/>
      <c r="K782" s="157"/>
      <c r="L782" s="153">
        <f t="shared" si="75"/>
        <v>0</v>
      </c>
      <c r="M782" s="154">
        <f t="shared" si="76"/>
        <v>0</v>
      </c>
      <c r="N782" s="155">
        <f>+IF(OR($Q782=Parametres!$G$2,$Q782=Parametres!$G$3),I782,C782)</f>
        <v>0</v>
      </c>
      <c r="O782" s="155">
        <f>+IF(OR($Q782=Parametres!$G$2,$Q782=Parametres!$G$3),J782,D782)</f>
        <v>0</v>
      </c>
      <c r="P782" s="155">
        <f>+IF(OR($Q782=Parametres!$G$2,$Q782=Parametres!$G$3),K782,E782)</f>
        <v>0</v>
      </c>
      <c r="Q782" s="154">
        <f t="shared" si="77"/>
        <v>0</v>
      </c>
      <c r="R782" s="153">
        <f t="shared" si="78"/>
        <v>0</v>
      </c>
      <c r="S782" s="154">
        <f t="shared" si="79"/>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hidden="1" customHeight="1">
      <c r="A783" s="157"/>
      <c r="B783" s="158"/>
      <c r="C783" s="159"/>
      <c r="D783" s="157"/>
      <c r="E783" s="157"/>
      <c r="F783" s="157"/>
      <c r="G783" s="157"/>
      <c r="H783" s="157"/>
      <c r="I783" s="157"/>
      <c r="J783" s="157"/>
      <c r="K783" s="157"/>
      <c r="L783" s="153">
        <f t="shared" si="75"/>
        <v>0</v>
      </c>
      <c r="M783" s="154">
        <f t="shared" si="76"/>
        <v>0</v>
      </c>
      <c r="N783" s="155">
        <f>+IF(OR($Q783=Parametres!$G$2,$Q783=Parametres!$G$3),I783,C783)</f>
        <v>0</v>
      </c>
      <c r="O783" s="155">
        <f>+IF(OR($Q783=Parametres!$G$2,$Q783=Parametres!$G$3),J783,D783)</f>
        <v>0</v>
      </c>
      <c r="P783" s="155">
        <f>+IF(OR($Q783=Parametres!$G$2,$Q783=Parametres!$G$3),K783,E783)</f>
        <v>0</v>
      </c>
      <c r="Q783" s="154">
        <f t="shared" si="77"/>
        <v>0</v>
      </c>
      <c r="R783" s="153">
        <f t="shared" si="78"/>
        <v>0</v>
      </c>
      <c r="S783" s="154">
        <f t="shared" si="79"/>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hidden="1" customHeight="1">
      <c r="A784" s="157"/>
      <c r="B784" s="158"/>
      <c r="C784" s="159"/>
      <c r="D784" s="157"/>
      <c r="E784" s="157"/>
      <c r="F784" s="157"/>
      <c r="G784" s="157"/>
      <c r="H784" s="157"/>
      <c r="I784" s="157"/>
      <c r="J784" s="157"/>
      <c r="K784" s="157"/>
      <c r="L784" s="153">
        <f t="shared" si="75"/>
        <v>0</v>
      </c>
      <c r="M784" s="154">
        <f t="shared" si="76"/>
        <v>0</v>
      </c>
      <c r="N784" s="155">
        <f>+IF(OR($Q784=Parametres!$G$2,$Q784=Parametres!$G$3),I784,C784)</f>
        <v>0</v>
      </c>
      <c r="O784" s="155">
        <f>+IF(OR($Q784=Parametres!$G$2,$Q784=Parametres!$G$3),J784,D784)</f>
        <v>0</v>
      </c>
      <c r="P784" s="155">
        <f>+IF(OR($Q784=Parametres!$G$2,$Q784=Parametres!$G$3),K784,E784)</f>
        <v>0</v>
      </c>
      <c r="Q784" s="154">
        <f t="shared" si="77"/>
        <v>0</v>
      </c>
      <c r="R784" s="153">
        <f t="shared" si="78"/>
        <v>0</v>
      </c>
      <c r="S784" s="154">
        <f t="shared" si="79"/>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hidden="1" customHeight="1">
      <c r="A785" s="157"/>
      <c r="B785" s="158"/>
      <c r="C785" s="159"/>
      <c r="D785" s="157"/>
      <c r="E785" s="157"/>
      <c r="F785" s="157"/>
      <c r="G785" s="157"/>
      <c r="H785" s="157"/>
      <c r="I785" s="157"/>
      <c r="J785" s="157"/>
      <c r="K785" s="157"/>
      <c r="L785" s="153">
        <f t="shared" si="75"/>
        <v>0</v>
      </c>
      <c r="M785" s="154">
        <f t="shared" si="76"/>
        <v>0</v>
      </c>
      <c r="N785" s="155">
        <f>+IF(OR($Q785=Parametres!$G$2,$Q785=Parametres!$G$3),I785,C785)</f>
        <v>0</v>
      </c>
      <c r="O785" s="155">
        <f>+IF(OR($Q785=Parametres!$G$2,$Q785=Parametres!$G$3),J785,D785)</f>
        <v>0</v>
      </c>
      <c r="P785" s="155">
        <f>+IF(OR($Q785=Parametres!$G$2,$Q785=Parametres!$G$3),K785,E785)</f>
        <v>0</v>
      </c>
      <c r="Q785" s="154">
        <f t="shared" si="77"/>
        <v>0</v>
      </c>
      <c r="R785" s="153">
        <f t="shared" si="78"/>
        <v>0</v>
      </c>
      <c r="S785" s="154">
        <f t="shared" si="79"/>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hidden="1" customHeight="1">
      <c r="A786" s="157"/>
      <c r="B786" s="158"/>
      <c r="C786" s="159"/>
      <c r="D786" s="157"/>
      <c r="E786" s="157"/>
      <c r="F786" s="157"/>
      <c r="G786" s="157"/>
      <c r="H786" s="157"/>
      <c r="I786" s="157"/>
      <c r="J786" s="157"/>
      <c r="K786" s="157"/>
      <c r="L786" s="153">
        <f t="shared" si="75"/>
        <v>0</v>
      </c>
      <c r="M786" s="154">
        <f t="shared" si="76"/>
        <v>0</v>
      </c>
      <c r="N786" s="155">
        <f>+IF(OR($Q786=Parametres!$G$2,$Q786=Parametres!$G$3),I786,C786)</f>
        <v>0</v>
      </c>
      <c r="O786" s="155">
        <f>+IF(OR($Q786=Parametres!$G$2,$Q786=Parametres!$G$3),J786,D786)</f>
        <v>0</v>
      </c>
      <c r="P786" s="155">
        <f>+IF(OR($Q786=Parametres!$G$2,$Q786=Parametres!$G$3),K786,E786)</f>
        <v>0</v>
      </c>
      <c r="Q786" s="154">
        <f t="shared" si="77"/>
        <v>0</v>
      </c>
      <c r="R786" s="153">
        <f t="shared" si="78"/>
        <v>0</v>
      </c>
      <c r="S786" s="154">
        <f t="shared" si="79"/>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hidden="1" customHeight="1">
      <c r="A787" s="157"/>
      <c r="B787" s="158"/>
      <c r="C787" s="159"/>
      <c r="D787" s="157"/>
      <c r="E787" s="157"/>
      <c r="F787" s="157"/>
      <c r="G787" s="157"/>
      <c r="H787" s="157"/>
      <c r="I787" s="157"/>
      <c r="J787" s="157"/>
      <c r="K787" s="157"/>
      <c r="L787" s="153">
        <f t="shared" si="75"/>
        <v>0</v>
      </c>
      <c r="M787" s="154">
        <f t="shared" si="76"/>
        <v>0</v>
      </c>
      <c r="N787" s="155">
        <f>+IF(OR($Q787=Parametres!$G$2,$Q787=Parametres!$G$3),I787,C787)</f>
        <v>0</v>
      </c>
      <c r="O787" s="155">
        <f>+IF(OR($Q787=Parametres!$G$2,$Q787=Parametres!$G$3),J787,D787)</f>
        <v>0</v>
      </c>
      <c r="P787" s="155">
        <f>+IF(OR($Q787=Parametres!$G$2,$Q787=Parametres!$G$3),K787,E787)</f>
        <v>0</v>
      </c>
      <c r="Q787" s="154">
        <f t="shared" si="77"/>
        <v>0</v>
      </c>
      <c r="R787" s="153">
        <f t="shared" si="78"/>
        <v>0</v>
      </c>
      <c r="S787" s="154">
        <f t="shared" si="79"/>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hidden="1" customHeight="1">
      <c r="A788" s="157"/>
      <c r="B788" s="158"/>
      <c r="C788" s="159"/>
      <c r="D788" s="157"/>
      <c r="E788" s="157"/>
      <c r="F788" s="157"/>
      <c r="G788" s="157"/>
      <c r="H788" s="157"/>
      <c r="I788" s="157"/>
      <c r="J788" s="157"/>
      <c r="K788" s="157"/>
      <c r="L788" s="153">
        <f t="shared" si="75"/>
        <v>0</v>
      </c>
      <c r="M788" s="154">
        <f t="shared" si="76"/>
        <v>0</v>
      </c>
      <c r="N788" s="155">
        <f>+IF(OR($Q788=Parametres!$G$2,$Q788=Parametres!$G$3),I788,C788)</f>
        <v>0</v>
      </c>
      <c r="O788" s="155">
        <f>+IF(OR($Q788=Parametres!$G$2,$Q788=Parametres!$G$3),J788,D788)</f>
        <v>0</v>
      </c>
      <c r="P788" s="155">
        <f>+IF(OR($Q788=Parametres!$G$2,$Q788=Parametres!$G$3),K788,E788)</f>
        <v>0</v>
      </c>
      <c r="Q788" s="154">
        <f t="shared" si="77"/>
        <v>0</v>
      </c>
      <c r="R788" s="153">
        <f t="shared" si="78"/>
        <v>0</v>
      </c>
      <c r="S788" s="154">
        <f t="shared" si="79"/>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hidden="1" customHeight="1">
      <c r="A789" s="157"/>
      <c r="B789" s="158"/>
      <c r="C789" s="159"/>
      <c r="D789" s="157"/>
      <c r="E789" s="157"/>
      <c r="F789" s="157"/>
      <c r="G789" s="157"/>
      <c r="H789" s="157"/>
      <c r="I789" s="157"/>
      <c r="J789" s="157"/>
      <c r="K789" s="157"/>
      <c r="L789" s="153">
        <f t="shared" si="75"/>
        <v>0</v>
      </c>
      <c r="M789" s="154">
        <f t="shared" si="76"/>
        <v>0</v>
      </c>
      <c r="N789" s="155">
        <f>+IF(OR($Q789=Parametres!$G$2,$Q789=Parametres!$G$3),I789,C789)</f>
        <v>0</v>
      </c>
      <c r="O789" s="155">
        <f>+IF(OR($Q789=Parametres!$G$2,$Q789=Parametres!$G$3),J789,D789)</f>
        <v>0</v>
      </c>
      <c r="P789" s="155">
        <f>+IF(OR($Q789=Parametres!$G$2,$Q789=Parametres!$G$3),K789,E789)</f>
        <v>0</v>
      </c>
      <c r="Q789" s="154">
        <f t="shared" si="77"/>
        <v>0</v>
      </c>
      <c r="R789" s="153">
        <f t="shared" si="78"/>
        <v>0</v>
      </c>
      <c r="S789" s="154">
        <f t="shared" si="79"/>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hidden="1" customHeight="1">
      <c r="A790" s="157"/>
      <c r="B790" s="158"/>
      <c r="C790" s="159"/>
      <c r="D790" s="157"/>
      <c r="E790" s="157"/>
      <c r="F790" s="157"/>
      <c r="G790" s="157"/>
      <c r="H790" s="157"/>
      <c r="I790" s="157"/>
      <c r="J790" s="157"/>
      <c r="K790" s="157"/>
      <c r="L790" s="153">
        <f t="shared" si="75"/>
        <v>0</v>
      </c>
      <c r="M790" s="154">
        <f t="shared" si="76"/>
        <v>0</v>
      </c>
      <c r="N790" s="155">
        <f>+IF(OR($Q790=Parametres!$G$2,$Q790=Parametres!$G$3),I790,C790)</f>
        <v>0</v>
      </c>
      <c r="O790" s="155">
        <f>+IF(OR($Q790=Parametres!$G$2,$Q790=Parametres!$G$3),J790,D790)</f>
        <v>0</v>
      </c>
      <c r="P790" s="155">
        <f>+IF(OR($Q790=Parametres!$G$2,$Q790=Parametres!$G$3),K790,E790)</f>
        <v>0</v>
      </c>
      <c r="Q790" s="154">
        <f t="shared" si="77"/>
        <v>0</v>
      </c>
      <c r="R790" s="153">
        <f t="shared" si="78"/>
        <v>0</v>
      </c>
      <c r="S790" s="154">
        <f t="shared" si="79"/>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hidden="1" customHeight="1">
      <c r="A791" s="157"/>
      <c r="B791" s="158"/>
      <c r="C791" s="159"/>
      <c r="D791" s="157"/>
      <c r="E791" s="157"/>
      <c r="F791" s="157"/>
      <c r="G791" s="157"/>
      <c r="H791" s="157"/>
      <c r="I791" s="157"/>
      <c r="J791" s="157"/>
      <c r="K791" s="157"/>
      <c r="L791" s="153">
        <f t="shared" si="75"/>
        <v>0</v>
      </c>
      <c r="M791" s="154">
        <f t="shared" si="76"/>
        <v>0</v>
      </c>
      <c r="N791" s="155">
        <f>+IF(OR($Q791=Parametres!$G$2,$Q791=Parametres!$G$3),I791,C791)</f>
        <v>0</v>
      </c>
      <c r="O791" s="155">
        <f>+IF(OR($Q791=Parametres!$G$2,$Q791=Parametres!$G$3),J791,D791)</f>
        <v>0</v>
      </c>
      <c r="P791" s="155">
        <f>+IF(OR($Q791=Parametres!$G$2,$Q791=Parametres!$G$3),K791,E791)</f>
        <v>0</v>
      </c>
      <c r="Q791" s="154">
        <f t="shared" si="77"/>
        <v>0</v>
      </c>
      <c r="R791" s="153">
        <f t="shared" si="78"/>
        <v>0</v>
      </c>
      <c r="S791" s="154">
        <f t="shared" si="79"/>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hidden="1" customHeight="1">
      <c r="A792" s="157"/>
      <c r="B792" s="158"/>
      <c r="C792" s="159"/>
      <c r="D792" s="157"/>
      <c r="E792" s="157"/>
      <c r="F792" s="157"/>
      <c r="G792" s="157"/>
      <c r="H792" s="157"/>
      <c r="I792" s="157"/>
      <c r="J792" s="157"/>
      <c r="K792" s="157"/>
      <c r="L792" s="153">
        <f t="shared" si="75"/>
        <v>0</v>
      </c>
      <c r="M792" s="154">
        <f t="shared" si="76"/>
        <v>0</v>
      </c>
      <c r="N792" s="155">
        <f>+IF(OR($Q792=Parametres!$G$2,$Q792=Parametres!$G$3),I792,C792)</f>
        <v>0</v>
      </c>
      <c r="O792" s="155">
        <f>+IF(OR($Q792=Parametres!$G$2,$Q792=Parametres!$G$3),J792,D792)</f>
        <v>0</v>
      </c>
      <c r="P792" s="155">
        <f>+IF(OR($Q792=Parametres!$G$2,$Q792=Parametres!$G$3),K792,E792)</f>
        <v>0</v>
      </c>
      <c r="Q792" s="154">
        <f t="shared" si="77"/>
        <v>0</v>
      </c>
      <c r="R792" s="153">
        <f t="shared" si="78"/>
        <v>0</v>
      </c>
      <c r="S792" s="154">
        <f t="shared" si="79"/>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hidden="1" customHeight="1">
      <c r="A793" s="157"/>
      <c r="B793" s="158"/>
      <c r="C793" s="159"/>
      <c r="D793" s="157"/>
      <c r="E793" s="157"/>
      <c r="F793" s="157"/>
      <c r="G793" s="157"/>
      <c r="H793" s="157"/>
      <c r="I793" s="157"/>
      <c r="J793" s="157"/>
      <c r="K793" s="157"/>
      <c r="L793" s="153">
        <f t="shared" si="75"/>
        <v>0</v>
      </c>
      <c r="M793" s="154">
        <f t="shared" si="76"/>
        <v>0</v>
      </c>
      <c r="N793" s="155">
        <f>+IF(OR($Q793=Parametres!$G$2,$Q793=Parametres!$G$3),I793,C793)</f>
        <v>0</v>
      </c>
      <c r="O793" s="155">
        <f>+IF(OR($Q793=Parametres!$G$2,$Q793=Parametres!$G$3),J793,D793)</f>
        <v>0</v>
      </c>
      <c r="P793" s="155">
        <f>+IF(OR($Q793=Parametres!$G$2,$Q793=Parametres!$G$3),K793,E793)</f>
        <v>0</v>
      </c>
      <c r="Q793" s="154">
        <f t="shared" si="77"/>
        <v>0</v>
      </c>
      <c r="R793" s="153">
        <f t="shared" si="78"/>
        <v>0</v>
      </c>
      <c r="S793" s="154">
        <f t="shared" si="79"/>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hidden="1" customHeight="1">
      <c r="A794" s="157"/>
      <c r="B794" s="158"/>
      <c r="C794" s="159"/>
      <c r="D794" s="157"/>
      <c r="E794" s="157"/>
      <c r="F794" s="157"/>
      <c r="G794" s="157"/>
      <c r="H794" s="157"/>
      <c r="I794" s="157"/>
      <c r="J794" s="157"/>
      <c r="K794" s="157"/>
      <c r="L794" s="153">
        <f t="shared" si="75"/>
        <v>0</v>
      </c>
      <c r="M794" s="154">
        <f t="shared" si="76"/>
        <v>0</v>
      </c>
      <c r="N794" s="155">
        <f>+IF(OR($Q794=Parametres!$G$2,$Q794=Parametres!$G$3),I794,C794)</f>
        <v>0</v>
      </c>
      <c r="O794" s="155">
        <f>+IF(OR($Q794=Parametres!$G$2,$Q794=Parametres!$G$3),J794,D794)</f>
        <v>0</v>
      </c>
      <c r="P794" s="155">
        <f>+IF(OR($Q794=Parametres!$G$2,$Q794=Parametres!$G$3),K794,E794)</f>
        <v>0</v>
      </c>
      <c r="Q794" s="154">
        <f t="shared" si="77"/>
        <v>0</v>
      </c>
      <c r="R794" s="153">
        <f t="shared" si="78"/>
        <v>0</v>
      </c>
      <c r="S794" s="154">
        <f t="shared" si="79"/>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hidden="1" customHeight="1">
      <c r="A795" s="157"/>
      <c r="B795" s="158"/>
      <c r="C795" s="159"/>
      <c r="D795" s="157"/>
      <c r="E795" s="157"/>
      <c r="F795" s="157"/>
      <c r="G795" s="157"/>
      <c r="H795" s="157"/>
      <c r="I795" s="157"/>
      <c r="J795" s="157"/>
      <c r="K795" s="157"/>
      <c r="L795" s="153">
        <f t="shared" si="75"/>
        <v>0</v>
      </c>
      <c r="M795" s="154">
        <f t="shared" si="76"/>
        <v>0</v>
      </c>
      <c r="N795" s="155">
        <f>+IF(OR($Q795=Parametres!$G$2,$Q795=Parametres!$G$3),I795,C795)</f>
        <v>0</v>
      </c>
      <c r="O795" s="155">
        <f>+IF(OR($Q795=Parametres!$G$2,$Q795=Parametres!$G$3),J795,D795)</f>
        <v>0</v>
      </c>
      <c r="P795" s="155">
        <f>+IF(OR($Q795=Parametres!$G$2,$Q795=Parametres!$G$3),K795,E795)</f>
        <v>0</v>
      </c>
      <c r="Q795" s="154">
        <f t="shared" si="77"/>
        <v>0</v>
      </c>
      <c r="R795" s="153">
        <f t="shared" si="78"/>
        <v>0</v>
      </c>
      <c r="S795" s="154">
        <f t="shared" si="79"/>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hidden="1" customHeight="1">
      <c r="A796" s="157"/>
      <c r="B796" s="158"/>
      <c r="C796" s="159"/>
      <c r="D796" s="157"/>
      <c r="E796" s="157"/>
      <c r="F796" s="157"/>
      <c r="G796" s="157"/>
      <c r="H796" s="157"/>
      <c r="I796" s="157"/>
      <c r="J796" s="157"/>
      <c r="K796" s="157"/>
      <c r="L796" s="153">
        <f t="shared" si="75"/>
        <v>0</v>
      </c>
      <c r="M796" s="154">
        <f t="shared" si="76"/>
        <v>0</v>
      </c>
      <c r="N796" s="155">
        <f>+IF(OR($Q796=Parametres!$G$2,$Q796=Parametres!$G$3),I796,C796)</f>
        <v>0</v>
      </c>
      <c r="O796" s="155">
        <f>+IF(OR($Q796=Parametres!$G$2,$Q796=Parametres!$G$3),J796,D796)</f>
        <v>0</v>
      </c>
      <c r="P796" s="155">
        <f>+IF(OR($Q796=Parametres!$G$2,$Q796=Parametres!$G$3),K796,E796)</f>
        <v>0</v>
      </c>
      <c r="Q796" s="154">
        <f t="shared" si="77"/>
        <v>0</v>
      </c>
      <c r="R796" s="153">
        <f t="shared" si="78"/>
        <v>0</v>
      </c>
      <c r="S796" s="154">
        <f t="shared" si="79"/>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hidden="1" customHeight="1">
      <c r="A797" s="157"/>
      <c r="B797" s="158"/>
      <c r="C797" s="159"/>
      <c r="D797" s="157"/>
      <c r="E797" s="157"/>
      <c r="F797" s="157"/>
      <c r="G797" s="157"/>
      <c r="H797" s="157"/>
      <c r="I797" s="157"/>
      <c r="J797" s="157"/>
      <c r="K797" s="157"/>
      <c r="L797" s="153">
        <f t="shared" si="75"/>
        <v>0</v>
      </c>
      <c r="M797" s="154">
        <f t="shared" si="76"/>
        <v>0</v>
      </c>
      <c r="N797" s="155">
        <f>+IF(OR($Q797=Parametres!$G$2,$Q797=Parametres!$G$3),I797,C797)</f>
        <v>0</v>
      </c>
      <c r="O797" s="155">
        <f>+IF(OR($Q797=Parametres!$G$2,$Q797=Parametres!$G$3),J797,D797)</f>
        <v>0</v>
      </c>
      <c r="P797" s="155">
        <f>+IF(OR($Q797=Parametres!$G$2,$Q797=Parametres!$G$3),K797,E797)</f>
        <v>0</v>
      </c>
      <c r="Q797" s="154">
        <f t="shared" si="77"/>
        <v>0</v>
      </c>
      <c r="R797" s="153">
        <f t="shared" si="78"/>
        <v>0</v>
      </c>
      <c r="S797" s="154">
        <f t="shared" si="79"/>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hidden="1" customHeight="1">
      <c r="A798" s="157"/>
      <c r="B798" s="158"/>
      <c r="C798" s="159"/>
      <c r="D798" s="157"/>
      <c r="E798" s="157"/>
      <c r="F798" s="157"/>
      <c r="G798" s="157"/>
      <c r="H798" s="157"/>
      <c r="I798" s="157"/>
      <c r="J798" s="157"/>
      <c r="K798" s="157"/>
      <c r="L798" s="153">
        <f t="shared" si="75"/>
        <v>0</v>
      </c>
      <c r="M798" s="154">
        <f t="shared" si="76"/>
        <v>0</v>
      </c>
      <c r="N798" s="155">
        <f>+IF(OR($Q798=Parametres!$G$2,$Q798=Parametres!$G$3),I798,C798)</f>
        <v>0</v>
      </c>
      <c r="O798" s="155">
        <f>+IF(OR($Q798=Parametres!$G$2,$Q798=Parametres!$G$3),J798,D798)</f>
        <v>0</v>
      </c>
      <c r="P798" s="155">
        <f>+IF(OR($Q798=Parametres!$G$2,$Q798=Parametres!$G$3),K798,E798)</f>
        <v>0</v>
      </c>
      <c r="Q798" s="154">
        <f t="shared" si="77"/>
        <v>0</v>
      </c>
      <c r="R798" s="153">
        <f t="shared" si="78"/>
        <v>0</v>
      </c>
      <c r="S798" s="154">
        <f t="shared" si="79"/>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hidden="1" customHeight="1">
      <c r="A799" s="157"/>
      <c r="B799" s="158"/>
      <c r="C799" s="159"/>
      <c r="D799" s="157"/>
      <c r="E799" s="157"/>
      <c r="F799" s="157"/>
      <c r="G799" s="157"/>
      <c r="H799" s="157"/>
      <c r="I799" s="157"/>
      <c r="J799" s="157"/>
      <c r="K799" s="157"/>
      <c r="L799" s="153">
        <f t="shared" si="75"/>
        <v>0</v>
      </c>
      <c r="M799" s="154">
        <f t="shared" si="76"/>
        <v>0</v>
      </c>
      <c r="N799" s="155">
        <f>+IF(OR($Q799=Parametres!$G$2,$Q799=Parametres!$G$3),I799,C799)</f>
        <v>0</v>
      </c>
      <c r="O799" s="155">
        <f>+IF(OR($Q799=Parametres!$G$2,$Q799=Parametres!$G$3),J799,D799)</f>
        <v>0</v>
      </c>
      <c r="P799" s="155">
        <f>+IF(OR($Q799=Parametres!$G$2,$Q799=Parametres!$G$3),K799,E799)</f>
        <v>0</v>
      </c>
      <c r="Q799" s="154">
        <f t="shared" si="77"/>
        <v>0</v>
      </c>
      <c r="R799" s="153">
        <f t="shared" si="78"/>
        <v>0</v>
      </c>
      <c r="S799" s="154">
        <f t="shared" si="79"/>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hidden="1" customHeight="1">
      <c r="A800" s="157"/>
      <c r="B800" s="158"/>
      <c r="C800" s="159"/>
      <c r="D800" s="157"/>
      <c r="E800" s="157"/>
      <c r="F800" s="157"/>
      <c r="G800" s="157"/>
      <c r="H800" s="157"/>
      <c r="I800" s="157"/>
      <c r="J800" s="157"/>
      <c r="K800" s="157"/>
      <c r="L800" s="153">
        <f t="shared" si="75"/>
        <v>0</v>
      </c>
      <c r="M800" s="154">
        <f t="shared" si="76"/>
        <v>0</v>
      </c>
      <c r="N800" s="155">
        <f>+IF(OR($Q800=Parametres!$G$2,$Q800=Parametres!$G$3),I800,C800)</f>
        <v>0</v>
      </c>
      <c r="O800" s="155">
        <f>+IF(OR($Q800=Parametres!$G$2,$Q800=Parametres!$G$3),J800,D800)</f>
        <v>0</v>
      </c>
      <c r="P800" s="155">
        <f>+IF(OR($Q800=Parametres!$G$2,$Q800=Parametres!$G$3),K800,E800)</f>
        <v>0</v>
      </c>
      <c r="Q800" s="154">
        <f t="shared" si="77"/>
        <v>0</v>
      </c>
      <c r="R800" s="153">
        <f t="shared" si="78"/>
        <v>0</v>
      </c>
      <c r="S800" s="154">
        <f t="shared" si="79"/>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hidden="1" customHeight="1">
      <c r="A801" s="157"/>
      <c r="B801" s="158"/>
      <c r="C801" s="159"/>
      <c r="D801" s="157"/>
      <c r="E801" s="157"/>
      <c r="F801" s="157"/>
      <c r="G801" s="157"/>
      <c r="H801" s="157"/>
      <c r="I801" s="157"/>
      <c r="J801" s="157"/>
      <c r="K801" s="157"/>
      <c r="L801" s="153">
        <f t="shared" si="75"/>
        <v>0</v>
      </c>
      <c r="M801" s="154">
        <f t="shared" si="76"/>
        <v>0</v>
      </c>
      <c r="N801" s="155">
        <f>+IF(OR($Q801=Parametres!$G$2,$Q801=Parametres!$G$3),I801,C801)</f>
        <v>0</v>
      </c>
      <c r="O801" s="155">
        <f>+IF(OR($Q801=Parametres!$G$2,$Q801=Parametres!$G$3),J801,D801)</f>
        <v>0</v>
      </c>
      <c r="P801" s="155">
        <f>+IF(OR($Q801=Parametres!$G$2,$Q801=Parametres!$G$3),K801,E801)</f>
        <v>0</v>
      </c>
      <c r="Q801" s="154">
        <f t="shared" si="77"/>
        <v>0</v>
      </c>
      <c r="R801" s="153">
        <f t="shared" si="78"/>
        <v>0</v>
      </c>
      <c r="S801" s="154">
        <f t="shared" si="79"/>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hidden="1" customHeight="1">
      <c r="A802" s="157"/>
      <c r="B802" s="158"/>
      <c r="C802" s="159"/>
      <c r="D802" s="157"/>
      <c r="E802" s="157"/>
      <c r="F802" s="157"/>
      <c r="G802" s="157"/>
      <c r="H802" s="157"/>
      <c r="I802" s="157"/>
      <c r="J802" s="157"/>
      <c r="K802" s="157"/>
      <c r="L802" s="153">
        <f t="shared" si="75"/>
        <v>0</v>
      </c>
      <c r="M802" s="154">
        <f t="shared" si="76"/>
        <v>0</v>
      </c>
      <c r="N802" s="155">
        <f>+IF(OR($Q802=Parametres!$G$2,$Q802=Parametres!$G$3),I802,C802)</f>
        <v>0</v>
      </c>
      <c r="O802" s="155">
        <f>+IF(OR($Q802=Parametres!$G$2,$Q802=Parametres!$G$3),J802,D802)</f>
        <v>0</v>
      </c>
      <c r="P802" s="155">
        <f>+IF(OR($Q802=Parametres!$G$2,$Q802=Parametres!$G$3),K802,E802)</f>
        <v>0</v>
      </c>
      <c r="Q802" s="154">
        <f t="shared" si="77"/>
        <v>0</v>
      </c>
      <c r="R802" s="153">
        <f t="shared" si="78"/>
        <v>0</v>
      </c>
      <c r="S802" s="154">
        <f t="shared" si="79"/>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hidden="1" customHeight="1">
      <c r="A803" s="157"/>
      <c r="B803" s="158"/>
      <c r="C803" s="159"/>
      <c r="D803" s="157"/>
      <c r="E803" s="157"/>
      <c r="F803" s="157"/>
      <c r="G803" s="157"/>
      <c r="H803" s="157"/>
      <c r="I803" s="157"/>
      <c r="J803" s="157"/>
      <c r="K803" s="157"/>
      <c r="L803" s="153">
        <f t="shared" si="75"/>
        <v>0</v>
      </c>
      <c r="M803" s="154">
        <f t="shared" si="76"/>
        <v>0</v>
      </c>
      <c r="N803" s="155">
        <f>+IF(OR($Q803=Parametres!$G$2,$Q803=Parametres!$G$3),I803,C803)</f>
        <v>0</v>
      </c>
      <c r="O803" s="155">
        <f>+IF(OR($Q803=Parametres!$G$2,$Q803=Parametres!$G$3),J803,D803)</f>
        <v>0</v>
      </c>
      <c r="P803" s="155">
        <f>+IF(OR($Q803=Parametres!$G$2,$Q803=Parametres!$G$3),K803,E803)</f>
        <v>0</v>
      </c>
      <c r="Q803" s="154">
        <f t="shared" si="77"/>
        <v>0</v>
      </c>
      <c r="R803" s="153">
        <f t="shared" si="78"/>
        <v>0</v>
      </c>
      <c r="S803" s="154">
        <f t="shared" si="79"/>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hidden="1" customHeight="1">
      <c r="A804" s="157"/>
      <c r="B804" s="158"/>
      <c r="C804" s="159"/>
      <c r="D804" s="157"/>
      <c r="E804" s="157"/>
      <c r="F804" s="157"/>
      <c r="G804" s="157"/>
      <c r="H804" s="157"/>
      <c r="I804" s="157"/>
      <c r="J804" s="157"/>
      <c r="K804" s="157"/>
      <c r="L804" s="153">
        <f t="shared" si="75"/>
        <v>0</v>
      </c>
      <c r="M804" s="154">
        <f t="shared" si="76"/>
        <v>0</v>
      </c>
      <c r="N804" s="155">
        <f>+IF(OR($Q804=Parametres!$G$2,$Q804=Parametres!$G$3),I804,C804)</f>
        <v>0</v>
      </c>
      <c r="O804" s="155">
        <f>+IF(OR($Q804=Parametres!$G$2,$Q804=Parametres!$G$3),J804,D804)</f>
        <v>0</v>
      </c>
      <c r="P804" s="155">
        <f>+IF(OR($Q804=Parametres!$G$2,$Q804=Parametres!$G$3),K804,E804)</f>
        <v>0</v>
      </c>
      <c r="Q804" s="154">
        <f t="shared" si="77"/>
        <v>0</v>
      </c>
      <c r="R804" s="153">
        <f t="shared" si="78"/>
        <v>0</v>
      </c>
      <c r="S804" s="154">
        <f t="shared" si="79"/>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hidden="1" customHeight="1">
      <c r="A805" s="157"/>
      <c r="B805" s="158"/>
      <c r="C805" s="159"/>
      <c r="D805" s="157"/>
      <c r="E805" s="157"/>
      <c r="F805" s="157"/>
      <c r="G805" s="157"/>
      <c r="H805" s="157"/>
      <c r="I805" s="157"/>
      <c r="J805" s="157"/>
      <c r="K805" s="157"/>
      <c r="L805" s="153">
        <f t="shared" si="75"/>
        <v>0</v>
      </c>
      <c r="M805" s="154">
        <f t="shared" si="76"/>
        <v>0</v>
      </c>
      <c r="N805" s="155">
        <f>+IF(OR($Q805=Parametres!$G$2,$Q805=Parametres!$G$3),I805,C805)</f>
        <v>0</v>
      </c>
      <c r="O805" s="155">
        <f>+IF(OR($Q805=Parametres!$G$2,$Q805=Parametres!$G$3),J805,D805)</f>
        <v>0</v>
      </c>
      <c r="P805" s="155">
        <f>+IF(OR($Q805=Parametres!$G$2,$Q805=Parametres!$G$3),K805,E805)</f>
        <v>0</v>
      </c>
      <c r="Q805" s="154">
        <f t="shared" si="77"/>
        <v>0</v>
      </c>
      <c r="R805" s="153">
        <f t="shared" si="78"/>
        <v>0</v>
      </c>
      <c r="S805" s="154">
        <f t="shared" si="79"/>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hidden="1" customHeight="1">
      <c r="A806" s="157"/>
      <c r="B806" s="158"/>
      <c r="C806" s="159"/>
      <c r="D806" s="157"/>
      <c r="E806" s="157"/>
      <c r="F806" s="157"/>
      <c r="G806" s="157"/>
      <c r="H806" s="157"/>
      <c r="I806" s="157"/>
      <c r="J806" s="157"/>
      <c r="K806" s="157"/>
      <c r="L806" s="153">
        <f t="shared" si="75"/>
        <v>0</v>
      </c>
      <c r="M806" s="154">
        <f t="shared" si="76"/>
        <v>0</v>
      </c>
      <c r="N806" s="155">
        <f>+IF(OR($Q806=Parametres!$G$2,$Q806=Parametres!$G$3),I806,C806)</f>
        <v>0</v>
      </c>
      <c r="O806" s="155">
        <f>+IF(OR($Q806=Parametres!$G$2,$Q806=Parametres!$G$3),J806,D806)</f>
        <v>0</v>
      </c>
      <c r="P806" s="155">
        <f>+IF(OR($Q806=Parametres!$G$2,$Q806=Parametres!$G$3),K806,E806)</f>
        <v>0</v>
      </c>
      <c r="Q806" s="154">
        <f t="shared" si="77"/>
        <v>0</v>
      </c>
      <c r="R806" s="153">
        <f t="shared" si="78"/>
        <v>0</v>
      </c>
      <c r="S806" s="154">
        <f t="shared" si="79"/>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hidden="1" customHeight="1">
      <c r="A807" s="157"/>
      <c r="B807" s="158"/>
      <c r="C807" s="159"/>
      <c r="D807" s="157"/>
      <c r="E807" s="157"/>
      <c r="F807" s="157"/>
      <c r="G807" s="157"/>
      <c r="H807" s="157"/>
      <c r="I807" s="157"/>
      <c r="J807" s="157"/>
      <c r="K807" s="157"/>
      <c r="L807" s="153">
        <f t="shared" si="75"/>
        <v>0</v>
      </c>
      <c r="M807" s="154">
        <f t="shared" si="76"/>
        <v>0</v>
      </c>
      <c r="N807" s="155">
        <f>+IF(OR($Q807=Parametres!$G$2,$Q807=Parametres!$G$3),I807,C807)</f>
        <v>0</v>
      </c>
      <c r="O807" s="155">
        <f>+IF(OR($Q807=Parametres!$G$2,$Q807=Parametres!$G$3),J807,D807)</f>
        <v>0</v>
      </c>
      <c r="P807" s="155">
        <f>+IF(OR($Q807=Parametres!$G$2,$Q807=Parametres!$G$3),K807,E807)</f>
        <v>0</v>
      </c>
      <c r="Q807" s="154">
        <f t="shared" si="77"/>
        <v>0</v>
      </c>
      <c r="R807" s="153">
        <f t="shared" si="78"/>
        <v>0</v>
      </c>
      <c r="S807" s="154">
        <f t="shared" si="79"/>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hidden="1" customHeight="1">
      <c r="A808" s="157"/>
      <c r="B808" s="158"/>
      <c r="C808" s="159"/>
      <c r="D808" s="157"/>
      <c r="E808" s="157"/>
      <c r="F808" s="157"/>
      <c r="G808" s="157"/>
      <c r="H808" s="157"/>
      <c r="I808" s="157"/>
      <c r="J808" s="157"/>
      <c r="K808" s="157"/>
      <c r="L808" s="153">
        <f t="shared" si="75"/>
        <v>0</v>
      </c>
      <c r="M808" s="154">
        <f t="shared" si="76"/>
        <v>0</v>
      </c>
      <c r="N808" s="155">
        <f>+IF(OR($Q808=Parametres!$G$2,$Q808=Parametres!$G$3),I808,C808)</f>
        <v>0</v>
      </c>
      <c r="O808" s="155">
        <f>+IF(OR($Q808=Parametres!$G$2,$Q808=Parametres!$G$3),J808,D808)</f>
        <v>0</v>
      </c>
      <c r="P808" s="155">
        <f>+IF(OR($Q808=Parametres!$G$2,$Q808=Parametres!$G$3),K808,E808)</f>
        <v>0</v>
      </c>
      <c r="Q808" s="154">
        <f t="shared" si="77"/>
        <v>0</v>
      </c>
      <c r="R808" s="153">
        <f t="shared" si="78"/>
        <v>0</v>
      </c>
      <c r="S808" s="154">
        <f t="shared" si="79"/>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hidden="1" customHeight="1">
      <c r="A809" s="157"/>
      <c r="B809" s="158"/>
      <c r="C809" s="159"/>
      <c r="D809" s="157"/>
      <c r="E809" s="157"/>
      <c r="F809" s="157"/>
      <c r="G809" s="157"/>
      <c r="H809" s="157"/>
      <c r="I809" s="157"/>
      <c r="J809" s="157"/>
      <c r="K809" s="157"/>
      <c r="L809" s="153">
        <f t="shared" si="75"/>
        <v>0</v>
      </c>
      <c r="M809" s="154">
        <f t="shared" si="76"/>
        <v>0</v>
      </c>
      <c r="N809" s="155">
        <f>+IF(OR($Q809=Parametres!$G$2,$Q809=Parametres!$G$3),I809,C809)</f>
        <v>0</v>
      </c>
      <c r="O809" s="155">
        <f>+IF(OR($Q809=Parametres!$G$2,$Q809=Parametres!$G$3),J809,D809)</f>
        <v>0</v>
      </c>
      <c r="P809" s="155">
        <f>+IF(OR($Q809=Parametres!$G$2,$Q809=Parametres!$G$3),K809,E809)</f>
        <v>0</v>
      </c>
      <c r="Q809" s="154">
        <f t="shared" si="77"/>
        <v>0</v>
      </c>
      <c r="R809" s="153">
        <f t="shared" si="78"/>
        <v>0</v>
      </c>
      <c r="S809" s="154">
        <f t="shared" si="79"/>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hidden="1" customHeight="1">
      <c r="A810" s="157"/>
      <c r="B810" s="158"/>
      <c r="C810" s="159"/>
      <c r="D810" s="157"/>
      <c r="E810" s="157"/>
      <c r="F810" s="157"/>
      <c r="G810" s="157"/>
      <c r="H810" s="157"/>
      <c r="I810" s="157"/>
      <c r="J810" s="157"/>
      <c r="K810" s="157"/>
      <c r="L810" s="153">
        <f t="shared" si="75"/>
        <v>0</v>
      </c>
      <c r="M810" s="154">
        <f t="shared" si="76"/>
        <v>0</v>
      </c>
      <c r="N810" s="155">
        <f>+IF(OR($Q810=Parametres!$G$2,$Q810=Parametres!$G$3),I810,C810)</f>
        <v>0</v>
      </c>
      <c r="O810" s="155">
        <f>+IF(OR($Q810=Parametres!$G$2,$Q810=Parametres!$G$3),J810,D810)</f>
        <v>0</v>
      </c>
      <c r="P810" s="155">
        <f>+IF(OR($Q810=Parametres!$G$2,$Q810=Parametres!$G$3),K810,E810)</f>
        <v>0</v>
      </c>
      <c r="Q810" s="154">
        <f t="shared" si="77"/>
        <v>0</v>
      </c>
      <c r="R810" s="153">
        <f t="shared" si="78"/>
        <v>0</v>
      </c>
      <c r="S810" s="154">
        <f t="shared" si="79"/>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hidden="1" customHeight="1">
      <c r="A811" s="157"/>
      <c r="B811" s="158"/>
      <c r="C811" s="159"/>
      <c r="D811" s="157"/>
      <c r="E811" s="157"/>
      <c r="F811" s="157"/>
      <c r="G811" s="157"/>
      <c r="H811" s="157"/>
      <c r="I811" s="157"/>
      <c r="J811" s="157"/>
      <c r="K811" s="157"/>
      <c r="L811" s="153">
        <f t="shared" si="75"/>
        <v>0</v>
      </c>
      <c r="M811" s="154">
        <f t="shared" si="76"/>
        <v>0</v>
      </c>
      <c r="N811" s="155">
        <f>+IF(OR($Q811=Parametres!$G$2,$Q811=Parametres!$G$3),I811,C811)</f>
        <v>0</v>
      </c>
      <c r="O811" s="155">
        <f>+IF(OR($Q811=Parametres!$G$2,$Q811=Parametres!$G$3),J811,D811)</f>
        <v>0</v>
      </c>
      <c r="P811" s="155">
        <f>+IF(OR($Q811=Parametres!$G$2,$Q811=Parametres!$G$3),K811,E811)</f>
        <v>0</v>
      </c>
      <c r="Q811" s="154">
        <f t="shared" si="77"/>
        <v>0</v>
      </c>
      <c r="R811" s="153">
        <f t="shared" si="78"/>
        <v>0</v>
      </c>
      <c r="S811" s="154">
        <f t="shared" si="79"/>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hidden="1" customHeight="1">
      <c r="A812" s="157"/>
      <c r="B812" s="158"/>
      <c r="C812" s="159"/>
      <c r="D812" s="157"/>
      <c r="E812" s="157"/>
      <c r="F812" s="157"/>
      <c r="G812" s="157"/>
      <c r="H812" s="157"/>
      <c r="I812" s="157"/>
      <c r="J812" s="157"/>
      <c r="K812" s="157"/>
      <c r="L812" s="153">
        <f t="shared" si="75"/>
        <v>0</v>
      </c>
      <c r="M812" s="154">
        <f t="shared" si="76"/>
        <v>0</v>
      </c>
      <c r="N812" s="155">
        <f>+IF(OR($Q812=Parametres!$G$2,$Q812=Parametres!$G$3),I812,C812)</f>
        <v>0</v>
      </c>
      <c r="O812" s="155">
        <f>+IF(OR($Q812=Parametres!$G$2,$Q812=Parametres!$G$3),J812,D812)</f>
        <v>0</v>
      </c>
      <c r="P812" s="155">
        <f>+IF(OR($Q812=Parametres!$G$2,$Q812=Parametres!$G$3),K812,E812)</f>
        <v>0</v>
      </c>
      <c r="Q812" s="154">
        <f t="shared" si="77"/>
        <v>0</v>
      </c>
      <c r="R812" s="153">
        <f t="shared" si="78"/>
        <v>0</v>
      </c>
      <c r="S812" s="154">
        <f t="shared" si="79"/>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hidden="1" customHeight="1">
      <c r="A813" s="157"/>
      <c r="B813" s="158"/>
      <c r="C813" s="159"/>
      <c r="D813" s="157"/>
      <c r="E813" s="157"/>
      <c r="F813" s="157"/>
      <c r="G813" s="157"/>
      <c r="H813" s="157"/>
      <c r="I813" s="157"/>
      <c r="J813" s="157"/>
      <c r="K813" s="157"/>
      <c r="L813" s="153">
        <f t="shared" si="75"/>
        <v>0</v>
      </c>
      <c r="M813" s="154">
        <f t="shared" si="76"/>
        <v>0</v>
      </c>
      <c r="N813" s="155">
        <f>+IF(OR($Q813=Parametres!$G$2,$Q813=Parametres!$G$3),I813,C813)</f>
        <v>0</v>
      </c>
      <c r="O813" s="155">
        <f>+IF(OR($Q813=Parametres!$G$2,$Q813=Parametres!$G$3),J813,D813)</f>
        <v>0</v>
      </c>
      <c r="P813" s="155">
        <f>+IF(OR($Q813=Parametres!$G$2,$Q813=Parametres!$G$3),K813,E813)</f>
        <v>0</v>
      </c>
      <c r="Q813" s="154">
        <f t="shared" si="77"/>
        <v>0</v>
      </c>
      <c r="R813" s="153">
        <f t="shared" si="78"/>
        <v>0</v>
      </c>
      <c r="S813" s="154">
        <f t="shared" si="79"/>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hidden="1" customHeight="1">
      <c r="A814" s="157"/>
      <c r="B814" s="158"/>
      <c r="C814" s="159"/>
      <c r="D814" s="157"/>
      <c r="E814" s="157"/>
      <c r="F814" s="157"/>
      <c r="G814" s="157"/>
      <c r="H814" s="157"/>
      <c r="I814" s="157"/>
      <c r="J814" s="157"/>
      <c r="K814" s="157"/>
      <c r="L814" s="153">
        <f t="shared" si="75"/>
        <v>0</v>
      </c>
      <c r="M814" s="154">
        <f t="shared" si="76"/>
        <v>0</v>
      </c>
      <c r="N814" s="155">
        <f>+IF(OR($Q814=Parametres!$G$2,$Q814=Parametres!$G$3),I814,C814)</f>
        <v>0</v>
      </c>
      <c r="O814" s="155">
        <f>+IF(OR($Q814=Parametres!$G$2,$Q814=Parametres!$G$3),J814,D814)</f>
        <v>0</v>
      </c>
      <c r="P814" s="155">
        <f>+IF(OR($Q814=Parametres!$G$2,$Q814=Parametres!$G$3),K814,E814)</f>
        <v>0</v>
      </c>
      <c r="Q814" s="154">
        <f t="shared" si="77"/>
        <v>0</v>
      </c>
      <c r="R814" s="153">
        <f t="shared" si="78"/>
        <v>0</v>
      </c>
      <c r="S814" s="154">
        <f t="shared" si="79"/>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hidden="1" customHeight="1">
      <c r="A815" s="157"/>
      <c r="B815" s="158"/>
      <c r="C815" s="159"/>
      <c r="D815" s="157"/>
      <c r="E815" s="157"/>
      <c r="F815" s="157"/>
      <c r="G815" s="157"/>
      <c r="H815" s="157"/>
      <c r="I815" s="157"/>
      <c r="J815" s="157"/>
      <c r="K815" s="157"/>
      <c r="L815" s="153">
        <f t="shared" si="75"/>
        <v>0</v>
      </c>
      <c r="M815" s="154">
        <f t="shared" si="76"/>
        <v>0</v>
      </c>
      <c r="N815" s="155">
        <f>+IF(OR($Q815=Parametres!$G$2,$Q815=Parametres!$G$3),I815,C815)</f>
        <v>0</v>
      </c>
      <c r="O815" s="155">
        <f>+IF(OR($Q815=Parametres!$G$2,$Q815=Parametres!$G$3),J815,D815)</f>
        <v>0</v>
      </c>
      <c r="P815" s="155">
        <f>+IF(OR($Q815=Parametres!$G$2,$Q815=Parametres!$G$3),K815,E815)</f>
        <v>0</v>
      </c>
      <c r="Q815" s="154">
        <f t="shared" si="77"/>
        <v>0</v>
      </c>
      <c r="R815" s="153">
        <f t="shared" si="78"/>
        <v>0</v>
      </c>
      <c r="S815" s="154">
        <f t="shared" si="79"/>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hidden="1" customHeight="1">
      <c r="A816" s="157"/>
      <c r="B816" s="158"/>
      <c r="C816" s="159"/>
      <c r="D816" s="157"/>
      <c r="E816" s="157"/>
      <c r="F816" s="157"/>
      <c r="G816" s="157"/>
      <c r="H816" s="157"/>
      <c r="I816" s="157"/>
      <c r="J816" s="157"/>
      <c r="K816" s="157"/>
      <c r="L816" s="153">
        <f t="shared" si="75"/>
        <v>0</v>
      </c>
      <c r="M816" s="154">
        <f t="shared" si="76"/>
        <v>0</v>
      </c>
      <c r="N816" s="155">
        <f>+IF(OR($Q816=Parametres!$G$2,$Q816=Parametres!$G$3),I816,C816)</f>
        <v>0</v>
      </c>
      <c r="O816" s="155">
        <f>+IF(OR($Q816=Parametres!$G$2,$Q816=Parametres!$G$3),J816,D816)</f>
        <v>0</v>
      </c>
      <c r="P816" s="155">
        <f>+IF(OR($Q816=Parametres!$G$2,$Q816=Parametres!$G$3),K816,E816)</f>
        <v>0</v>
      </c>
      <c r="Q816" s="154">
        <f t="shared" si="77"/>
        <v>0</v>
      </c>
      <c r="R816" s="153">
        <f t="shared" si="78"/>
        <v>0</v>
      </c>
      <c r="S816" s="154">
        <f t="shared" si="79"/>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hidden="1" customHeight="1">
      <c r="A817" s="157"/>
      <c r="B817" s="158"/>
      <c r="C817" s="159"/>
      <c r="D817" s="157"/>
      <c r="E817" s="157"/>
      <c r="F817" s="157"/>
      <c r="G817" s="157"/>
      <c r="H817" s="157"/>
      <c r="I817" s="157"/>
      <c r="J817" s="157"/>
      <c r="K817" s="157"/>
      <c r="L817" s="153">
        <f t="shared" si="75"/>
        <v>0</v>
      </c>
      <c r="M817" s="154">
        <f t="shared" si="76"/>
        <v>0</v>
      </c>
      <c r="N817" s="155">
        <f>+IF(OR($Q817=Parametres!$G$2,$Q817=Parametres!$G$3),I817,C817)</f>
        <v>0</v>
      </c>
      <c r="O817" s="155">
        <f>+IF(OR($Q817=Parametres!$G$2,$Q817=Parametres!$G$3),J817,D817)</f>
        <v>0</v>
      </c>
      <c r="P817" s="155">
        <f>+IF(OR($Q817=Parametres!$G$2,$Q817=Parametres!$G$3),K817,E817)</f>
        <v>0</v>
      </c>
      <c r="Q817" s="154">
        <f t="shared" si="77"/>
        <v>0</v>
      </c>
      <c r="R817" s="153">
        <f t="shared" si="78"/>
        <v>0</v>
      </c>
      <c r="S817" s="154">
        <f t="shared" si="79"/>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hidden="1" customHeight="1">
      <c r="A818" s="157"/>
      <c r="B818" s="158"/>
      <c r="C818" s="159"/>
      <c r="D818" s="157"/>
      <c r="E818" s="157"/>
      <c r="F818" s="157"/>
      <c r="G818" s="157"/>
      <c r="H818" s="157"/>
      <c r="I818" s="157"/>
      <c r="J818" s="157"/>
      <c r="K818" s="157"/>
      <c r="L818" s="153">
        <f t="shared" si="75"/>
        <v>0</v>
      </c>
      <c r="M818" s="154">
        <f t="shared" si="76"/>
        <v>0</v>
      </c>
      <c r="N818" s="155">
        <f>+IF(OR($Q818=Parametres!$G$2,$Q818=Parametres!$G$3),I818,C818)</f>
        <v>0</v>
      </c>
      <c r="O818" s="155">
        <f>+IF(OR($Q818=Parametres!$G$2,$Q818=Parametres!$G$3),J818,D818)</f>
        <v>0</v>
      </c>
      <c r="P818" s="155">
        <f>+IF(OR($Q818=Parametres!$G$2,$Q818=Parametres!$G$3),K818,E818)</f>
        <v>0</v>
      </c>
      <c r="Q818" s="154">
        <f t="shared" si="77"/>
        <v>0</v>
      </c>
      <c r="R818" s="153">
        <f t="shared" si="78"/>
        <v>0</v>
      </c>
      <c r="S818" s="154">
        <f t="shared" si="79"/>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hidden="1" customHeight="1">
      <c r="A819" s="157"/>
      <c r="B819" s="158"/>
      <c r="C819" s="159"/>
      <c r="D819" s="157"/>
      <c r="E819" s="157"/>
      <c r="F819" s="157"/>
      <c r="G819" s="157"/>
      <c r="H819" s="157"/>
      <c r="I819" s="157"/>
      <c r="J819" s="157"/>
      <c r="K819" s="157"/>
      <c r="L819" s="153">
        <f t="shared" si="75"/>
        <v>0</v>
      </c>
      <c r="M819" s="154">
        <f t="shared" si="76"/>
        <v>0</v>
      </c>
      <c r="N819" s="155">
        <f>+IF(OR($Q819=Parametres!$G$2,$Q819=Parametres!$G$3),I819,C819)</f>
        <v>0</v>
      </c>
      <c r="O819" s="155">
        <f>+IF(OR($Q819=Parametres!$G$2,$Q819=Parametres!$G$3),J819,D819)</f>
        <v>0</v>
      </c>
      <c r="P819" s="155">
        <f>+IF(OR($Q819=Parametres!$G$2,$Q819=Parametres!$G$3),K819,E819)</f>
        <v>0</v>
      </c>
      <c r="Q819" s="154">
        <f t="shared" si="77"/>
        <v>0</v>
      </c>
      <c r="R819" s="153">
        <f t="shared" si="78"/>
        <v>0</v>
      </c>
      <c r="S819" s="154">
        <f t="shared" si="79"/>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hidden="1" customHeight="1">
      <c r="A820" s="157"/>
      <c r="B820" s="158"/>
      <c r="C820" s="159"/>
      <c r="D820" s="157"/>
      <c r="E820" s="157"/>
      <c r="F820" s="157"/>
      <c r="G820" s="157"/>
      <c r="H820" s="157"/>
      <c r="I820" s="157"/>
      <c r="J820" s="157"/>
      <c r="K820" s="157"/>
      <c r="L820" s="153">
        <f t="shared" si="75"/>
        <v>0</v>
      </c>
      <c r="M820" s="154">
        <f t="shared" si="76"/>
        <v>0</v>
      </c>
      <c r="N820" s="155">
        <f>+IF(OR($Q820=Parametres!$G$2,$Q820=Parametres!$G$3),I820,C820)</f>
        <v>0</v>
      </c>
      <c r="O820" s="155">
        <f>+IF(OR($Q820=Parametres!$G$2,$Q820=Parametres!$G$3),J820,D820)</f>
        <v>0</v>
      </c>
      <c r="P820" s="155">
        <f>+IF(OR($Q820=Parametres!$G$2,$Q820=Parametres!$G$3),K820,E820)</f>
        <v>0</v>
      </c>
      <c r="Q820" s="154">
        <f t="shared" si="77"/>
        <v>0</v>
      </c>
      <c r="R820" s="153">
        <f t="shared" si="78"/>
        <v>0</v>
      </c>
      <c r="S820" s="154">
        <f t="shared" si="79"/>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hidden="1" customHeight="1">
      <c r="A821" s="157"/>
      <c r="B821" s="158"/>
      <c r="C821" s="159"/>
      <c r="D821" s="157"/>
      <c r="E821" s="157"/>
      <c r="F821" s="157"/>
      <c r="G821" s="157"/>
      <c r="H821" s="157"/>
      <c r="I821" s="157"/>
      <c r="J821" s="157"/>
      <c r="K821" s="157"/>
      <c r="L821" s="153">
        <f t="shared" si="75"/>
        <v>0</v>
      </c>
      <c r="M821" s="154">
        <f t="shared" si="76"/>
        <v>0</v>
      </c>
      <c r="N821" s="155">
        <f>+IF(OR($Q821=Parametres!$G$2,$Q821=Parametres!$G$3),I821,C821)</f>
        <v>0</v>
      </c>
      <c r="O821" s="155">
        <f>+IF(OR($Q821=Parametres!$G$2,$Q821=Parametres!$G$3),J821,D821)</f>
        <v>0</v>
      </c>
      <c r="P821" s="155">
        <f>+IF(OR($Q821=Parametres!$G$2,$Q821=Parametres!$G$3),K821,E821)</f>
        <v>0</v>
      </c>
      <c r="Q821" s="154">
        <f t="shared" si="77"/>
        <v>0</v>
      </c>
      <c r="R821" s="153">
        <f t="shared" si="78"/>
        <v>0</v>
      </c>
      <c r="S821" s="154">
        <f t="shared" si="79"/>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hidden="1" customHeight="1">
      <c r="A822" s="157"/>
      <c r="B822" s="158"/>
      <c r="C822" s="159"/>
      <c r="D822" s="157"/>
      <c r="E822" s="157"/>
      <c r="F822" s="157"/>
      <c r="G822" s="157"/>
      <c r="H822" s="157"/>
      <c r="I822" s="157"/>
      <c r="J822" s="157"/>
      <c r="K822" s="157"/>
      <c r="L822" s="153">
        <f t="shared" si="75"/>
        <v>0</v>
      </c>
      <c r="M822" s="154">
        <f t="shared" si="76"/>
        <v>0</v>
      </c>
      <c r="N822" s="155">
        <f>+IF(OR($Q822=Parametres!$G$2,$Q822=Parametres!$G$3),I822,C822)</f>
        <v>0</v>
      </c>
      <c r="O822" s="155">
        <f>+IF(OR($Q822=Parametres!$G$2,$Q822=Parametres!$G$3),J822,D822)</f>
        <v>0</v>
      </c>
      <c r="P822" s="155">
        <f>+IF(OR($Q822=Parametres!$G$2,$Q822=Parametres!$G$3),K822,E822)</f>
        <v>0</v>
      </c>
      <c r="Q822" s="154">
        <f t="shared" si="77"/>
        <v>0</v>
      </c>
      <c r="R822" s="153">
        <f t="shared" si="78"/>
        <v>0</v>
      </c>
      <c r="S822" s="154">
        <f t="shared" si="79"/>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hidden="1" customHeight="1">
      <c r="A823" s="157"/>
      <c r="B823" s="158"/>
      <c r="C823" s="159"/>
      <c r="D823" s="157"/>
      <c r="E823" s="157"/>
      <c r="F823" s="157"/>
      <c r="G823" s="157"/>
      <c r="H823" s="157"/>
      <c r="I823" s="157"/>
      <c r="J823" s="157"/>
      <c r="K823" s="157"/>
      <c r="L823" s="153">
        <f t="shared" si="75"/>
        <v>0</v>
      </c>
      <c r="M823" s="154">
        <f t="shared" si="76"/>
        <v>0</v>
      </c>
      <c r="N823" s="155">
        <f>+IF(OR($Q823=Parametres!$G$2,$Q823=Parametres!$G$3),I823,C823)</f>
        <v>0</v>
      </c>
      <c r="O823" s="155">
        <f>+IF(OR($Q823=Parametres!$G$2,$Q823=Parametres!$G$3),J823,D823)</f>
        <v>0</v>
      </c>
      <c r="P823" s="155">
        <f>+IF(OR($Q823=Parametres!$G$2,$Q823=Parametres!$G$3),K823,E823)</f>
        <v>0</v>
      </c>
      <c r="Q823" s="154">
        <f t="shared" si="77"/>
        <v>0</v>
      </c>
      <c r="R823" s="153">
        <f t="shared" si="78"/>
        <v>0</v>
      </c>
      <c r="S823" s="154">
        <f t="shared" si="79"/>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hidden="1" customHeight="1">
      <c r="A824" s="157"/>
      <c r="B824" s="158"/>
      <c r="C824" s="159"/>
      <c r="D824" s="157"/>
      <c r="E824" s="157"/>
      <c r="F824" s="157"/>
      <c r="G824" s="157"/>
      <c r="H824" s="157"/>
      <c r="I824" s="157"/>
      <c r="J824" s="157"/>
      <c r="K824" s="157"/>
      <c r="L824" s="153">
        <f t="shared" si="75"/>
        <v>0</v>
      </c>
      <c r="M824" s="154">
        <f t="shared" si="76"/>
        <v>0</v>
      </c>
      <c r="N824" s="155">
        <f>+IF(OR($Q824=Parametres!$G$2,$Q824=Parametres!$G$3),I824,C824)</f>
        <v>0</v>
      </c>
      <c r="O824" s="155">
        <f>+IF(OR($Q824=Parametres!$G$2,$Q824=Parametres!$G$3),J824,D824)</f>
        <v>0</v>
      </c>
      <c r="P824" s="155">
        <f>+IF(OR($Q824=Parametres!$G$2,$Q824=Parametres!$G$3),K824,E824)</f>
        <v>0</v>
      </c>
      <c r="Q824" s="154">
        <f t="shared" si="77"/>
        <v>0</v>
      </c>
      <c r="R824" s="153">
        <f t="shared" si="78"/>
        <v>0</v>
      </c>
      <c r="S824" s="154">
        <f t="shared" si="79"/>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hidden="1" customHeight="1">
      <c r="A825" s="157"/>
      <c r="B825" s="158"/>
      <c r="C825" s="159"/>
      <c r="D825" s="157"/>
      <c r="E825" s="157"/>
      <c r="F825" s="157"/>
      <c r="G825" s="157"/>
      <c r="H825" s="157"/>
      <c r="I825" s="157"/>
      <c r="J825" s="157"/>
      <c r="K825" s="157"/>
      <c r="L825" s="153">
        <f t="shared" si="75"/>
        <v>0</v>
      </c>
      <c r="M825" s="154">
        <f t="shared" si="76"/>
        <v>0</v>
      </c>
      <c r="N825" s="155">
        <f>+IF(OR($Q825=Parametres!$G$2,$Q825=Parametres!$G$3),I825,C825)</f>
        <v>0</v>
      </c>
      <c r="O825" s="155">
        <f>+IF(OR($Q825=Parametres!$G$2,$Q825=Parametres!$G$3),J825,D825)</f>
        <v>0</v>
      </c>
      <c r="P825" s="155">
        <f>+IF(OR($Q825=Parametres!$G$2,$Q825=Parametres!$G$3),K825,E825)</f>
        <v>0</v>
      </c>
      <c r="Q825" s="154">
        <f t="shared" si="77"/>
        <v>0</v>
      </c>
      <c r="R825" s="153">
        <f t="shared" si="78"/>
        <v>0</v>
      </c>
      <c r="S825" s="154">
        <f t="shared" si="79"/>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hidden="1" customHeight="1">
      <c r="A826" s="157"/>
      <c r="B826" s="158"/>
      <c r="C826" s="159"/>
      <c r="D826" s="157"/>
      <c r="E826" s="157"/>
      <c r="F826" s="157"/>
      <c r="G826" s="157"/>
      <c r="H826" s="157"/>
      <c r="I826" s="157"/>
      <c r="J826" s="157"/>
      <c r="K826" s="157"/>
      <c r="L826" s="153">
        <f t="shared" si="75"/>
        <v>0</v>
      </c>
      <c r="M826" s="154">
        <f t="shared" si="76"/>
        <v>0</v>
      </c>
      <c r="N826" s="155">
        <f>+IF(OR($Q826=Parametres!$G$2,$Q826=Parametres!$G$3),I826,C826)</f>
        <v>0</v>
      </c>
      <c r="O826" s="155">
        <f>+IF(OR($Q826=Parametres!$G$2,$Q826=Parametres!$G$3),J826,D826)</f>
        <v>0</v>
      </c>
      <c r="P826" s="155">
        <f>+IF(OR($Q826=Parametres!$G$2,$Q826=Parametres!$G$3),K826,E826)</f>
        <v>0</v>
      </c>
      <c r="Q826" s="154">
        <f t="shared" si="77"/>
        <v>0</v>
      </c>
      <c r="R826" s="153">
        <f t="shared" si="78"/>
        <v>0</v>
      </c>
      <c r="S826" s="154">
        <f t="shared" si="79"/>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hidden="1" customHeight="1">
      <c r="A827" s="157"/>
      <c r="B827" s="158"/>
      <c r="C827" s="159"/>
      <c r="D827" s="157"/>
      <c r="E827" s="157"/>
      <c r="F827" s="157"/>
      <c r="G827" s="157"/>
      <c r="H827" s="157"/>
      <c r="I827" s="157"/>
      <c r="J827" s="157"/>
      <c r="K827" s="157"/>
      <c r="L827" s="153">
        <f t="shared" si="75"/>
        <v>0</v>
      </c>
      <c r="M827" s="154">
        <f t="shared" si="76"/>
        <v>0</v>
      </c>
      <c r="N827" s="155">
        <f>+IF(OR($Q827=Parametres!$G$2,$Q827=Parametres!$G$3),I827,C827)</f>
        <v>0</v>
      </c>
      <c r="O827" s="155">
        <f>+IF(OR($Q827=Parametres!$G$2,$Q827=Parametres!$G$3),J827,D827)</f>
        <v>0</v>
      </c>
      <c r="P827" s="155">
        <f>+IF(OR($Q827=Parametres!$G$2,$Q827=Parametres!$G$3),K827,E827)</f>
        <v>0</v>
      </c>
      <c r="Q827" s="154">
        <f t="shared" si="77"/>
        <v>0</v>
      </c>
      <c r="R827" s="153">
        <f t="shared" si="78"/>
        <v>0</v>
      </c>
      <c r="S827" s="154">
        <f t="shared" si="79"/>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hidden="1" customHeight="1">
      <c r="A828" s="157"/>
      <c r="B828" s="158"/>
      <c r="C828" s="159"/>
      <c r="D828" s="157"/>
      <c r="E828" s="157"/>
      <c r="F828" s="157"/>
      <c r="G828" s="157"/>
      <c r="H828" s="157"/>
      <c r="I828" s="157"/>
      <c r="J828" s="157"/>
      <c r="K828" s="157"/>
      <c r="L828" s="153">
        <f t="shared" si="75"/>
        <v>0</v>
      </c>
      <c r="M828" s="154">
        <f t="shared" si="76"/>
        <v>0</v>
      </c>
      <c r="N828" s="155">
        <f>+IF(OR($Q828=Parametres!$G$2,$Q828=Parametres!$G$3),I828,C828)</f>
        <v>0</v>
      </c>
      <c r="O828" s="155">
        <f>+IF(OR($Q828=Parametres!$G$2,$Q828=Parametres!$G$3),J828,D828)</f>
        <v>0</v>
      </c>
      <c r="P828" s="155">
        <f>+IF(OR($Q828=Parametres!$G$2,$Q828=Parametres!$G$3),K828,E828)</f>
        <v>0</v>
      </c>
      <c r="Q828" s="154">
        <f t="shared" si="77"/>
        <v>0</v>
      </c>
      <c r="R828" s="153">
        <f t="shared" si="78"/>
        <v>0</v>
      </c>
      <c r="S828" s="154">
        <f t="shared" si="79"/>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hidden="1" customHeight="1">
      <c r="A829" s="157"/>
      <c r="B829" s="158"/>
      <c r="C829" s="159"/>
      <c r="D829" s="157"/>
      <c r="E829" s="157"/>
      <c r="F829" s="157"/>
      <c r="G829" s="157"/>
      <c r="H829" s="157"/>
      <c r="I829" s="157"/>
      <c r="J829" s="157"/>
      <c r="K829" s="157"/>
      <c r="L829" s="153">
        <f t="shared" si="75"/>
        <v>0</v>
      </c>
      <c r="M829" s="154">
        <f t="shared" si="76"/>
        <v>0</v>
      </c>
      <c r="N829" s="155">
        <f>+IF(OR($Q829=Parametres!$G$2,$Q829=Parametres!$G$3),I829,C829)</f>
        <v>0</v>
      </c>
      <c r="O829" s="155">
        <f>+IF(OR($Q829=Parametres!$G$2,$Q829=Parametres!$G$3),J829,D829)</f>
        <v>0</v>
      </c>
      <c r="P829" s="155">
        <f>+IF(OR($Q829=Parametres!$G$2,$Q829=Parametres!$G$3),K829,E829)</f>
        <v>0</v>
      </c>
      <c r="Q829" s="154">
        <f t="shared" si="77"/>
        <v>0</v>
      </c>
      <c r="R829" s="153">
        <f t="shared" si="78"/>
        <v>0</v>
      </c>
      <c r="S829" s="154">
        <f t="shared" si="79"/>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hidden="1" customHeight="1">
      <c r="A830" s="157"/>
      <c r="B830" s="158"/>
      <c r="C830" s="159"/>
      <c r="D830" s="157"/>
      <c r="E830" s="157"/>
      <c r="F830" s="157"/>
      <c r="G830" s="157"/>
      <c r="H830" s="157"/>
      <c r="I830" s="157"/>
      <c r="J830" s="157"/>
      <c r="K830" s="157"/>
      <c r="L830" s="153">
        <f t="shared" si="75"/>
        <v>0</v>
      </c>
      <c r="M830" s="154">
        <f t="shared" si="76"/>
        <v>0</v>
      </c>
      <c r="N830" s="155">
        <f>+IF(OR($Q830=Parametres!$G$2,$Q830=Parametres!$G$3),I830,C830)</f>
        <v>0</v>
      </c>
      <c r="O830" s="155">
        <f>+IF(OR($Q830=Parametres!$G$2,$Q830=Parametres!$G$3),J830,D830)</f>
        <v>0</v>
      </c>
      <c r="P830" s="155">
        <f>+IF(OR($Q830=Parametres!$G$2,$Q830=Parametres!$G$3),K830,E830)</f>
        <v>0</v>
      </c>
      <c r="Q830" s="154">
        <f t="shared" si="77"/>
        <v>0</v>
      </c>
      <c r="R830" s="153">
        <f t="shared" si="78"/>
        <v>0</v>
      </c>
      <c r="S830" s="154">
        <f t="shared" si="79"/>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hidden="1" customHeight="1">
      <c r="A831" s="157"/>
      <c r="B831" s="158"/>
      <c r="C831" s="159"/>
      <c r="D831" s="157"/>
      <c r="E831" s="157"/>
      <c r="F831" s="157"/>
      <c r="G831" s="157"/>
      <c r="H831" s="157"/>
      <c r="I831" s="157"/>
      <c r="J831" s="157"/>
      <c r="K831" s="157"/>
      <c r="L831" s="153">
        <f t="shared" si="75"/>
        <v>0</v>
      </c>
      <c r="M831" s="154">
        <f t="shared" si="76"/>
        <v>0</v>
      </c>
      <c r="N831" s="155">
        <f>+IF(OR($Q831=Parametres!$G$2,$Q831=Parametres!$G$3),I831,C831)</f>
        <v>0</v>
      </c>
      <c r="O831" s="155">
        <f>+IF(OR($Q831=Parametres!$G$2,$Q831=Parametres!$G$3),J831,D831)</f>
        <v>0</v>
      </c>
      <c r="P831" s="155">
        <f>+IF(OR($Q831=Parametres!$G$2,$Q831=Parametres!$G$3),K831,E831)</f>
        <v>0</v>
      </c>
      <c r="Q831" s="154">
        <f t="shared" si="77"/>
        <v>0</v>
      </c>
      <c r="R831" s="153">
        <f t="shared" si="78"/>
        <v>0</v>
      </c>
      <c r="S831" s="154">
        <f t="shared" si="79"/>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hidden="1" customHeight="1">
      <c r="A832" s="157"/>
      <c r="B832" s="158"/>
      <c r="C832" s="159"/>
      <c r="D832" s="157"/>
      <c r="E832" s="157"/>
      <c r="F832" s="157"/>
      <c r="G832" s="157"/>
      <c r="H832" s="157"/>
      <c r="I832" s="157"/>
      <c r="J832" s="157"/>
      <c r="K832" s="157"/>
      <c r="L832" s="153">
        <f t="shared" si="75"/>
        <v>0</v>
      </c>
      <c r="M832" s="154">
        <f t="shared" si="76"/>
        <v>0</v>
      </c>
      <c r="N832" s="155">
        <f>+IF(OR($Q832=Parametres!$G$2,$Q832=Parametres!$G$3),I832,C832)</f>
        <v>0</v>
      </c>
      <c r="O832" s="155">
        <f>+IF(OR($Q832=Parametres!$G$2,$Q832=Parametres!$G$3),J832,D832)</f>
        <v>0</v>
      </c>
      <c r="P832" s="155">
        <f>+IF(OR($Q832=Parametres!$G$2,$Q832=Parametres!$G$3),K832,E832)</f>
        <v>0</v>
      </c>
      <c r="Q832" s="154">
        <f t="shared" si="77"/>
        <v>0</v>
      </c>
      <c r="R832" s="153">
        <f t="shared" si="78"/>
        <v>0</v>
      </c>
      <c r="S832" s="154">
        <f t="shared" si="79"/>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hidden="1" customHeight="1">
      <c r="A833" s="157"/>
      <c r="B833" s="158"/>
      <c r="C833" s="159"/>
      <c r="D833" s="157"/>
      <c r="E833" s="157"/>
      <c r="F833" s="157"/>
      <c r="G833" s="157"/>
      <c r="H833" s="157"/>
      <c r="I833" s="157"/>
      <c r="J833" s="157"/>
      <c r="K833" s="157"/>
      <c r="L833" s="153">
        <f t="shared" si="75"/>
        <v>0</v>
      </c>
      <c r="M833" s="154">
        <f t="shared" si="76"/>
        <v>0</v>
      </c>
      <c r="N833" s="155">
        <f>+IF(OR($Q833=Parametres!$G$2,$Q833=Parametres!$G$3),I833,C833)</f>
        <v>0</v>
      </c>
      <c r="O833" s="155">
        <f>+IF(OR($Q833=Parametres!$G$2,$Q833=Parametres!$G$3),J833,D833)</f>
        <v>0</v>
      </c>
      <c r="P833" s="155">
        <f>+IF(OR($Q833=Parametres!$G$2,$Q833=Parametres!$G$3),K833,E833)</f>
        <v>0</v>
      </c>
      <c r="Q833" s="154">
        <f t="shared" si="77"/>
        <v>0</v>
      </c>
      <c r="R833" s="153">
        <f t="shared" si="78"/>
        <v>0</v>
      </c>
      <c r="S833" s="154">
        <f t="shared" si="79"/>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hidden="1" customHeight="1">
      <c r="A834" s="157"/>
      <c r="B834" s="158"/>
      <c r="C834" s="159"/>
      <c r="D834" s="157"/>
      <c r="E834" s="157"/>
      <c r="F834" s="157"/>
      <c r="G834" s="157"/>
      <c r="H834" s="157"/>
      <c r="I834" s="157"/>
      <c r="J834" s="157"/>
      <c r="K834" s="157"/>
      <c r="L834" s="153">
        <f t="shared" ref="L834:L897" si="80">+B834</f>
        <v>0</v>
      </c>
      <c r="M834" s="154">
        <f t="shared" ref="M834:M897" si="81">+A834</f>
        <v>0</v>
      </c>
      <c r="N834" s="155">
        <f>+IF(OR($Q834=Parametres!$G$2,$Q834=Parametres!$G$3),I834,C834)</f>
        <v>0</v>
      </c>
      <c r="O834" s="155">
        <f>+IF(OR($Q834=Parametres!$G$2,$Q834=Parametres!$G$3),J834,D834)</f>
        <v>0</v>
      </c>
      <c r="P834" s="155">
        <f>+IF(OR($Q834=Parametres!$G$2,$Q834=Parametres!$G$3),K834,E834)</f>
        <v>0</v>
      </c>
      <c r="Q834" s="154">
        <f t="shared" ref="Q834:Q897" si="82">+F834</f>
        <v>0</v>
      </c>
      <c r="R834" s="153">
        <f t="shared" ref="R834:R897" si="83">+G834</f>
        <v>0</v>
      </c>
      <c r="S834" s="154">
        <f t="shared" ref="S834:S897" si="84">+H834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hidden="1" customHeight="1">
      <c r="A835" s="157"/>
      <c r="B835" s="158"/>
      <c r="C835" s="159"/>
      <c r="D835" s="157"/>
      <c r="E835" s="157"/>
      <c r="F835" s="157"/>
      <c r="G835" s="157"/>
      <c r="H835" s="157"/>
      <c r="I835" s="157"/>
      <c r="J835" s="157"/>
      <c r="K835" s="157"/>
      <c r="L835" s="153">
        <f t="shared" si="80"/>
        <v>0</v>
      </c>
      <c r="M835" s="154">
        <f t="shared" si="81"/>
        <v>0</v>
      </c>
      <c r="N835" s="155">
        <f>+IF(OR($Q835=Parametres!$G$2,$Q835=Parametres!$G$3),I835,C835)</f>
        <v>0</v>
      </c>
      <c r="O835" s="155">
        <f>+IF(OR($Q835=Parametres!$G$2,$Q835=Parametres!$G$3),J835,D835)</f>
        <v>0</v>
      </c>
      <c r="P835" s="155">
        <f>+IF(OR($Q835=Parametres!$G$2,$Q835=Parametres!$G$3),K835,E835)</f>
        <v>0</v>
      </c>
      <c r="Q835" s="154">
        <f t="shared" si="82"/>
        <v>0</v>
      </c>
      <c r="R835" s="153">
        <f t="shared" si="83"/>
        <v>0</v>
      </c>
      <c r="S835" s="154">
        <f t="shared" si="84"/>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hidden="1" customHeight="1">
      <c r="A836" s="157"/>
      <c r="B836" s="158"/>
      <c r="C836" s="159"/>
      <c r="D836" s="157"/>
      <c r="E836" s="157"/>
      <c r="F836" s="157"/>
      <c r="G836" s="157"/>
      <c r="H836" s="157"/>
      <c r="I836" s="157"/>
      <c r="J836" s="157"/>
      <c r="K836" s="157"/>
      <c r="L836" s="153">
        <f t="shared" si="80"/>
        <v>0</v>
      </c>
      <c r="M836" s="154">
        <f t="shared" si="81"/>
        <v>0</v>
      </c>
      <c r="N836" s="155">
        <f>+IF(OR($Q836=Parametres!$G$2,$Q836=Parametres!$G$3),I836,C836)</f>
        <v>0</v>
      </c>
      <c r="O836" s="155">
        <f>+IF(OR($Q836=Parametres!$G$2,$Q836=Parametres!$G$3),J836,D836)</f>
        <v>0</v>
      </c>
      <c r="P836" s="155">
        <f>+IF(OR($Q836=Parametres!$G$2,$Q836=Parametres!$G$3),K836,E836)</f>
        <v>0</v>
      </c>
      <c r="Q836" s="154">
        <f t="shared" si="82"/>
        <v>0</v>
      </c>
      <c r="R836" s="153">
        <f t="shared" si="83"/>
        <v>0</v>
      </c>
      <c r="S836" s="154">
        <f t="shared" si="84"/>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hidden="1" customHeight="1">
      <c r="A837" s="157"/>
      <c r="B837" s="158"/>
      <c r="C837" s="159"/>
      <c r="D837" s="157"/>
      <c r="E837" s="157"/>
      <c r="F837" s="157"/>
      <c r="G837" s="157"/>
      <c r="H837" s="157"/>
      <c r="I837" s="157"/>
      <c r="J837" s="157"/>
      <c r="K837" s="157"/>
      <c r="L837" s="153">
        <f t="shared" si="80"/>
        <v>0</v>
      </c>
      <c r="M837" s="154">
        <f t="shared" si="81"/>
        <v>0</v>
      </c>
      <c r="N837" s="155">
        <f>+IF(OR($Q837=Parametres!$G$2,$Q837=Parametres!$G$3),I837,C837)</f>
        <v>0</v>
      </c>
      <c r="O837" s="155">
        <f>+IF(OR($Q837=Parametres!$G$2,$Q837=Parametres!$G$3),J837,D837)</f>
        <v>0</v>
      </c>
      <c r="P837" s="155">
        <f>+IF(OR($Q837=Parametres!$G$2,$Q837=Parametres!$G$3),K837,E837)</f>
        <v>0</v>
      </c>
      <c r="Q837" s="154">
        <f t="shared" si="82"/>
        <v>0</v>
      </c>
      <c r="R837" s="153">
        <f t="shared" si="83"/>
        <v>0</v>
      </c>
      <c r="S837" s="154">
        <f t="shared" si="84"/>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hidden="1" customHeight="1">
      <c r="A838" s="157"/>
      <c r="B838" s="158"/>
      <c r="C838" s="159"/>
      <c r="D838" s="157"/>
      <c r="E838" s="157"/>
      <c r="F838" s="157"/>
      <c r="G838" s="157"/>
      <c r="H838" s="157"/>
      <c r="I838" s="157"/>
      <c r="J838" s="157"/>
      <c r="K838" s="157"/>
      <c r="L838" s="153">
        <f t="shared" si="80"/>
        <v>0</v>
      </c>
      <c r="M838" s="154">
        <f t="shared" si="81"/>
        <v>0</v>
      </c>
      <c r="N838" s="155">
        <f>+IF(OR($Q838=Parametres!$G$2,$Q838=Parametres!$G$3),I838,C838)</f>
        <v>0</v>
      </c>
      <c r="O838" s="155">
        <f>+IF(OR($Q838=Parametres!$G$2,$Q838=Parametres!$G$3),J838,D838)</f>
        <v>0</v>
      </c>
      <c r="P838" s="155">
        <f>+IF(OR($Q838=Parametres!$G$2,$Q838=Parametres!$G$3),K838,E838)</f>
        <v>0</v>
      </c>
      <c r="Q838" s="154">
        <f t="shared" si="82"/>
        <v>0</v>
      </c>
      <c r="R838" s="153">
        <f t="shared" si="83"/>
        <v>0</v>
      </c>
      <c r="S838" s="154">
        <f t="shared" si="84"/>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hidden="1" customHeight="1">
      <c r="A839" s="157"/>
      <c r="B839" s="158"/>
      <c r="C839" s="159"/>
      <c r="D839" s="157"/>
      <c r="E839" s="157"/>
      <c r="F839" s="157"/>
      <c r="G839" s="157"/>
      <c r="H839" s="157"/>
      <c r="I839" s="157"/>
      <c r="J839" s="157"/>
      <c r="K839" s="157"/>
      <c r="L839" s="153">
        <f t="shared" si="80"/>
        <v>0</v>
      </c>
      <c r="M839" s="154">
        <f t="shared" si="81"/>
        <v>0</v>
      </c>
      <c r="N839" s="155">
        <f>+IF(OR($Q839=Parametres!$G$2,$Q839=Parametres!$G$3),I839,C839)</f>
        <v>0</v>
      </c>
      <c r="O839" s="155">
        <f>+IF(OR($Q839=Parametres!$G$2,$Q839=Parametres!$G$3),J839,D839)</f>
        <v>0</v>
      </c>
      <c r="P839" s="155">
        <f>+IF(OR($Q839=Parametres!$G$2,$Q839=Parametres!$G$3),K839,E839)</f>
        <v>0</v>
      </c>
      <c r="Q839" s="154">
        <f t="shared" si="82"/>
        <v>0</v>
      </c>
      <c r="R839" s="153">
        <f t="shared" si="83"/>
        <v>0</v>
      </c>
      <c r="S839" s="154">
        <f t="shared" si="84"/>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hidden="1" customHeight="1">
      <c r="A840" s="157"/>
      <c r="B840" s="158"/>
      <c r="C840" s="159"/>
      <c r="D840" s="157"/>
      <c r="E840" s="157"/>
      <c r="F840" s="157"/>
      <c r="G840" s="157"/>
      <c r="H840" s="157"/>
      <c r="I840" s="157"/>
      <c r="J840" s="157"/>
      <c r="K840" s="157"/>
      <c r="L840" s="153">
        <f t="shared" si="80"/>
        <v>0</v>
      </c>
      <c r="M840" s="154">
        <f t="shared" si="81"/>
        <v>0</v>
      </c>
      <c r="N840" s="155">
        <f>+IF(OR($Q840=Parametres!$G$2,$Q840=Parametres!$G$3),I840,C840)</f>
        <v>0</v>
      </c>
      <c r="O840" s="155">
        <f>+IF(OR($Q840=Parametres!$G$2,$Q840=Parametres!$G$3),J840,D840)</f>
        <v>0</v>
      </c>
      <c r="P840" s="155">
        <f>+IF(OR($Q840=Parametres!$G$2,$Q840=Parametres!$G$3),K840,E840)</f>
        <v>0</v>
      </c>
      <c r="Q840" s="154">
        <f t="shared" si="82"/>
        <v>0</v>
      </c>
      <c r="R840" s="153">
        <f t="shared" si="83"/>
        <v>0</v>
      </c>
      <c r="S840" s="154">
        <f t="shared" si="84"/>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hidden="1" customHeight="1">
      <c r="A841" s="157"/>
      <c r="B841" s="158"/>
      <c r="C841" s="159"/>
      <c r="D841" s="157"/>
      <c r="E841" s="157"/>
      <c r="F841" s="157"/>
      <c r="G841" s="157"/>
      <c r="H841" s="157"/>
      <c r="I841" s="157"/>
      <c r="J841" s="157"/>
      <c r="K841" s="157"/>
      <c r="L841" s="153">
        <f t="shared" si="80"/>
        <v>0</v>
      </c>
      <c r="M841" s="154">
        <f t="shared" si="81"/>
        <v>0</v>
      </c>
      <c r="N841" s="155">
        <f>+IF(OR($Q841=Parametres!$G$2,$Q841=Parametres!$G$3),I841,C841)</f>
        <v>0</v>
      </c>
      <c r="O841" s="155">
        <f>+IF(OR($Q841=Parametres!$G$2,$Q841=Parametres!$G$3),J841,D841)</f>
        <v>0</v>
      </c>
      <c r="P841" s="155">
        <f>+IF(OR($Q841=Parametres!$G$2,$Q841=Parametres!$G$3),K841,E841)</f>
        <v>0</v>
      </c>
      <c r="Q841" s="154">
        <f t="shared" si="82"/>
        <v>0</v>
      </c>
      <c r="R841" s="153">
        <f t="shared" si="83"/>
        <v>0</v>
      </c>
      <c r="S841" s="154">
        <f t="shared" si="84"/>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hidden="1" customHeight="1">
      <c r="A842" s="157"/>
      <c r="B842" s="158"/>
      <c r="C842" s="159"/>
      <c r="D842" s="157"/>
      <c r="E842" s="157"/>
      <c r="F842" s="157"/>
      <c r="G842" s="157"/>
      <c r="H842" s="157"/>
      <c r="I842" s="157"/>
      <c r="J842" s="157"/>
      <c r="K842" s="157"/>
      <c r="L842" s="153">
        <f t="shared" si="80"/>
        <v>0</v>
      </c>
      <c r="M842" s="154">
        <f t="shared" si="81"/>
        <v>0</v>
      </c>
      <c r="N842" s="155">
        <f>+IF(OR($Q842=Parametres!$G$2,$Q842=Parametres!$G$3),I842,C842)</f>
        <v>0</v>
      </c>
      <c r="O842" s="155">
        <f>+IF(OR($Q842=Parametres!$G$2,$Q842=Parametres!$G$3),J842,D842)</f>
        <v>0</v>
      </c>
      <c r="P842" s="155">
        <f>+IF(OR($Q842=Parametres!$G$2,$Q842=Parametres!$G$3),K842,E842)</f>
        <v>0</v>
      </c>
      <c r="Q842" s="154">
        <f t="shared" si="82"/>
        <v>0</v>
      </c>
      <c r="R842" s="153">
        <f t="shared" si="83"/>
        <v>0</v>
      </c>
      <c r="S842" s="154">
        <f t="shared" si="84"/>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hidden="1" customHeight="1">
      <c r="A843" s="157"/>
      <c r="B843" s="158"/>
      <c r="C843" s="159"/>
      <c r="D843" s="157"/>
      <c r="E843" s="157"/>
      <c r="F843" s="157"/>
      <c r="G843" s="157"/>
      <c r="H843" s="157"/>
      <c r="I843" s="157"/>
      <c r="J843" s="157"/>
      <c r="K843" s="157"/>
      <c r="L843" s="153">
        <f t="shared" si="80"/>
        <v>0</v>
      </c>
      <c r="M843" s="154">
        <f t="shared" si="81"/>
        <v>0</v>
      </c>
      <c r="N843" s="155">
        <f>+IF(OR($Q843=Parametres!$G$2,$Q843=Parametres!$G$3),I843,C843)</f>
        <v>0</v>
      </c>
      <c r="O843" s="155">
        <f>+IF(OR($Q843=Parametres!$G$2,$Q843=Parametres!$G$3),J843,D843)</f>
        <v>0</v>
      </c>
      <c r="P843" s="155">
        <f>+IF(OR($Q843=Parametres!$G$2,$Q843=Parametres!$G$3),K843,E843)</f>
        <v>0</v>
      </c>
      <c r="Q843" s="154">
        <f t="shared" si="82"/>
        <v>0</v>
      </c>
      <c r="R843" s="153">
        <f t="shared" si="83"/>
        <v>0</v>
      </c>
      <c r="S843" s="154">
        <f t="shared" si="84"/>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hidden="1" customHeight="1">
      <c r="A844" s="157"/>
      <c r="B844" s="158"/>
      <c r="C844" s="159"/>
      <c r="D844" s="157"/>
      <c r="E844" s="157"/>
      <c r="F844" s="157"/>
      <c r="G844" s="157"/>
      <c r="H844" s="157"/>
      <c r="I844" s="157"/>
      <c r="J844" s="157"/>
      <c r="K844" s="157"/>
      <c r="L844" s="153">
        <f t="shared" si="80"/>
        <v>0</v>
      </c>
      <c r="M844" s="154">
        <f t="shared" si="81"/>
        <v>0</v>
      </c>
      <c r="N844" s="155">
        <f>+IF(OR($Q844=Parametres!$G$2,$Q844=Parametres!$G$3),I844,C844)</f>
        <v>0</v>
      </c>
      <c r="O844" s="155">
        <f>+IF(OR($Q844=Parametres!$G$2,$Q844=Parametres!$G$3),J844,D844)</f>
        <v>0</v>
      </c>
      <c r="P844" s="155">
        <f>+IF(OR($Q844=Parametres!$G$2,$Q844=Parametres!$G$3),K844,E844)</f>
        <v>0</v>
      </c>
      <c r="Q844" s="154">
        <f t="shared" si="82"/>
        <v>0</v>
      </c>
      <c r="R844" s="153">
        <f t="shared" si="83"/>
        <v>0</v>
      </c>
      <c r="S844" s="154">
        <f t="shared" si="84"/>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hidden="1" customHeight="1">
      <c r="A845" s="157"/>
      <c r="B845" s="158"/>
      <c r="C845" s="159"/>
      <c r="D845" s="157"/>
      <c r="E845" s="157"/>
      <c r="F845" s="157"/>
      <c r="G845" s="157"/>
      <c r="H845" s="157"/>
      <c r="I845" s="157"/>
      <c r="J845" s="157"/>
      <c r="K845" s="157"/>
      <c r="L845" s="153">
        <f t="shared" si="80"/>
        <v>0</v>
      </c>
      <c r="M845" s="154">
        <f t="shared" si="81"/>
        <v>0</v>
      </c>
      <c r="N845" s="155">
        <f>+IF(OR($Q845=Parametres!$G$2,$Q845=Parametres!$G$3),I845,C845)</f>
        <v>0</v>
      </c>
      <c r="O845" s="155">
        <f>+IF(OR($Q845=Parametres!$G$2,$Q845=Parametres!$G$3),J845,D845)</f>
        <v>0</v>
      </c>
      <c r="P845" s="155">
        <f>+IF(OR($Q845=Parametres!$G$2,$Q845=Parametres!$G$3),K845,E845)</f>
        <v>0</v>
      </c>
      <c r="Q845" s="154">
        <f t="shared" si="82"/>
        <v>0</v>
      </c>
      <c r="R845" s="153">
        <f t="shared" si="83"/>
        <v>0</v>
      </c>
      <c r="S845" s="154">
        <f t="shared" si="84"/>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hidden="1" customHeight="1">
      <c r="A846" s="157"/>
      <c r="B846" s="158"/>
      <c r="C846" s="159"/>
      <c r="D846" s="157"/>
      <c r="E846" s="157"/>
      <c r="F846" s="157"/>
      <c r="G846" s="157"/>
      <c r="H846" s="157"/>
      <c r="I846" s="157"/>
      <c r="J846" s="157"/>
      <c r="K846" s="157"/>
      <c r="L846" s="153">
        <f t="shared" si="80"/>
        <v>0</v>
      </c>
      <c r="M846" s="154">
        <f t="shared" si="81"/>
        <v>0</v>
      </c>
      <c r="N846" s="155">
        <f>+IF(OR($Q846=Parametres!$G$2,$Q846=Parametres!$G$3),I846,C846)</f>
        <v>0</v>
      </c>
      <c r="O846" s="155">
        <f>+IF(OR($Q846=Parametres!$G$2,$Q846=Parametres!$G$3),J846,D846)</f>
        <v>0</v>
      </c>
      <c r="P846" s="155">
        <f>+IF(OR($Q846=Parametres!$G$2,$Q846=Parametres!$G$3),K846,E846)</f>
        <v>0</v>
      </c>
      <c r="Q846" s="154">
        <f t="shared" si="82"/>
        <v>0</v>
      </c>
      <c r="R846" s="153">
        <f t="shared" si="83"/>
        <v>0</v>
      </c>
      <c r="S846" s="154">
        <f t="shared" si="84"/>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hidden="1" customHeight="1">
      <c r="A847" s="157"/>
      <c r="B847" s="158"/>
      <c r="C847" s="159"/>
      <c r="D847" s="157"/>
      <c r="E847" s="157"/>
      <c r="F847" s="157"/>
      <c r="G847" s="157"/>
      <c r="H847" s="157"/>
      <c r="I847" s="157"/>
      <c r="J847" s="157"/>
      <c r="K847" s="157"/>
      <c r="L847" s="153">
        <f t="shared" si="80"/>
        <v>0</v>
      </c>
      <c r="M847" s="154">
        <f t="shared" si="81"/>
        <v>0</v>
      </c>
      <c r="N847" s="155">
        <f>+IF(OR($Q847=Parametres!$G$2,$Q847=Parametres!$G$3),I847,C847)</f>
        <v>0</v>
      </c>
      <c r="O847" s="155">
        <f>+IF(OR($Q847=Parametres!$G$2,$Q847=Parametres!$G$3),J847,D847)</f>
        <v>0</v>
      </c>
      <c r="P847" s="155">
        <f>+IF(OR($Q847=Parametres!$G$2,$Q847=Parametres!$G$3),K847,E847)</f>
        <v>0</v>
      </c>
      <c r="Q847" s="154">
        <f t="shared" si="82"/>
        <v>0</v>
      </c>
      <c r="R847" s="153">
        <f t="shared" si="83"/>
        <v>0</v>
      </c>
      <c r="S847" s="154">
        <f t="shared" si="84"/>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hidden="1" customHeight="1">
      <c r="A848" s="157"/>
      <c r="B848" s="158"/>
      <c r="C848" s="159"/>
      <c r="D848" s="157"/>
      <c r="E848" s="157"/>
      <c r="F848" s="157"/>
      <c r="G848" s="157"/>
      <c r="H848" s="157"/>
      <c r="I848" s="157"/>
      <c r="J848" s="157"/>
      <c r="K848" s="157"/>
      <c r="L848" s="153">
        <f t="shared" si="80"/>
        <v>0</v>
      </c>
      <c r="M848" s="154">
        <f t="shared" si="81"/>
        <v>0</v>
      </c>
      <c r="N848" s="155">
        <f>+IF(OR($Q848=Parametres!$G$2,$Q848=Parametres!$G$3),I848,C848)</f>
        <v>0</v>
      </c>
      <c r="O848" s="155">
        <f>+IF(OR($Q848=Parametres!$G$2,$Q848=Parametres!$G$3),J848,D848)</f>
        <v>0</v>
      </c>
      <c r="P848" s="155">
        <f>+IF(OR($Q848=Parametres!$G$2,$Q848=Parametres!$G$3),K848,E848)</f>
        <v>0</v>
      </c>
      <c r="Q848" s="154">
        <f t="shared" si="82"/>
        <v>0</v>
      </c>
      <c r="R848" s="153">
        <f t="shared" si="83"/>
        <v>0</v>
      </c>
      <c r="S848" s="154">
        <f t="shared" si="84"/>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hidden="1" customHeight="1">
      <c r="A849" s="157"/>
      <c r="B849" s="158"/>
      <c r="C849" s="159"/>
      <c r="D849" s="157"/>
      <c r="E849" s="157"/>
      <c r="F849" s="157"/>
      <c r="G849" s="157"/>
      <c r="H849" s="157"/>
      <c r="I849" s="157"/>
      <c r="J849" s="157"/>
      <c r="K849" s="157"/>
      <c r="L849" s="153">
        <f t="shared" si="80"/>
        <v>0</v>
      </c>
      <c r="M849" s="154">
        <f t="shared" si="81"/>
        <v>0</v>
      </c>
      <c r="N849" s="155">
        <f>+IF(OR($Q849=Parametres!$G$2,$Q849=Parametres!$G$3),I849,C849)</f>
        <v>0</v>
      </c>
      <c r="O849" s="155">
        <f>+IF(OR($Q849=Parametres!$G$2,$Q849=Parametres!$G$3),J849,D849)</f>
        <v>0</v>
      </c>
      <c r="P849" s="155">
        <f>+IF(OR($Q849=Parametres!$G$2,$Q849=Parametres!$G$3),K849,E849)</f>
        <v>0</v>
      </c>
      <c r="Q849" s="154">
        <f t="shared" si="82"/>
        <v>0</v>
      </c>
      <c r="R849" s="153">
        <f t="shared" si="83"/>
        <v>0</v>
      </c>
      <c r="S849" s="154">
        <f t="shared" si="84"/>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hidden="1" customHeight="1">
      <c r="A850" s="157"/>
      <c r="B850" s="158"/>
      <c r="C850" s="159"/>
      <c r="D850" s="157"/>
      <c r="E850" s="157"/>
      <c r="F850" s="157"/>
      <c r="G850" s="157"/>
      <c r="H850" s="157"/>
      <c r="I850" s="157"/>
      <c r="J850" s="157"/>
      <c r="K850" s="157"/>
      <c r="L850" s="153">
        <f t="shared" si="80"/>
        <v>0</v>
      </c>
      <c r="M850" s="154">
        <f t="shared" si="81"/>
        <v>0</v>
      </c>
      <c r="N850" s="155">
        <f>+IF(OR($Q850=Parametres!$G$2,$Q850=Parametres!$G$3),I850,C850)</f>
        <v>0</v>
      </c>
      <c r="O850" s="155">
        <f>+IF(OR($Q850=Parametres!$G$2,$Q850=Parametres!$G$3),J850,D850)</f>
        <v>0</v>
      </c>
      <c r="P850" s="155">
        <f>+IF(OR($Q850=Parametres!$G$2,$Q850=Parametres!$G$3),K850,E850)</f>
        <v>0</v>
      </c>
      <c r="Q850" s="154">
        <f t="shared" si="82"/>
        <v>0</v>
      </c>
      <c r="R850" s="153">
        <f t="shared" si="83"/>
        <v>0</v>
      </c>
      <c r="S850" s="154">
        <f t="shared" si="84"/>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hidden="1" customHeight="1">
      <c r="A851" s="157"/>
      <c r="B851" s="158"/>
      <c r="C851" s="159"/>
      <c r="D851" s="157"/>
      <c r="E851" s="157"/>
      <c r="F851" s="157"/>
      <c r="G851" s="157"/>
      <c r="H851" s="157"/>
      <c r="I851" s="157"/>
      <c r="J851" s="157"/>
      <c r="K851" s="157"/>
      <c r="L851" s="153">
        <f t="shared" si="80"/>
        <v>0</v>
      </c>
      <c r="M851" s="154">
        <f t="shared" si="81"/>
        <v>0</v>
      </c>
      <c r="N851" s="155">
        <f>+IF(OR($Q851=Parametres!$G$2,$Q851=Parametres!$G$3),I851,C851)</f>
        <v>0</v>
      </c>
      <c r="O851" s="155">
        <f>+IF(OR($Q851=Parametres!$G$2,$Q851=Parametres!$G$3),J851,D851)</f>
        <v>0</v>
      </c>
      <c r="P851" s="155">
        <f>+IF(OR($Q851=Parametres!$G$2,$Q851=Parametres!$G$3),K851,E851)</f>
        <v>0</v>
      </c>
      <c r="Q851" s="154">
        <f t="shared" si="82"/>
        <v>0</v>
      </c>
      <c r="R851" s="153">
        <f t="shared" si="83"/>
        <v>0</v>
      </c>
      <c r="S851" s="154">
        <f t="shared" si="84"/>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hidden="1" customHeight="1">
      <c r="A852" s="157"/>
      <c r="B852" s="158"/>
      <c r="C852" s="159"/>
      <c r="D852" s="157"/>
      <c r="E852" s="157"/>
      <c r="F852" s="157"/>
      <c r="G852" s="157"/>
      <c r="H852" s="157"/>
      <c r="I852" s="157"/>
      <c r="J852" s="157"/>
      <c r="K852" s="157"/>
      <c r="L852" s="153">
        <f t="shared" si="80"/>
        <v>0</v>
      </c>
      <c r="M852" s="154">
        <f t="shared" si="81"/>
        <v>0</v>
      </c>
      <c r="N852" s="155">
        <f>+IF(OR($Q852=Parametres!$G$2,$Q852=Parametres!$G$3),I852,C852)</f>
        <v>0</v>
      </c>
      <c r="O852" s="155">
        <f>+IF(OR($Q852=Parametres!$G$2,$Q852=Parametres!$G$3),J852,D852)</f>
        <v>0</v>
      </c>
      <c r="P852" s="155">
        <f>+IF(OR($Q852=Parametres!$G$2,$Q852=Parametres!$G$3),K852,E852)</f>
        <v>0</v>
      </c>
      <c r="Q852" s="154">
        <f t="shared" si="82"/>
        <v>0</v>
      </c>
      <c r="R852" s="153">
        <f t="shared" si="83"/>
        <v>0</v>
      </c>
      <c r="S852" s="154">
        <f t="shared" si="84"/>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hidden="1" customHeight="1">
      <c r="A853" s="157"/>
      <c r="B853" s="158"/>
      <c r="C853" s="159"/>
      <c r="D853" s="157"/>
      <c r="E853" s="157"/>
      <c r="F853" s="157"/>
      <c r="G853" s="157"/>
      <c r="H853" s="157"/>
      <c r="I853" s="157"/>
      <c r="J853" s="157"/>
      <c r="K853" s="157"/>
      <c r="L853" s="153">
        <f t="shared" si="80"/>
        <v>0</v>
      </c>
      <c r="M853" s="154">
        <f t="shared" si="81"/>
        <v>0</v>
      </c>
      <c r="N853" s="155">
        <f>+IF(OR($Q853=Parametres!$G$2,$Q853=Parametres!$G$3),I853,C853)</f>
        <v>0</v>
      </c>
      <c r="O853" s="155">
        <f>+IF(OR($Q853=Parametres!$G$2,$Q853=Parametres!$G$3),J853,D853)</f>
        <v>0</v>
      </c>
      <c r="P853" s="155">
        <f>+IF(OR($Q853=Parametres!$G$2,$Q853=Parametres!$G$3),K853,E853)</f>
        <v>0</v>
      </c>
      <c r="Q853" s="154">
        <f t="shared" si="82"/>
        <v>0</v>
      </c>
      <c r="R853" s="153">
        <f t="shared" si="83"/>
        <v>0</v>
      </c>
      <c r="S853" s="154">
        <f t="shared" si="84"/>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hidden="1" customHeight="1">
      <c r="A854" s="157"/>
      <c r="B854" s="158"/>
      <c r="C854" s="159"/>
      <c r="D854" s="157"/>
      <c r="E854" s="157"/>
      <c r="F854" s="157"/>
      <c r="G854" s="157"/>
      <c r="H854" s="157"/>
      <c r="I854" s="157"/>
      <c r="J854" s="157"/>
      <c r="K854" s="157"/>
      <c r="L854" s="153">
        <f t="shared" si="80"/>
        <v>0</v>
      </c>
      <c r="M854" s="154">
        <f t="shared" si="81"/>
        <v>0</v>
      </c>
      <c r="N854" s="155">
        <f>+IF(OR($Q854=Parametres!$G$2,$Q854=Parametres!$G$3),I854,C854)</f>
        <v>0</v>
      </c>
      <c r="O854" s="155">
        <f>+IF(OR($Q854=Parametres!$G$2,$Q854=Parametres!$G$3),J854,D854)</f>
        <v>0</v>
      </c>
      <c r="P854" s="155">
        <f>+IF(OR($Q854=Parametres!$G$2,$Q854=Parametres!$G$3),K854,E854)</f>
        <v>0</v>
      </c>
      <c r="Q854" s="154">
        <f t="shared" si="82"/>
        <v>0</v>
      </c>
      <c r="R854" s="153">
        <f t="shared" si="83"/>
        <v>0</v>
      </c>
      <c r="S854" s="154">
        <f t="shared" si="84"/>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hidden="1" customHeight="1">
      <c r="A855" s="157"/>
      <c r="B855" s="158"/>
      <c r="C855" s="159"/>
      <c r="D855" s="157"/>
      <c r="E855" s="157"/>
      <c r="F855" s="157"/>
      <c r="G855" s="157"/>
      <c r="H855" s="157"/>
      <c r="I855" s="157"/>
      <c r="J855" s="157"/>
      <c r="K855" s="157"/>
      <c r="L855" s="153">
        <f t="shared" si="80"/>
        <v>0</v>
      </c>
      <c r="M855" s="154">
        <f t="shared" si="81"/>
        <v>0</v>
      </c>
      <c r="N855" s="155">
        <f>+IF(OR($Q855=Parametres!$G$2,$Q855=Parametres!$G$3),I855,C855)</f>
        <v>0</v>
      </c>
      <c r="O855" s="155">
        <f>+IF(OR($Q855=Parametres!$G$2,$Q855=Parametres!$G$3),J855,D855)</f>
        <v>0</v>
      </c>
      <c r="P855" s="155">
        <f>+IF(OR($Q855=Parametres!$G$2,$Q855=Parametres!$G$3),K855,E855)</f>
        <v>0</v>
      </c>
      <c r="Q855" s="154">
        <f t="shared" si="82"/>
        <v>0</v>
      </c>
      <c r="R855" s="153">
        <f t="shared" si="83"/>
        <v>0</v>
      </c>
      <c r="S855" s="154">
        <f t="shared" si="84"/>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hidden="1" customHeight="1">
      <c r="A856" s="157"/>
      <c r="B856" s="158"/>
      <c r="C856" s="159"/>
      <c r="D856" s="157"/>
      <c r="E856" s="157"/>
      <c r="F856" s="157"/>
      <c r="G856" s="157"/>
      <c r="H856" s="157"/>
      <c r="I856" s="157"/>
      <c r="J856" s="157"/>
      <c r="K856" s="157"/>
      <c r="L856" s="153">
        <f t="shared" si="80"/>
        <v>0</v>
      </c>
      <c r="M856" s="154">
        <f t="shared" si="81"/>
        <v>0</v>
      </c>
      <c r="N856" s="155">
        <f>+IF(OR($Q856=Parametres!$G$2,$Q856=Parametres!$G$3),I856,C856)</f>
        <v>0</v>
      </c>
      <c r="O856" s="155">
        <f>+IF(OR($Q856=Parametres!$G$2,$Q856=Parametres!$G$3),J856,D856)</f>
        <v>0</v>
      </c>
      <c r="P856" s="155">
        <f>+IF(OR($Q856=Parametres!$G$2,$Q856=Parametres!$G$3),K856,E856)</f>
        <v>0</v>
      </c>
      <c r="Q856" s="154">
        <f t="shared" si="82"/>
        <v>0</v>
      </c>
      <c r="R856" s="153">
        <f t="shared" si="83"/>
        <v>0</v>
      </c>
      <c r="S856" s="154">
        <f t="shared" si="84"/>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hidden="1" customHeight="1">
      <c r="A857" s="157"/>
      <c r="B857" s="158"/>
      <c r="C857" s="159"/>
      <c r="D857" s="157"/>
      <c r="E857" s="157"/>
      <c r="F857" s="157"/>
      <c r="G857" s="157"/>
      <c r="H857" s="157"/>
      <c r="I857" s="157"/>
      <c r="J857" s="157"/>
      <c r="K857" s="157"/>
      <c r="L857" s="153">
        <f t="shared" si="80"/>
        <v>0</v>
      </c>
      <c r="M857" s="154">
        <f t="shared" si="81"/>
        <v>0</v>
      </c>
      <c r="N857" s="155">
        <f>+IF(OR($Q857=Parametres!$G$2,$Q857=Parametres!$G$3),I857,C857)</f>
        <v>0</v>
      </c>
      <c r="O857" s="155">
        <f>+IF(OR($Q857=Parametres!$G$2,$Q857=Parametres!$G$3),J857,D857)</f>
        <v>0</v>
      </c>
      <c r="P857" s="155">
        <f>+IF(OR($Q857=Parametres!$G$2,$Q857=Parametres!$G$3),K857,E857)</f>
        <v>0</v>
      </c>
      <c r="Q857" s="154">
        <f t="shared" si="82"/>
        <v>0</v>
      </c>
      <c r="R857" s="153">
        <f t="shared" si="83"/>
        <v>0</v>
      </c>
      <c r="S857" s="154">
        <f t="shared" si="84"/>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hidden="1" customHeight="1">
      <c r="A858" s="157"/>
      <c r="B858" s="158"/>
      <c r="C858" s="159"/>
      <c r="D858" s="157"/>
      <c r="E858" s="157"/>
      <c r="F858" s="157"/>
      <c r="G858" s="157"/>
      <c r="H858" s="157"/>
      <c r="I858" s="157"/>
      <c r="J858" s="157"/>
      <c r="K858" s="157"/>
      <c r="L858" s="153">
        <f t="shared" si="80"/>
        <v>0</v>
      </c>
      <c r="M858" s="154">
        <f t="shared" si="81"/>
        <v>0</v>
      </c>
      <c r="N858" s="155">
        <f>+IF(OR($Q858=Parametres!$G$2,$Q858=Parametres!$G$3),I858,C858)</f>
        <v>0</v>
      </c>
      <c r="O858" s="155">
        <f>+IF(OR($Q858=Parametres!$G$2,$Q858=Parametres!$G$3),J858,D858)</f>
        <v>0</v>
      </c>
      <c r="P858" s="155">
        <f>+IF(OR($Q858=Parametres!$G$2,$Q858=Parametres!$G$3),K858,E858)</f>
        <v>0</v>
      </c>
      <c r="Q858" s="154">
        <f t="shared" si="82"/>
        <v>0</v>
      </c>
      <c r="R858" s="153">
        <f t="shared" si="83"/>
        <v>0</v>
      </c>
      <c r="S858" s="154">
        <f t="shared" si="84"/>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hidden="1" customHeight="1">
      <c r="A859" s="157"/>
      <c r="B859" s="158"/>
      <c r="C859" s="159"/>
      <c r="D859" s="157"/>
      <c r="E859" s="157"/>
      <c r="F859" s="157"/>
      <c r="G859" s="157"/>
      <c r="H859" s="157"/>
      <c r="I859" s="157"/>
      <c r="J859" s="157"/>
      <c r="K859" s="157"/>
      <c r="L859" s="153">
        <f t="shared" si="80"/>
        <v>0</v>
      </c>
      <c r="M859" s="154">
        <f t="shared" si="81"/>
        <v>0</v>
      </c>
      <c r="N859" s="155">
        <f>+IF(OR($Q859=Parametres!$G$2,$Q859=Parametres!$G$3),I859,C859)</f>
        <v>0</v>
      </c>
      <c r="O859" s="155">
        <f>+IF(OR($Q859=Parametres!$G$2,$Q859=Parametres!$G$3),J859,D859)</f>
        <v>0</v>
      </c>
      <c r="P859" s="155">
        <f>+IF(OR($Q859=Parametres!$G$2,$Q859=Parametres!$G$3),K859,E859)</f>
        <v>0</v>
      </c>
      <c r="Q859" s="154">
        <f t="shared" si="82"/>
        <v>0</v>
      </c>
      <c r="R859" s="153">
        <f t="shared" si="83"/>
        <v>0</v>
      </c>
      <c r="S859" s="154">
        <f t="shared" si="84"/>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hidden="1" customHeight="1">
      <c r="A860" s="157"/>
      <c r="B860" s="158"/>
      <c r="C860" s="159"/>
      <c r="D860" s="157"/>
      <c r="E860" s="157"/>
      <c r="F860" s="157"/>
      <c r="G860" s="157"/>
      <c r="H860" s="157"/>
      <c r="I860" s="157"/>
      <c r="J860" s="157"/>
      <c r="K860" s="157"/>
      <c r="L860" s="153">
        <f t="shared" si="80"/>
        <v>0</v>
      </c>
      <c r="M860" s="154">
        <f t="shared" si="81"/>
        <v>0</v>
      </c>
      <c r="N860" s="155">
        <f>+IF(OR($Q860=Parametres!$G$2,$Q860=Parametres!$G$3),I860,C860)</f>
        <v>0</v>
      </c>
      <c r="O860" s="155">
        <f>+IF(OR($Q860=Parametres!$G$2,$Q860=Parametres!$G$3),J860,D860)</f>
        <v>0</v>
      </c>
      <c r="P860" s="155">
        <f>+IF(OR($Q860=Parametres!$G$2,$Q860=Parametres!$G$3),K860,E860)</f>
        <v>0</v>
      </c>
      <c r="Q860" s="154">
        <f t="shared" si="82"/>
        <v>0</v>
      </c>
      <c r="R860" s="153">
        <f t="shared" si="83"/>
        <v>0</v>
      </c>
      <c r="S860" s="154">
        <f t="shared" si="84"/>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hidden="1" customHeight="1">
      <c r="A861" s="157"/>
      <c r="B861" s="158"/>
      <c r="C861" s="159"/>
      <c r="D861" s="157"/>
      <c r="E861" s="157"/>
      <c r="F861" s="157"/>
      <c r="G861" s="157"/>
      <c r="H861" s="157"/>
      <c r="I861" s="157"/>
      <c r="J861" s="157"/>
      <c r="K861" s="157"/>
      <c r="L861" s="153">
        <f t="shared" si="80"/>
        <v>0</v>
      </c>
      <c r="M861" s="154">
        <f t="shared" si="81"/>
        <v>0</v>
      </c>
      <c r="N861" s="155">
        <f>+IF(OR($Q861=Parametres!$G$2,$Q861=Parametres!$G$3),I861,C861)</f>
        <v>0</v>
      </c>
      <c r="O861" s="155">
        <f>+IF(OR($Q861=Parametres!$G$2,$Q861=Parametres!$G$3),J861,D861)</f>
        <v>0</v>
      </c>
      <c r="P861" s="155">
        <f>+IF(OR($Q861=Parametres!$G$2,$Q861=Parametres!$G$3),K861,E861)</f>
        <v>0</v>
      </c>
      <c r="Q861" s="154">
        <f t="shared" si="82"/>
        <v>0</v>
      </c>
      <c r="R861" s="153">
        <f t="shared" si="83"/>
        <v>0</v>
      </c>
      <c r="S861" s="154">
        <f t="shared" si="84"/>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hidden="1" customHeight="1">
      <c r="A862" s="157"/>
      <c r="B862" s="158"/>
      <c r="C862" s="159"/>
      <c r="D862" s="157"/>
      <c r="E862" s="157"/>
      <c r="F862" s="157"/>
      <c r="G862" s="157"/>
      <c r="H862" s="157"/>
      <c r="I862" s="157"/>
      <c r="J862" s="157"/>
      <c r="K862" s="157"/>
      <c r="L862" s="153">
        <f t="shared" si="80"/>
        <v>0</v>
      </c>
      <c r="M862" s="154">
        <f t="shared" si="81"/>
        <v>0</v>
      </c>
      <c r="N862" s="155">
        <f>+IF(OR($Q862=Parametres!$G$2,$Q862=Parametres!$G$3),I862,C862)</f>
        <v>0</v>
      </c>
      <c r="O862" s="155">
        <f>+IF(OR($Q862=Parametres!$G$2,$Q862=Parametres!$G$3),J862,D862)</f>
        <v>0</v>
      </c>
      <c r="P862" s="155">
        <f>+IF(OR($Q862=Parametres!$G$2,$Q862=Parametres!$G$3),K862,E862)</f>
        <v>0</v>
      </c>
      <c r="Q862" s="154">
        <f t="shared" si="82"/>
        <v>0</v>
      </c>
      <c r="R862" s="153">
        <f t="shared" si="83"/>
        <v>0</v>
      </c>
      <c r="S862" s="154">
        <f t="shared" si="84"/>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hidden="1" customHeight="1">
      <c r="A863" s="157"/>
      <c r="B863" s="158"/>
      <c r="C863" s="159"/>
      <c r="D863" s="157"/>
      <c r="E863" s="157"/>
      <c r="F863" s="157"/>
      <c r="G863" s="157"/>
      <c r="H863" s="157"/>
      <c r="I863" s="157"/>
      <c r="J863" s="157"/>
      <c r="K863" s="157"/>
      <c r="L863" s="153">
        <f t="shared" si="80"/>
        <v>0</v>
      </c>
      <c r="M863" s="154">
        <f t="shared" si="81"/>
        <v>0</v>
      </c>
      <c r="N863" s="155">
        <f>+IF(OR($Q863=Parametres!$G$2,$Q863=Parametres!$G$3),I863,C863)</f>
        <v>0</v>
      </c>
      <c r="O863" s="155">
        <f>+IF(OR($Q863=Parametres!$G$2,$Q863=Parametres!$G$3),J863,D863)</f>
        <v>0</v>
      </c>
      <c r="P863" s="155">
        <f>+IF(OR($Q863=Parametres!$G$2,$Q863=Parametres!$G$3),K863,E863)</f>
        <v>0</v>
      </c>
      <c r="Q863" s="154">
        <f t="shared" si="82"/>
        <v>0</v>
      </c>
      <c r="R863" s="153">
        <f t="shared" si="83"/>
        <v>0</v>
      </c>
      <c r="S863" s="154">
        <f t="shared" si="84"/>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hidden="1" customHeight="1">
      <c r="A864" s="157"/>
      <c r="B864" s="158"/>
      <c r="C864" s="159"/>
      <c r="D864" s="157"/>
      <c r="E864" s="157"/>
      <c r="F864" s="157"/>
      <c r="G864" s="157"/>
      <c r="H864" s="157"/>
      <c r="I864" s="157"/>
      <c r="J864" s="157"/>
      <c r="K864" s="157"/>
      <c r="L864" s="153">
        <f t="shared" si="80"/>
        <v>0</v>
      </c>
      <c r="M864" s="154">
        <f t="shared" si="81"/>
        <v>0</v>
      </c>
      <c r="N864" s="155">
        <f>+IF(OR($Q864=Parametres!$G$2,$Q864=Parametres!$G$3),I864,C864)</f>
        <v>0</v>
      </c>
      <c r="O864" s="155">
        <f>+IF(OR($Q864=Parametres!$G$2,$Q864=Parametres!$G$3),J864,D864)</f>
        <v>0</v>
      </c>
      <c r="P864" s="155">
        <f>+IF(OR($Q864=Parametres!$G$2,$Q864=Parametres!$G$3),K864,E864)</f>
        <v>0</v>
      </c>
      <c r="Q864" s="154">
        <f t="shared" si="82"/>
        <v>0</v>
      </c>
      <c r="R864" s="153">
        <f t="shared" si="83"/>
        <v>0</v>
      </c>
      <c r="S864" s="154">
        <f t="shared" si="84"/>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hidden="1" customHeight="1">
      <c r="A865" s="157"/>
      <c r="B865" s="158"/>
      <c r="C865" s="159"/>
      <c r="D865" s="157"/>
      <c r="E865" s="157"/>
      <c r="F865" s="157"/>
      <c r="G865" s="157"/>
      <c r="H865" s="157"/>
      <c r="I865" s="157"/>
      <c r="J865" s="157"/>
      <c r="K865" s="157"/>
      <c r="L865" s="153">
        <f t="shared" si="80"/>
        <v>0</v>
      </c>
      <c r="M865" s="154">
        <f t="shared" si="81"/>
        <v>0</v>
      </c>
      <c r="N865" s="155">
        <f>+IF(OR($Q865=Parametres!$G$2,$Q865=Parametres!$G$3),I865,C865)</f>
        <v>0</v>
      </c>
      <c r="O865" s="155">
        <f>+IF(OR($Q865=Parametres!$G$2,$Q865=Parametres!$G$3),J865,D865)</f>
        <v>0</v>
      </c>
      <c r="P865" s="155">
        <f>+IF(OR($Q865=Parametres!$G$2,$Q865=Parametres!$G$3),K865,E865)</f>
        <v>0</v>
      </c>
      <c r="Q865" s="154">
        <f t="shared" si="82"/>
        <v>0</v>
      </c>
      <c r="R865" s="153">
        <f t="shared" si="83"/>
        <v>0</v>
      </c>
      <c r="S865" s="154">
        <f t="shared" si="84"/>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hidden="1" customHeight="1">
      <c r="A866" s="157"/>
      <c r="B866" s="158"/>
      <c r="C866" s="159"/>
      <c r="D866" s="157"/>
      <c r="E866" s="157"/>
      <c r="F866" s="157"/>
      <c r="G866" s="157"/>
      <c r="H866" s="157"/>
      <c r="I866" s="157"/>
      <c r="J866" s="157"/>
      <c r="K866" s="157"/>
      <c r="L866" s="153">
        <f t="shared" si="80"/>
        <v>0</v>
      </c>
      <c r="M866" s="154">
        <f t="shared" si="81"/>
        <v>0</v>
      </c>
      <c r="N866" s="155">
        <f>+IF(OR($Q866=Parametres!$G$2,$Q866=Parametres!$G$3),I866,C866)</f>
        <v>0</v>
      </c>
      <c r="O866" s="155">
        <f>+IF(OR($Q866=Parametres!$G$2,$Q866=Parametres!$G$3),J866,D866)</f>
        <v>0</v>
      </c>
      <c r="P866" s="155">
        <f>+IF(OR($Q866=Parametres!$G$2,$Q866=Parametres!$G$3),K866,E866)</f>
        <v>0</v>
      </c>
      <c r="Q866" s="154">
        <f t="shared" si="82"/>
        <v>0</v>
      </c>
      <c r="R866" s="153">
        <f t="shared" si="83"/>
        <v>0</v>
      </c>
      <c r="S866" s="154">
        <f t="shared" si="84"/>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hidden="1" customHeight="1">
      <c r="A867" s="157"/>
      <c r="B867" s="158"/>
      <c r="C867" s="159"/>
      <c r="D867" s="157"/>
      <c r="E867" s="157"/>
      <c r="F867" s="157"/>
      <c r="G867" s="157"/>
      <c r="H867" s="157"/>
      <c r="I867" s="157"/>
      <c r="J867" s="157"/>
      <c r="K867" s="157"/>
      <c r="L867" s="153">
        <f t="shared" si="80"/>
        <v>0</v>
      </c>
      <c r="M867" s="154">
        <f t="shared" si="81"/>
        <v>0</v>
      </c>
      <c r="N867" s="155">
        <f>+IF(OR($Q867=Parametres!$G$2,$Q867=Parametres!$G$3),I867,C867)</f>
        <v>0</v>
      </c>
      <c r="O867" s="155">
        <f>+IF(OR($Q867=Parametres!$G$2,$Q867=Parametres!$G$3),J867,D867)</f>
        <v>0</v>
      </c>
      <c r="P867" s="155">
        <f>+IF(OR($Q867=Parametres!$G$2,$Q867=Parametres!$G$3),K867,E867)</f>
        <v>0</v>
      </c>
      <c r="Q867" s="154">
        <f t="shared" si="82"/>
        <v>0</v>
      </c>
      <c r="R867" s="153">
        <f t="shared" si="83"/>
        <v>0</v>
      </c>
      <c r="S867" s="154">
        <f t="shared" si="84"/>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hidden="1" customHeight="1">
      <c r="A868" s="157"/>
      <c r="B868" s="158"/>
      <c r="C868" s="159"/>
      <c r="D868" s="157"/>
      <c r="E868" s="157"/>
      <c r="F868" s="157"/>
      <c r="G868" s="157"/>
      <c r="H868" s="157"/>
      <c r="I868" s="157"/>
      <c r="J868" s="157"/>
      <c r="K868" s="157"/>
      <c r="L868" s="153">
        <f t="shared" si="80"/>
        <v>0</v>
      </c>
      <c r="M868" s="154">
        <f t="shared" si="81"/>
        <v>0</v>
      </c>
      <c r="N868" s="155">
        <f>+IF(OR($Q868=Parametres!$G$2,$Q868=Parametres!$G$3),I868,C868)</f>
        <v>0</v>
      </c>
      <c r="O868" s="155">
        <f>+IF(OR($Q868=Parametres!$G$2,$Q868=Parametres!$G$3),J868,D868)</f>
        <v>0</v>
      </c>
      <c r="P868" s="155">
        <f>+IF(OR($Q868=Parametres!$G$2,$Q868=Parametres!$G$3),K868,E868)</f>
        <v>0</v>
      </c>
      <c r="Q868" s="154">
        <f t="shared" si="82"/>
        <v>0</v>
      </c>
      <c r="R868" s="153">
        <f t="shared" si="83"/>
        <v>0</v>
      </c>
      <c r="S868" s="154">
        <f t="shared" si="84"/>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hidden="1" customHeight="1">
      <c r="A869" s="157"/>
      <c r="B869" s="158"/>
      <c r="C869" s="159"/>
      <c r="D869" s="157"/>
      <c r="E869" s="157"/>
      <c r="F869" s="157"/>
      <c r="G869" s="157"/>
      <c r="H869" s="157"/>
      <c r="I869" s="157"/>
      <c r="J869" s="157"/>
      <c r="K869" s="157"/>
      <c r="L869" s="153">
        <f t="shared" si="80"/>
        <v>0</v>
      </c>
      <c r="M869" s="154">
        <f t="shared" si="81"/>
        <v>0</v>
      </c>
      <c r="N869" s="155">
        <f>+IF(OR($Q869=Parametres!$G$2,$Q869=Parametres!$G$3),I869,C869)</f>
        <v>0</v>
      </c>
      <c r="O869" s="155">
        <f>+IF(OR($Q869=Parametres!$G$2,$Q869=Parametres!$G$3),J869,D869)</f>
        <v>0</v>
      </c>
      <c r="P869" s="155">
        <f>+IF(OR($Q869=Parametres!$G$2,$Q869=Parametres!$G$3),K869,E869)</f>
        <v>0</v>
      </c>
      <c r="Q869" s="154">
        <f t="shared" si="82"/>
        <v>0</v>
      </c>
      <c r="R869" s="153">
        <f t="shared" si="83"/>
        <v>0</v>
      </c>
      <c r="S869" s="154">
        <f t="shared" si="84"/>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hidden="1" customHeight="1">
      <c r="A870" s="157"/>
      <c r="B870" s="158"/>
      <c r="C870" s="159"/>
      <c r="D870" s="157"/>
      <c r="E870" s="157"/>
      <c r="F870" s="157"/>
      <c r="G870" s="157"/>
      <c r="H870" s="157"/>
      <c r="I870" s="157"/>
      <c r="J870" s="157"/>
      <c r="K870" s="157"/>
      <c r="L870" s="153">
        <f t="shared" si="80"/>
        <v>0</v>
      </c>
      <c r="M870" s="154">
        <f t="shared" si="81"/>
        <v>0</v>
      </c>
      <c r="N870" s="155">
        <f>+IF(OR($Q870=Parametres!$G$2,$Q870=Parametres!$G$3),I870,C870)</f>
        <v>0</v>
      </c>
      <c r="O870" s="155">
        <f>+IF(OR($Q870=Parametres!$G$2,$Q870=Parametres!$G$3),J870,D870)</f>
        <v>0</v>
      </c>
      <c r="P870" s="155">
        <f>+IF(OR($Q870=Parametres!$G$2,$Q870=Parametres!$G$3),K870,E870)</f>
        <v>0</v>
      </c>
      <c r="Q870" s="154">
        <f t="shared" si="82"/>
        <v>0</v>
      </c>
      <c r="R870" s="153">
        <f t="shared" si="83"/>
        <v>0</v>
      </c>
      <c r="S870" s="154">
        <f t="shared" si="84"/>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hidden="1" customHeight="1">
      <c r="A871" s="157"/>
      <c r="B871" s="158"/>
      <c r="C871" s="159"/>
      <c r="D871" s="157"/>
      <c r="E871" s="157"/>
      <c r="F871" s="157"/>
      <c r="G871" s="157"/>
      <c r="H871" s="157"/>
      <c r="I871" s="157"/>
      <c r="J871" s="157"/>
      <c r="K871" s="157"/>
      <c r="L871" s="153">
        <f t="shared" si="80"/>
        <v>0</v>
      </c>
      <c r="M871" s="154">
        <f t="shared" si="81"/>
        <v>0</v>
      </c>
      <c r="N871" s="155">
        <f>+IF(OR($Q871=Parametres!$G$2,$Q871=Parametres!$G$3),I871,C871)</f>
        <v>0</v>
      </c>
      <c r="O871" s="155">
        <f>+IF(OR($Q871=Parametres!$G$2,$Q871=Parametres!$G$3),J871,D871)</f>
        <v>0</v>
      </c>
      <c r="P871" s="155">
        <f>+IF(OR($Q871=Parametres!$G$2,$Q871=Parametres!$G$3),K871,E871)</f>
        <v>0</v>
      </c>
      <c r="Q871" s="154">
        <f t="shared" si="82"/>
        <v>0</v>
      </c>
      <c r="R871" s="153">
        <f t="shared" si="83"/>
        <v>0</v>
      </c>
      <c r="S871" s="154">
        <f t="shared" si="84"/>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hidden="1" customHeight="1">
      <c r="A872" s="157"/>
      <c r="B872" s="158"/>
      <c r="C872" s="159"/>
      <c r="D872" s="157"/>
      <c r="E872" s="157"/>
      <c r="F872" s="157"/>
      <c r="G872" s="157"/>
      <c r="H872" s="157"/>
      <c r="I872" s="157"/>
      <c r="J872" s="157"/>
      <c r="K872" s="157"/>
      <c r="L872" s="153">
        <f t="shared" si="80"/>
        <v>0</v>
      </c>
      <c r="M872" s="154">
        <f t="shared" si="81"/>
        <v>0</v>
      </c>
      <c r="N872" s="155">
        <f>+IF(OR($Q872=Parametres!$G$2,$Q872=Parametres!$G$3),I872,C872)</f>
        <v>0</v>
      </c>
      <c r="O872" s="155">
        <f>+IF(OR($Q872=Parametres!$G$2,$Q872=Parametres!$G$3),J872,D872)</f>
        <v>0</v>
      </c>
      <c r="P872" s="155">
        <f>+IF(OR($Q872=Parametres!$G$2,$Q872=Parametres!$G$3),K872,E872)</f>
        <v>0</v>
      </c>
      <c r="Q872" s="154">
        <f t="shared" si="82"/>
        <v>0</v>
      </c>
      <c r="R872" s="153">
        <f t="shared" si="83"/>
        <v>0</v>
      </c>
      <c r="S872" s="154">
        <f t="shared" si="84"/>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hidden="1" customHeight="1">
      <c r="A873" s="157"/>
      <c r="B873" s="158"/>
      <c r="C873" s="159"/>
      <c r="D873" s="157"/>
      <c r="E873" s="157"/>
      <c r="F873" s="157"/>
      <c r="G873" s="157"/>
      <c r="H873" s="157"/>
      <c r="I873" s="157"/>
      <c r="J873" s="157"/>
      <c r="K873" s="157"/>
      <c r="L873" s="153">
        <f t="shared" si="80"/>
        <v>0</v>
      </c>
      <c r="M873" s="154">
        <f t="shared" si="81"/>
        <v>0</v>
      </c>
      <c r="N873" s="155">
        <f>+IF(OR($Q873=Parametres!$G$2,$Q873=Parametres!$G$3),I873,C873)</f>
        <v>0</v>
      </c>
      <c r="O873" s="155">
        <f>+IF(OR($Q873=Parametres!$G$2,$Q873=Parametres!$G$3),J873,D873)</f>
        <v>0</v>
      </c>
      <c r="P873" s="155">
        <f>+IF(OR($Q873=Parametres!$G$2,$Q873=Parametres!$G$3),K873,E873)</f>
        <v>0</v>
      </c>
      <c r="Q873" s="154">
        <f t="shared" si="82"/>
        <v>0</v>
      </c>
      <c r="R873" s="153">
        <f t="shared" si="83"/>
        <v>0</v>
      </c>
      <c r="S873" s="154">
        <f t="shared" si="84"/>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hidden="1" customHeight="1">
      <c r="A874" s="157"/>
      <c r="B874" s="158"/>
      <c r="C874" s="159"/>
      <c r="D874" s="157"/>
      <c r="E874" s="157"/>
      <c r="F874" s="157"/>
      <c r="G874" s="157"/>
      <c r="H874" s="157"/>
      <c r="I874" s="157"/>
      <c r="J874" s="157"/>
      <c r="K874" s="157"/>
      <c r="L874" s="153">
        <f t="shared" si="80"/>
        <v>0</v>
      </c>
      <c r="M874" s="154">
        <f t="shared" si="81"/>
        <v>0</v>
      </c>
      <c r="N874" s="155">
        <f>+IF(OR($Q874=Parametres!$G$2,$Q874=Parametres!$G$3),I874,C874)</f>
        <v>0</v>
      </c>
      <c r="O874" s="155">
        <f>+IF(OR($Q874=Parametres!$G$2,$Q874=Parametres!$G$3),J874,D874)</f>
        <v>0</v>
      </c>
      <c r="P874" s="155">
        <f>+IF(OR($Q874=Parametres!$G$2,$Q874=Parametres!$G$3),K874,E874)</f>
        <v>0</v>
      </c>
      <c r="Q874" s="154">
        <f t="shared" si="82"/>
        <v>0</v>
      </c>
      <c r="R874" s="153">
        <f t="shared" si="83"/>
        <v>0</v>
      </c>
      <c r="S874" s="154">
        <f t="shared" si="84"/>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hidden="1" customHeight="1">
      <c r="A875" s="157"/>
      <c r="B875" s="158"/>
      <c r="C875" s="159"/>
      <c r="D875" s="157"/>
      <c r="E875" s="157"/>
      <c r="F875" s="157"/>
      <c r="G875" s="157"/>
      <c r="H875" s="157"/>
      <c r="I875" s="157"/>
      <c r="J875" s="157"/>
      <c r="K875" s="157"/>
      <c r="L875" s="153">
        <f t="shared" si="80"/>
        <v>0</v>
      </c>
      <c r="M875" s="154">
        <f t="shared" si="81"/>
        <v>0</v>
      </c>
      <c r="N875" s="155">
        <f>+IF(OR($Q875=Parametres!$G$2,$Q875=Parametres!$G$3),I875,C875)</f>
        <v>0</v>
      </c>
      <c r="O875" s="155">
        <f>+IF(OR($Q875=Parametres!$G$2,$Q875=Parametres!$G$3),J875,D875)</f>
        <v>0</v>
      </c>
      <c r="P875" s="155">
        <f>+IF(OR($Q875=Parametres!$G$2,$Q875=Parametres!$G$3),K875,E875)</f>
        <v>0</v>
      </c>
      <c r="Q875" s="154">
        <f t="shared" si="82"/>
        <v>0</v>
      </c>
      <c r="R875" s="153">
        <f t="shared" si="83"/>
        <v>0</v>
      </c>
      <c r="S875" s="154">
        <f t="shared" si="84"/>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hidden="1" customHeight="1">
      <c r="A876" s="157"/>
      <c r="B876" s="158"/>
      <c r="C876" s="159"/>
      <c r="D876" s="157"/>
      <c r="E876" s="157"/>
      <c r="F876" s="157"/>
      <c r="G876" s="157"/>
      <c r="H876" s="157"/>
      <c r="I876" s="157"/>
      <c r="J876" s="157"/>
      <c r="K876" s="157"/>
      <c r="L876" s="153">
        <f t="shared" si="80"/>
        <v>0</v>
      </c>
      <c r="M876" s="154">
        <f t="shared" si="81"/>
        <v>0</v>
      </c>
      <c r="N876" s="155">
        <f>+IF(OR($Q876=Parametres!$G$2,$Q876=Parametres!$G$3),I876,C876)</f>
        <v>0</v>
      </c>
      <c r="O876" s="155">
        <f>+IF(OR($Q876=Parametres!$G$2,$Q876=Parametres!$G$3),J876,D876)</f>
        <v>0</v>
      </c>
      <c r="P876" s="155">
        <f>+IF(OR($Q876=Parametres!$G$2,$Q876=Parametres!$G$3),K876,E876)</f>
        <v>0</v>
      </c>
      <c r="Q876" s="154">
        <f t="shared" si="82"/>
        <v>0</v>
      </c>
      <c r="R876" s="153">
        <f t="shared" si="83"/>
        <v>0</v>
      </c>
      <c r="S876" s="154">
        <f t="shared" si="84"/>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hidden="1" customHeight="1">
      <c r="A877" s="157"/>
      <c r="B877" s="158"/>
      <c r="C877" s="159"/>
      <c r="D877" s="157"/>
      <c r="E877" s="157"/>
      <c r="F877" s="157"/>
      <c r="G877" s="157"/>
      <c r="H877" s="157"/>
      <c r="I877" s="157"/>
      <c r="J877" s="157"/>
      <c r="K877" s="157"/>
      <c r="L877" s="153">
        <f t="shared" si="80"/>
        <v>0</v>
      </c>
      <c r="M877" s="154">
        <f t="shared" si="81"/>
        <v>0</v>
      </c>
      <c r="N877" s="155">
        <f>+IF(OR($Q877=Parametres!$G$2,$Q877=Parametres!$G$3),I877,C877)</f>
        <v>0</v>
      </c>
      <c r="O877" s="155">
        <f>+IF(OR($Q877=Parametres!$G$2,$Q877=Parametres!$G$3),J877,D877)</f>
        <v>0</v>
      </c>
      <c r="P877" s="155">
        <f>+IF(OR($Q877=Parametres!$G$2,$Q877=Parametres!$G$3),K877,E877)</f>
        <v>0</v>
      </c>
      <c r="Q877" s="154">
        <f t="shared" si="82"/>
        <v>0</v>
      </c>
      <c r="R877" s="153">
        <f t="shared" si="83"/>
        <v>0</v>
      </c>
      <c r="S877" s="154">
        <f t="shared" si="84"/>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hidden="1" customHeight="1">
      <c r="A878" s="157"/>
      <c r="B878" s="158"/>
      <c r="C878" s="159"/>
      <c r="D878" s="157"/>
      <c r="E878" s="157"/>
      <c r="F878" s="157"/>
      <c r="G878" s="157"/>
      <c r="H878" s="157"/>
      <c r="I878" s="157"/>
      <c r="J878" s="157"/>
      <c r="K878" s="157"/>
      <c r="L878" s="153">
        <f t="shared" si="80"/>
        <v>0</v>
      </c>
      <c r="M878" s="154">
        <f t="shared" si="81"/>
        <v>0</v>
      </c>
      <c r="N878" s="155">
        <f>+IF(OR($Q878=Parametres!$G$2,$Q878=Parametres!$G$3),I878,C878)</f>
        <v>0</v>
      </c>
      <c r="O878" s="155">
        <f>+IF(OR($Q878=Parametres!$G$2,$Q878=Parametres!$G$3),J878,D878)</f>
        <v>0</v>
      </c>
      <c r="P878" s="155">
        <f>+IF(OR($Q878=Parametres!$G$2,$Q878=Parametres!$G$3),K878,E878)</f>
        <v>0</v>
      </c>
      <c r="Q878" s="154">
        <f t="shared" si="82"/>
        <v>0</v>
      </c>
      <c r="R878" s="153">
        <f t="shared" si="83"/>
        <v>0</v>
      </c>
      <c r="S878" s="154">
        <f t="shared" si="84"/>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hidden="1" customHeight="1">
      <c r="A879" s="157"/>
      <c r="B879" s="158"/>
      <c r="C879" s="159"/>
      <c r="D879" s="157"/>
      <c r="E879" s="157"/>
      <c r="F879" s="157"/>
      <c r="G879" s="157"/>
      <c r="H879" s="157"/>
      <c r="I879" s="157"/>
      <c r="J879" s="157"/>
      <c r="K879" s="157"/>
      <c r="L879" s="153">
        <f t="shared" si="80"/>
        <v>0</v>
      </c>
      <c r="M879" s="154">
        <f t="shared" si="81"/>
        <v>0</v>
      </c>
      <c r="N879" s="155">
        <f>+IF(OR($Q879=Parametres!$G$2,$Q879=Parametres!$G$3),I879,C879)</f>
        <v>0</v>
      </c>
      <c r="O879" s="155">
        <f>+IF(OR($Q879=Parametres!$G$2,$Q879=Parametres!$G$3),J879,D879)</f>
        <v>0</v>
      </c>
      <c r="P879" s="155">
        <f>+IF(OR($Q879=Parametres!$G$2,$Q879=Parametres!$G$3),K879,E879)</f>
        <v>0</v>
      </c>
      <c r="Q879" s="154">
        <f t="shared" si="82"/>
        <v>0</v>
      </c>
      <c r="R879" s="153">
        <f t="shared" si="83"/>
        <v>0</v>
      </c>
      <c r="S879" s="154">
        <f t="shared" si="84"/>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hidden="1" customHeight="1">
      <c r="A880" s="157"/>
      <c r="B880" s="158"/>
      <c r="C880" s="159"/>
      <c r="D880" s="157"/>
      <c r="E880" s="157"/>
      <c r="F880" s="157"/>
      <c r="G880" s="157"/>
      <c r="H880" s="157"/>
      <c r="I880" s="157"/>
      <c r="J880" s="157"/>
      <c r="K880" s="157"/>
      <c r="L880" s="153">
        <f t="shared" si="80"/>
        <v>0</v>
      </c>
      <c r="M880" s="154">
        <f t="shared" si="81"/>
        <v>0</v>
      </c>
      <c r="N880" s="155">
        <f>+IF(OR($Q880=Parametres!$G$2,$Q880=Parametres!$G$3),I880,C880)</f>
        <v>0</v>
      </c>
      <c r="O880" s="155">
        <f>+IF(OR($Q880=Parametres!$G$2,$Q880=Parametres!$G$3),J880,D880)</f>
        <v>0</v>
      </c>
      <c r="P880" s="155">
        <f>+IF(OR($Q880=Parametres!$G$2,$Q880=Parametres!$G$3),K880,E880)</f>
        <v>0</v>
      </c>
      <c r="Q880" s="154">
        <f t="shared" si="82"/>
        <v>0</v>
      </c>
      <c r="R880" s="153">
        <f t="shared" si="83"/>
        <v>0</v>
      </c>
      <c r="S880" s="154">
        <f t="shared" si="84"/>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hidden="1" customHeight="1">
      <c r="A881" s="157"/>
      <c r="B881" s="158"/>
      <c r="C881" s="159"/>
      <c r="D881" s="157"/>
      <c r="E881" s="157"/>
      <c r="F881" s="157"/>
      <c r="G881" s="157"/>
      <c r="H881" s="157"/>
      <c r="I881" s="157"/>
      <c r="J881" s="157"/>
      <c r="K881" s="157"/>
      <c r="L881" s="153">
        <f t="shared" si="80"/>
        <v>0</v>
      </c>
      <c r="M881" s="154">
        <f t="shared" si="81"/>
        <v>0</v>
      </c>
      <c r="N881" s="155">
        <f>+IF(OR($Q881=Parametres!$G$2,$Q881=Parametres!$G$3),I881,C881)</f>
        <v>0</v>
      </c>
      <c r="O881" s="155">
        <f>+IF(OR($Q881=Parametres!$G$2,$Q881=Parametres!$G$3),J881,D881)</f>
        <v>0</v>
      </c>
      <c r="P881" s="155">
        <f>+IF(OR($Q881=Parametres!$G$2,$Q881=Parametres!$G$3),K881,E881)</f>
        <v>0</v>
      </c>
      <c r="Q881" s="154">
        <f t="shared" si="82"/>
        <v>0</v>
      </c>
      <c r="R881" s="153">
        <f t="shared" si="83"/>
        <v>0</v>
      </c>
      <c r="S881" s="154">
        <f t="shared" si="84"/>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hidden="1" customHeight="1">
      <c r="A882" s="157"/>
      <c r="B882" s="158"/>
      <c r="C882" s="159"/>
      <c r="D882" s="157"/>
      <c r="E882" s="157"/>
      <c r="F882" s="157"/>
      <c r="G882" s="157"/>
      <c r="H882" s="157"/>
      <c r="I882" s="157"/>
      <c r="J882" s="157"/>
      <c r="K882" s="157"/>
      <c r="L882" s="153">
        <f t="shared" si="80"/>
        <v>0</v>
      </c>
      <c r="M882" s="154">
        <f t="shared" si="81"/>
        <v>0</v>
      </c>
      <c r="N882" s="155">
        <f>+IF(OR($Q882=Parametres!$G$2,$Q882=Parametres!$G$3),I882,C882)</f>
        <v>0</v>
      </c>
      <c r="O882" s="155">
        <f>+IF(OR($Q882=Parametres!$G$2,$Q882=Parametres!$G$3),J882,D882)</f>
        <v>0</v>
      </c>
      <c r="P882" s="155">
        <f>+IF(OR($Q882=Parametres!$G$2,$Q882=Parametres!$G$3),K882,E882)</f>
        <v>0</v>
      </c>
      <c r="Q882" s="154">
        <f t="shared" si="82"/>
        <v>0</v>
      </c>
      <c r="R882" s="153">
        <f t="shared" si="83"/>
        <v>0</v>
      </c>
      <c r="S882" s="154">
        <f t="shared" si="84"/>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hidden="1" customHeight="1">
      <c r="A883" s="157"/>
      <c r="B883" s="158"/>
      <c r="C883" s="159"/>
      <c r="D883" s="157"/>
      <c r="E883" s="157"/>
      <c r="F883" s="157"/>
      <c r="G883" s="157"/>
      <c r="H883" s="157"/>
      <c r="I883" s="157"/>
      <c r="J883" s="157"/>
      <c r="K883" s="157"/>
      <c r="L883" s="153">
        <f t="shared" si="80"/>
        <v>0</v>
      </c>
      <c r="M883" s="154">
        <f t="shared" si="81"/>
        <v>0</v>
      </c>
      <c r="N883" s="155">
        <f>+IF(OR($Q883=Parametres!$G$2,$Q883=Parametres!$G$3),I883,C883)</f>
        <v>0</v>
      </c>
      <c r="O883" s="155">
        <f>+IF(OR($Q883=Parametres!$G$2,$Q883=Parametres!$G$3),J883,D883)</f>
        <v>0</v>
      </c>
      <c r="P883" s="155">
        <f>+IF(OR($Q883=Parametres!$G$2,$Q883=Parametres!$G$3),K883,E883)</f>
        <v>0</v>
      </c>
      <c r="Q883" s="154">
        <f t="shared" si="82"/>
        <v>0</v>
      </c>
      <c r="R883" s="153">
        <f t="shared" si="83"/>
        <v>0</v>
      </c>
      <c r="S883" s="154">
        <f t="shared" si="84"/>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hidden="1" customHeight="1">
      <c r="A884" s="157"/>
      <c r="B884" s="158"/>
      <c r="C884" s="159"/>
      <c r="D884" s="157"/>
      <c r="E884" s="157"/>
      <c r="F884" s="157"/>
      <c r="G884" s="157"/>
      <c r="H884" s="157"/>
      <c r="I884" s="157"/>
      <c r="J884" s="157"/>
      <c r="K884" s="157"/>
      <c r="L884" s="153">
        <f t="shared" si="80"/>
        <v>0</v>
      </c>
      <c r="M884" s="154">
        <f t="shared" si="81"/>
        <v>0</v>
      </c>
      <c r="N884" s="155">
        <f>+IF(OR($Q884=Parametres!$G$2,$Q884=Parametres!$G$3),I884,C884)</f>
        <v>0</v>
      </c>
      <c r="O884" s="155">
        <f>+IF(OR($Q884=Parametres!$G$2,$Q884=Parametres!$G$3),J884,D884)</f>
        <v>0</v>
      </c>
      <c r="P884" s="155">
        <f>+IF(OR($Q884=Parametres!$G$2,$Q884=Parametres!$G$3),K884,E884)</f>
        <v>0</v>
      </c>
      <c r="Q884" s="154">
        <f t="shared" si="82"/>
        <v>0</v>
      </c>
      <c r="R884" s="153">
        <f t="shared" si="83"/>
        <v>0</v>
      </c>
      <c r="S884" s="154">
        <f t="shared" si="84"/>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hidden="1" customHeight="1">
      <c r="A885" s="157"/>
      <c r="B885" s="158"/>
      <c r="C885" s="159"/>
      <c r="D885" s="157"/>
      <c r="E885" s="157"/>
      <c r="F885" s="157"/>
      <c r="G885" s="157"/>
      <c r="H885" s="157"/>
      <c r="I885" s="157"/>
      <c r="J885" s="157"/>
      <c r="K885" s="157"/>
      <c r="L885" s="153">
        <f t="shared" si="80"/>
        <v>0</v>
      </c>
      <c r="M885" s="154">
        <f t="shared" si="81"/>
        <v>0</v>
      </c>
      <c r="N885" s="155">
        <f>+IF(OR($Q885=Parametres!$G$2,$Q885=Parametres!$G$3),I885,C885)</f>
        <v>0</v>
      </c>
      <c r="O885" s="155">
        <f>+IF(OR($Q885=Parametres!$G$2,$Q885=Parametres!$G$3),J885,D885)</f>
        <v>0</v>
      </c>
      <c r="P885" s="155">
        <f>+IF(OR($Q885=Parametres!$G$2,$Q885=Parametres!$G$3),K885,E885)</f>
        <v>0</v>
      </c>
      <c r="Q885" s="154">
        <f t="shared" si="82"/>
        <v>0</v>
      </c>
      <c r="R885" s="153">
        <f t="shared" si="83"/>
        <v>0</v>
      </c>
      <c r="S885" s="154">
        <f t="shared" si="84"/>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hidden="1" customHeight="1">
      <c r="A886" s="157"/>
      <c r="B886" s="158"/>
      <c r="C886" s="159"/>
      <c r="D886" s="157"/>
      <c r="E886" s="157"/>
      <c r="F886" s="157"/>
      <c r="G886" s="157"/>
      <c r="H886" s="157"/>
      <c r="I886" s="157"/>
      <c r="J886" s="157"/>
      <c r="K886" s="157"/>
      <c r="L886" s="153">
        <f t="shared" si="80"/>
        <v>0</v>
      </c>
      <c r="M886" s="154">
        <f t="shared" si="81"/>
        <v>0</v>
      </c>
      <c r="N886" s="155">
        <f>+IF(OR($Q886=Parametres!$G$2,$Q886=Parametres!$G$3),I886,C886)</f>
        <v>0</v>
      </c>
      <c r="O886" s="155">
        <f>+IF(OR($Q886=Parametres!$G$2,$Q886=Parametres!$G$3),J886,D886)</f>
        <v>0</v>
      </c>
      <c r="P886" s="155">
        <f>+IF(OR($Q886=Parametres!$G$2,$Q886=Parametres!$G$3),K886,E886)</f>
        <v>0</v>
      </c>
      <c r="Q886" s="154">
        <f t="shared" si="82"/>
        <v>0</v>
      </c>
      <c r="R886" s="153">
        <f t="shared" si="83"/>
        <v>0</v>
      </c>
      <c r="S886" s="154">
        <f t="shared" si="84"/>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hidden="1" customHeight="1">
      <c r="A887" s="157"/>
      <c r="B887" s="158"/>
      <c r="C887" s="159"/>
      <c r="D887" s="157"/>
      <c r="E887" s="157"/>
      <c r="F887" s="157"/>
      <c r="G887" s="157"/>
      <c r="H887" s="157"/>
      <c r="I887" s="157"/>
      <c r="J887" s="157"/>
      <c r="K887" s="157"/>
      <c r="L887" s="153">
        <f t="shared" si="80"/>
        <v>0</v>
      </c>
      <c r="M887" s="154">
        <f t="shared" si="81"/>
        <v>0</v>
      </c>
      <c r="N887" s="155">
        <f>+IF(OR($Q887=Parametres!$G$2,$Q887=Parametres!$G$3),I887,C887)</f>
        <v>0</v>
      </c>
      <c r="O887" s="155">
        <f>+IF(OR($Q887=Parametres!$G$2,$Q887=Parametres!$G$3),J887,D887)</f>
        <v>0</v>
      </c>
      <c r="P887" s="155">
        <f>+IF(OR($Q887=Parametres!$G$2,$Q887=Parametres!$G$3),K887,E887)</f>
        <v>0</v>
      </c>
      <c r="Q887" s="154">
        <f t="shared" si="82"/>
        <v>0</v>
      </c>
      <c r="R887" s="153">
        <f t="shared" si="83"/>
        <v>0</v>
      </c>
      <c r="S887" s="154">
        <f t="shared" si="84"/>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hidden="1" customHeight="1">
      <c r="A888" s="157"/>
      <c r="B888" s="158"/>
      <c r="C888" s="159"/>
      <c r="D888" s="157"/>
      <c r="E888" s="157"/>
      <c r="F888" s="157"/>
      <c r="G888" s="157"/>
      <c r="H888" s="157"/>
      <c r="I888" s="157"/>
      <c r="J888" s="157"/>
      <c r="K888" s="157"/>
      <c r="L888" s="153">
        <f t="shared" si="80"/>
        <v>0</v>
      </c>
      <c r="M888" s="154">
        <f t="shared" si="81"/>
        <v>0</v>
      </c>
      <c r="N888" s="155">
        <f>+IF(OR($Q888=Parametres!$G$2,$Q888=Parametres!$G$3),I888,C888)</f>
        <v>0</v>
      </c>
      <c r="O888" s="155">
        <f>+IF(OR($Q888=Parametres!$G$2,$Q888=Parametres!$G$3),J888,D888)</f>
        <v>0</v>
      </c>
      <c r="P888" s="155">
        <f>+IF(OR($Q888=Parametres!$G$2,$Q888=Parametres!$G$3),K888,E888)</f>
        <v>0</v>
      </c>
      <c r="Q888" s="154">
        <f t="shared" si="82"/>
        <v>0</v>
      </c>
      <c r="R888" s="153">
        <f t="shared" si="83"/>
        <v>0</v>
      </c>
      <c r="S888" s="154">
        <f t="shared" si="84"/>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hidden="1" customHeight="1">
      <c r="A889" s="157"/>
      <c r="B889" s="158"/>
      <c r="C889" s="159"/>
      <c r="D889" s="157"/>
      <c r="E889" s="157"/>
      <c r="F889" s="157"/>
      <c r="G889" s="157"/>
      <c r="H889" s="157"/>
      <c r="I889" s="157"/>
      <c r="J889" s="157"/>
      <c r="K889" s="157"/>
      <c r="L889" s="153">
        <f t="shared" si="80"/>
        <v>0</v>
      </c>
      <c r="M889" s="154">
        <f t="shared" si="81"/>
        <v>0</v>
      </c>
      <c r="N889" s="155">
        <f>+IF(OR($Q889=Parametres!$G$2,$Q889=Parametres!$G$3),I889,C889)</f>
        <v>0</v>
      </c>
      <c r="O889" s="155">
        <f>+IF(OR($Q889=Parametres!$G$2,$Q889=Parametres!$G$3),J889,D889)</f>
        <v>0</v>
      </c>
      <c r="P889" s="155">
        <f>+IF(OR($Q889=Parametres!$G$2,$Q889=Parametres!$G$3),K889,E889)</f>
        <v>0</v>
      </c>
      <c r="Q889" s="154">
        <f t="shared" si="82"/>
        <v>0</v>
      </c>
      <c r="R889" s="153">
        <f t="shared" si="83"/>
        <v>0</v>
      </c>
      <c r="S889" s="154">
        <f t="shared" si="84"/>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hidden="1" customHeight="1">
      <c r="A890" s="157"/>
      <c r="B890" s="158"/>
      <c r="C890" s="159"/>
      <c r="D890" s="157"/>
      <c r="E890" s="157"/>
      <c r="F890" s="157"/>
      <c r="G890" s="157"/>
      <c r="H890" s="157"/>
      <c r="I890" s="157"/>
      <c r="J890" s="157"/>
      <c r="K890" s="157"/>
      <c r="L890" s="153">
        <f t="shared" si="80"/>
        <v>0</v>
      </c>
      <c r="M890" s="154">
        <f t="shared" si="81"/>
        <v>0</v>
      </c>
      <c r="N890" s="155">
        <f>+IF(OR($Q890=Parametres!$G$2,$Q890=Parametres!$G$3),I890,C890)</f>
        <v>0</v>
      </c>
      <c r="O890" s="155">
        <f>+IF(OR($Q890=Parametres!$G$2,$Q890=Parametres!$G$3),J890,D890)</f>
        <v>0</v>
      </c>
      <c r="P890" s="155">
        <f>+IF(OR($Q890=Parametres!$G$2,$Q890=Parametres!$G$3),K890,E890)</f>
        <v>0</v>
      </c>
      <c r="Q890" s="154">
        <f t="shared" si="82"/>
        <v>0</v>
      </c>
      <c r="R890" s="153">
        <f t="shared" si="83"/>
        <v>0</v>
      </c>
      <c r="S890" s="154">
        <f t="shared" si="84"/>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hidden="1" customHeight="1">
      <c r="A891" s="157"/>
      <c r="B891" s="158"/>
      <c r="C891" s="159"/>
      <c r="D891" s="157"/>
      <c r="E891" s="157"/>
      <c r="F891" s="157"/>
      <c r="G891" s="157"/>
      <c r="H891" s="157"/>
      <c r="I891" s="157"/>
      <c r="J891" s="157"/>
      <c r="K891" s="157"/>
      <c r="L891" s="153">
        <f t="shared" si="80"/>
        <v>0</v>
      </c>
      <c r="M891" s="154">
        <f t="shared" si="81"/>
        <v>0</v>
      </c>
      <c r="N891" s="155">
        <f>+IF(OR($Q891=Parametres!$G$2,$Q891=Parametres!$G$3),I891,C891)</f>
        <v>0</v>
      </c>
      <c r="O891" s="155">
        <f>+IF(OR($Q891=Parametres!$G$2,$Q891=Parametres!$G$3),J891,D891)</f>
        <v>0</v>
      </c>
      <c r="P891" s="155">
        <f>+IF(OR($Q891=Parametres!$G$2,$Q891=Parametres!$G$3),K891,E891)</f>
        <v>0</v>
      </c>
      <c r="Q891" s="154">
        <f t="shared" si="82"/>
        <v>0</v>
      </c>
      <c r="R891" s="153">
        <f t="shared" si="83"/>
        <v>0</v>
      </c>
      <c r="S891" s="154">
        <f t="shared" si="84"/>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hidden="1" customHeight="1">
      <c r="A892" s="157"/>
      <c r="B892" s="158"/>
      <c r="C892" s="159"/>
      <c r="D892" s="157"/>
      <c r="E892" s="157"/>
      <c r="F892" s="157"/>
      <c r="G892" s="157"/>
      <c r="H892" s="157"/>
      <c r="I892" s="157"/>
      <c r="J892" s="157"/>
      <c r="K892" s="157"/>
      <c r="L892" s="153">
        <f t="shared" si="80"/>
        <v>0</v>
      </c>
      <c r="M892" s="154">
        <f t="shared" si="81"/>
        <v>0</v>
      </c>
      <c r="N892" s="155">
        <f>+IF(OR($Q892=Parametres!$G$2,$Q892=Parametres!$G$3),I892,C892)</f>
        <v>0</v>
      </c>
      <c r="O892" s="155">
        <f>+IF(OR($Q892=Parametres!$G$2,$Q892=Parametres!$G$3),J892,D892)</f>
        <v>0</v>
      </c>
      <c r="P892" s="155">
        <f>+IF(OR($Q892=Parametres!$G$2,$Q892=Parametres!$G$3),K892,E892)</f>
        <v>0</v>
      </c>
      <c r="Q892" s="154">
        <f t="shared" si="82"/>
        <v>0</v>
      </c>
      <c r="R892" s="153">
        <f t="shared" si="83"/>
        <v>0</v>
      </c>
      <c r="S892" s="154">
        <f t="shared" si="84"/>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hidden="1" customHeight="1">
      <c r="A893" s="157"/>
      <c r="B893" s="158"/>
      <c r="C893" s="159"/>
      <c r="D893" s="157"/>
      <c r="E893" s="157"/>
      <c r="F893" s="157"/>
      <c r="G893" s="157"/>
      <c r="H893" s="157"/>
      <c r="I893" s="157"/>
      <c r="J893" s="157"/>
      <c r="K893" s="157"/>
      <c r="L893" s="153">
        <f t="shared" si="80"/>
        <v>0</v>
      </c>
      <c r="M893" s="154">
        <f t="shared" si="81"/>
        <v>0</v>
      </c>
      <c r="N893" s="155">
        <f>+IF(OR($Q893=Parametres!$G$2,$Q893=Parametres!$G$3),I893,C893)</f>
        <v>0</v>
      </c>
      <c r="O893" s="155">
        <f>+IF(OR($Q893=Parametres!$G$2,$Q893=Parametres!$G$3),J893,D893)</f>
        <v>0</v>
      </c>
      <c r="P893" s="155">
        <f>+IF(OR($Q893=Parametres!$G$2,$Q893=Parametres!$G$3),K893,E893)</f>
        <v>0</v>
      </c>
      <c r="Q893" s="154">
        <f t="shared" si="82"/>
        <v>0</v>
      </c>
      <c r="R893" s="153">
        <f t="shared" si="83"/>
        <v>0</v>
      </c>
      <c r="S893" s="154">
        <f t="shared" si="84"/>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hidden="1" customHeight="1">
      <c r="A894" s="157"/>
      <c r="B894" s="158"/>
      <c r="C894" s="159"/>
      <c r="D894" s="157"/>
      <c r="E894" s="157"/>
      <c r="F894" s="157"/>
      <c r="G894" s="157"/>
      <c r="H894" s="157"/>
      <c r="I894" s="157"/>
      <c r="J894" s="157"/>
      <c r="K894" s="157"/>
      <c r="L894" s="153">
        <f t="shared" si="80"/>
        <v>0</v>
      </c>
      <c r="M894" s="154">
        <f t="shared" si="81"/>
        <v>0</v>
      </c>
      <c r="N894" s="155">
        <f>+IF(OR($Q894=Parametres!$G$2,$Q894=Parametres!$G$3),I894,C894)</f>
        <v>0</v>
      </c>
      <c r="O894" s="155">
        <f>+IF(OR($Q894=Parametres!$G$2,$Q894=Parametres!$G$3),J894,D894)</f>
        <v>0</v>
      </c>
      <c r="P894" s="155">
        <f>+IF(OR($Q894=Parametres!$G$2,$Q894=Parametres!$G$3),K894,E894)</f>
        <v>0</v>
      </c>
      <c r="Q894" s="154">
        <f t="shared" si="82"/>
        <v>0</v>
      </c>
      <c r="R894" s="153">
        <f t="shared" si="83"/>
        <v>0</v>
      </c>
      <c r="S894" s="154">
        <f t="shared" si="84"/>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hidden="1" customHeight="1">
      <c r="A895" s="157"/>
      <c r="B895" s="158"/>
      <c r="C895" s="159"/>
      <c r="D895" s="157"/>
      <c r="E895" s="157"/>
      <c r="F895" s="157"/>
      <c r="G895" s="157"/>
      <c r="H895" s="157"/>
      <c r="I895" s="157"/>
      <c r="J895" s="157"/>
      <c r="K895" s="157"/>
      <c r="L895" s="153">
        <f t="shared" si="80"/>
        <v>0</v>
      </c>
      <c r="M895" s="154">
        <f t="shared" si="81"/>
        <v>0</v>
      </c>
      <c r="N895" s="155">
        <f>+IF(OR($Q895=Parametres!$G$2,$Q895=Parametres!$G$3),I895,C895)</f>
        <v>0</v>
      </c>
      <c r="O895" s="155">
        <f>+IF(OR($Q895=Parametres!$G$2,$Q895=Parametres!$G$3),J895,D895)</f>
        <v>0</v>
      </c>
      <c r="P895" s="155">
        <f>+IF(OR($Q895=Parametres!$G$2,$Q895=Parametres!$G$3),K895,E895)</f>
        <v>0</v>
      </c>
      <c r="Q895" s="154">
        <f t="shared" si="82"/>
        <v>0</v>
      </c>
      <c r="R895" s="153">
        <f t="shared" si="83"/>
        <v>0</v>
      </c>
      <c r="S895" s="154">
        <f t="shared" si="84"/>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hidden="1" customHeight="1">
      <c r="A896" s="157"/>
      <c r="B896" s="158"/>
      <c r="C896" s="159"/>
      <c r="D896" s="157"/>
      <c r="E896" s="157"/>
      <c r="F896" s="157"/>
      <c r="G896" s="157"/>
      <c r="H896" s="157"/>
      <c r="I896" s="157"/>
      <c r="J896" s="157"/>
      <c r="K896" s="157"/>
      <c r="L896" s="153">
        <f t="shared" si="80"/>
        <v>0</v>
      </c>
      <c r="M896" s="154">
        <f t="shared" si="81"/>
        <v>0</v>
      </c>
      <c r="N896" s="155">
        <f>+IF(OR($Q896=Parametres!$G$2,$Q896=Parametres!$G$3),I896,C896)</f>
        <v>0</v>
      </c>
      <c r="O896" s="155">
        <f>+IF(OR($Q896=Parametres!$G$2,$Q896=Parametres!$G$3),J896,D896)</f>
        <v>0</v>
      </c>
      <c r="P896" s="155">
        <f>+IF(OR($Q896=Parametres!$G$2,$Q896=Parametres!$G$3),K896,E896)</f>
        <v>0</v>
      </c>
      <c r="Q896" s="154">
        <f t="shared" si="82"/>
        <v>0</v>
      </c>
      <c r="R896" s="153">
        <f t="shared" si="83"/>
        <v>0</v>
      </c>
      <c r="S896" s="154">
        <f t="shared" si="84"/>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hidden="1" customHeight="1">
      <c r="A897" s="157"/>
      <c r="B897" s="158"/>
      <c r="C897" s="159"/>
      <c r="D897" s="157"/>
      <c r="E897" s="157"/>
      <c r="F897" s="157"/>
      <c r="G897" s="157"/>
      <c r="H897" s="157"/>
      <c r="I897" s="157"/>
      <c r="J897" s="157"/>
      <c r="K897" s="157"/>
      <c r="L897" s="153">
        <f t="shared" si="80"/>
        <v>0</v>
      </c>
      <c r="M897" s="154">
        <f t="shared" si="81"/>
        <v>0</v>
      </c>
      <c r="N897" s="155">
        <f>+IF(OR($Q897=Parametres!$G$2,$Q897=Parametres!$G$3),I897,C897)</f>
        <v>0</v>
      </c>
      <c r="O897" s="155">
        <f>+IF(OR($Q897=Parametres!$G$2,$Q897=Parametres!$G$3),J897,D897)</f>
        <v>0</v>
      </c>
      <c r="P897" s="155">
        <f>+IF(OR($Q897=Parametres!$G$2,$Q897=Parametres!$G$3),K897,E897)</f>
        <v>0</v>
      </c>
      <c r="Q897" s="154">
        <f t="shared" si="82"/>
        <v>0</v>
      </c>
      <c r="R897" s="153">
        <f t="shared" si="83"/>
        <v>0</v>
      </c>
      <c r="S897" s="154">
        <f t="shared" si="84"/>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hidden="1" customHeight="1">
      <c r="A898" s="157"/>
      <c r="B898" s="158"/>
      <c r="C898" s="159"/>
      <c r="D898" s="157"/>
      <c r="E898" s="157"/>
      <c r="F898" s="157"/>
      <c r="G898" s="157"/>
      <c r="H898" s="157"/>
      <c r="I898" s="157"/>
      <c r="J898" s="157"/>
      <c r="K898" s="157"/>
      <c r="L898" s="153">
        <f t="shared" ref="L898:L961" si="85">+B898</f>
        <v>0</v>
      </c>
      <c r="M898" s="154">
        <f t="shared" ref="M898:M961" si="86">+A898</f>
        <v>0</v>
      </c>
      <c r="N898" s="155">
        <f>+IF(OR($Q898=Parametres!$G$2,$Q898=Parametres!$G$3),I898,C898)</f>
        <v>0</v>
      </c>
      <c r="O898" s="155">
        <f>+IF(OR($Q898=Parametres!$G$2,$Q898=Parametres!$G$3),J898,D898)</f>
        <v>0</v>
      </c>
      <c r="P898" s="155">
        <f>+IF(OR($Q898=Parametres!$G$2,$Q898=Parametres!$G$3),K898,E898)</f>
        <v>0</v>
      </c>
      <c r="Q898" s="154">
        <f t="shared" ref="Q898:Q961" si="87">+F898</f>
        <v>0</v>
      </c>
      <c r="R898" s="153">
        <f t="shared" ref="R898:R961" si="88">+G898</f>
        <v>0</v>
      </c>
      <c r="S898" s="154">
        <f t="shared" ref="S898:S961" si="89">+H898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hidden="1" customHeight="1">
      <c r="A899" s="157"/>
      <c r="B899" s="158"/>
      <c r="C899" s="159"/>
      <c r="D899" s="157"/>
      <c r="E899" s="157"/>
      <c r="F899" s="157"/>
      <c r="G899" s="157"/>
      <c r="H899" s="157"/>
      <c r="I899" s="157"/>
      <c r="J899" s="157"/>
      <c r="K899" s="157"/>
      <c r="L899" s="153">
        <f t="shared" si="85"/>
        <v>0</v>
      </c>
      <c r="M899" s="154">
        <f t="shared" si="86"/>
        <v>0</v>
      </c>
      <c r="N899" s="155">
        <f>+IF(OR($Q899=Parametres!$G$2,$Q899=Parametres!$G$3),I899,C899)</f>
        <v>0</v>
      </c>
      <c r="O899" s="155">
        <f>+IF(OR($Q899=Parametres!$G$2,$Q899=Parametres!$G$3),J899,D899)</f>
        <v>0</v>
      </c>
      <c r="P899" s="155">
        <f>+IF(OR($Q899=Parametres!$G$2,$Q899=Parametres!$G$3),K899,E899)</f>
        <v>0</v>
      </c>
      <c r="Q899" s="154">
        <f t="shared" si="87"/>
        <v>0</v>
      </c>
      <c r="R899" s="153">
        <f t="shared" si="88"/>
        <v>0</v>
      </c>
      <c r="S899" s="154">
        <f t="shared" si="89"/>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hidden="1" customHeight="1">
      <c r="A900" s="157"/>
      <c r="B900" s="158"/>
      <c r="C900" s="159"/>
      <c r="D900" s="157"/>
      <c r="E900" s="157"/>
      <c r="F900" s="157"/>
      <c r="G900" s="157"/>
      <c r="H900" s="157"/>
      <c r="I900" s="157"/>
      <c r="J900" s="157"/>
      <c r="K900" s="157"/>
      <c r="L900" s="153">
        <f t="shared" si="85"/>
        <v>0</v>
      </c>
      <c r="M900" s="154">
        <f t="shared" si="86"/>
        <v>0</v>
      </c>
      <c r="N900" s="155">
        <f>+IF(OR($Q900=Parametres!$G$2,$Q900=Parametres!$G$3),I900,C900)</f>
        <v>0</v>
      </c>
      <c r="O900" s="155">
        <f>+IF(OR($Q900=Parametres!$G$2,$Q900=Parametres!$G$3),J900,D900)</f>
        <v>0</v>
      </c>
      <c r="P900" s="155">
        <f>+IF(OR($Q900=Parametres!$G$2,$Q900=Parametres!$G$3),K900,E900)</f>
        <v>0</v>
      </c>
      <c r="Q900" s="154">
        <f t="shared" si="87"/>
        <v>0</v>
      </c>
      <c r="R900" s="153">
        <f t="shared" si="88"/>
        <v>0</v>
      </c>
      <c r="S900" s="154">
        <f t="shared" si="89"/>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hidden="1" customHeight="1">
      <c r="A901" s="157"/>
      <c r="B901" s="158"/>
      <c r="C901" s="159"/>
      <c r="D901" s="157"/>
      <c r="E901" s="157"/>
      <c r="F901" s="157"/>
      <c r="G901" s="157"/>
      <c r="H901" s="157"/>
      <c r="I901" s="157"/>
      <c r="J901" s="157"/>
      <c r="K901" s="157"/>
      <c r="L901" s="153">
        <f t="shared" si="85"/>
        <v>0</v>
      </c>
      <c r="M901" s="154">
        <f t="shared" si="86"/>
        <v>0</v>
      </c>
      <c r="N901" s="155">
        <f>+IF(OR($Q901=Parametres!$G$2,$Q901=Parametres!$G$3),I901,C901)</f>
        <v>0</v>
      </c>
      <c r="O901" s="155">
        <f>+IF(OR($Q901=Parametres!$G$2,$Q901=Parametres!$G$3),J901,D901)</f>
        <v>0</v>
      </c>
      <c r="P901" s="155">
        <f>+IF(OR($Q901=Parametres!$G$2,$Q901=Parametres!$G$3),K901,E901)</f>
        <v>0</v>
      </c>
      <c r="Q901" s="154">
        <f t="shared" si="87"/>
        <v>0</v>
      </c>
      <c r="R901" s="153">
        <f t="shared" si="88"/>
        <v>0</v>
      </c>
      <c r="S901" s="154">
        <f t="shared" si="89"/>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hidden="1" customHeight="1">
      <c r="A902" s="157"/>
      <c r="B902" s="158"/>
      <c r="C902" s="159"/>
      <c r="D902" s="157"/>
      <c r="E902" s="157"/>
      <c r="F902" s="157"/>
      <c r="G902" s="157"/>
      <c r="H902" s="157"/>
      <c r="I902" s="157"/>
      <c r="J902" s="157"/>
      <c r="K902" s="157"/>
      <c r="L902" s="153">
        <f t="shared" si="85"/>
        <v>0</v>
      </c>
      <c r="M902" s="154">
        <f t="shared" si="86"/>
        <v>0</v>
      </c>
      <c r="N902" s="155">
        <f>+IF(OR($Q902=Parametres!$G$2,$Q902=Parametres!$G$3),I902,C902)</f>
        <v>0</v>
      </c>
      <c r="O902" s="155">
        <f>+IF(OR($Q902=Parametres!$G$2,$Q902=Parametres!$G$3),J902,D902)</f>
        <v>0</v>
      </c>
      <c r="P902" s="155">
        <f>+IF(OR($Q902=Parametres!$G$2,$Q902=Parametres!$G$3),K902,E902)</f>
        <v>0</v>
      </c>
      <c r="Q902" s="154">
        <f t="shared" si="87"/>
        <v>0</v>
      </c>
      <c r="R902" s="153">
        <f t="shared" si="88"/>
        <v>0</v>
      </c>
      <c r="S902" s="154">
        <f t="shared" si="89"/>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hidden="1" customHeight="1">
      <c r="A903" s="157"/>
      <c r="B903" s="158"/>
      <c r="C903" s="159"/>
      <c r="D903" s="157"/>
      <c r="E903" s="157"/>
      <c r="F903" s="157"/>
      <c r="G903" s="157"/>
      <c r="H903" s="157"/>
      <c r="I903" s="157"/>
      <c r="J903" s="157"/>
      <c r="K903" s="157"/>
      <c r="L903" s="153">
        <f t="shared" si="85"/>
        <v>0</v>
      </c>
      <c r="M903" s="154">
        <f t="shared" si="86"/>
        <v>0</v>
      </c>
      <c r="N903" s="155">
        <f>+IF(OR($Q903=Parametres!$G$2,$Q903=Parametres!$G$3),I903,C903)</f>
        <v>0</v>
      </c>
      <c r="O903" s="155">
        <f>+IF(OR($Q903=Parametres!$G$2,$Q903=Parametres!$G$3),J903,D903)</f>
        <v>0</v>
      </c>
      <c r="P903" s="155">
        <f>+IF(OR($Q903=Parametres!$G$2,$Q903=Parametres!$G$3),K903,E903)</f>
        <v>0</v>
      </c>
      <c r="Q903" s="154">
        <f t="shared" si="87"/>
        <v>0</v>
      </c>
      <c r="R903" s="153">
        <f t="shared" si="88"/>
        <v>0</v>
      </c>
      <c r="S903" s="154">
        <f t="shared" si="89"/>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hidden="1" customHeight="1">
      <c r="A904" s="157"/>
      <c r="B904" s="158"/>
      <c r="C904" s="159"/>
      <c r="D904" s="157"/>
      <c r="E904" s="157"/>
      <c r="F904" s="157"/>
      <c r="G904" s="157"/>
      <c r="H904" s="157"/>
      <c r="I904" s="157"/>
      <c r="J904" s="157"/>
      <c r="K904" s="157"/>
      <c r="L904" s="153">
        <f t="shared" si="85"/>
        <v>0</v>
      </c>
      <c r="M904" s="154">
        <f t="shared" si="86"/>
        <v>0</v>
      </c>
      <c r="N904" s="155">
        <f>+IF(OR($Q904=Parametres!$G$2,$Q904=Parametres!$G$3),I904,C904)</f>
        <v>0</v>
      </c>
      <c r="O904" s="155">
        <f>+IF(OR($Q904=Parametres!$G$2,$Q904=Parametres!$G$3),J904,D904)</f>
        <v>0</v>
      </c>
      <c r="P904" s="155">
        <f>+IF(OR($Q904=Parametres!$G$2,$Q904=Parametres!$G$3),K904,E904)</f>
        <v>0</v>
      </c>
      <c r="Q904" s="154">
        <f t="shared" si="87"/>
        <v>0</v>
      </c>
      <c r="R904" s="153">
        <f t="shared" si="88"/>
        <v>0</v>
      </c>
      <c r="S904" s="154">
        <f t="shared" si="89"/>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hidden="1" customHeight="1">
      <c r="A905" s="157"/>
      <c r="B905" s="158"/>
      <c r="C905" s="159"/>
      <c r="D905" s="157"/>
      <c r="E905" s="157"/>
      <c r="F905" s="157"/>
      <c r="G905" s="157"/>
      <c r="H905" s="157"/>
      <c r="I905" s="157"/>
      <c r="J905" s="157"/>
      <c r="K905" s="157"/>
      <c r="L905" s="153">
        <f t="shared" si="85"/>
        <v>0</v>
      </c>
      <c r="M905" s="154">
        <f t="shared" si="86"/>
        <v>0</v>
      </c>
      <c r="N905" s="155">
        <f>+IF(OR($Q905=Parametres!$G$2,$Q905=Parametres!$G$3),I905,C905)</f>
        <v>0</v>
      </c>
      <c r="O905" s="155">
        <f>+IF(OR($Q905=Parametres!$G$2,$Q905=Parametres!$G$3),J905,D905)</f>
        <v>0</v>
      </c>
      <c r="P905" s="155">
        <f>+IF(OR($Q905=Parametres!$G$2,$Q905=Parametres!$G$3),K905,E905)</f>
        <v>0</v>
      </c>
      <c r="Q905" s="154">
        <f t="shared" si="87"/>
        <v>0</v>
      </c>
      <c r="R905" s="153">
        <f t="shared" si="88"/>
        <v>0</v>
      </c>
      <c r="S905" s="154">
        <f t="shared" si="89"/>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hidden="1" customHeight="1">
      <c r="A906" s="157"/>
      <c r="B906" s="158"/>
      <c r="C906" s="159"/>
      <c r="D906" s="157"/>
      <c r="E906" s="157"/>
      <c r="F906" s="157"/>
      <c r="G906" s="157"/>
      <c r="H906" s="157"/>
      <c r="I906" s="157"/>
      <c r="J906" s="157"/>
      <c r="K906" s="157"/>
      <c r="L906" s="153">
        <f t="shared" si="85"/>
        <v>0</v>
      </c>
      <c r="M906" s="154">
        <f t="shared" si="86"/>
        <v>0</v>
      </c>
      <c r="N906" s="155">
        <f>+IF(OR($Q906=Parametres!$G$2,$Q906=Parametres!$G$3),I906,C906)</f>
        <v>0</v>
      </c>
      <c r="O906" s="155">
        <f>+IF(OR($Q906=Parametres!$G$2,$Q906=Parametres!$G$3),J906,D906)</f>
        <v>0</v>
      </c>
      <c r="P906" s="155">
        <f>+IF(OR($Q906=Parametres!$G$2,$Q906=Parametres!$G$3),K906,E906)</f>
        <v>0</v>
      </c>
      <c r="Q906" s="154">
        <f t="shared" si="87"/>
        <v>0</v>
      </c>
      <c r="R906" s="153">
        <f t="shared" si="88"/>
        <v>0</v>
      </c>
      <c r="S906" s="154">
        <f t="shared" si="89"/>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hidden="1" customHeight="1">
      <c r="A907" s="157"/>
      <c r="B907" s="158"/>
      <c r="C907" s="159"/>
      <c r="D907" s="157"/>
      <c r="E907" s="157"/>
      <c r="F907" s="157"/>
      <c r="G907" s="157"/>
      <c r="H907" s="157"/>
      <c r="I907" s="157"/>
      <c r="J907" s="157"/>
      <c r="K907" s="157"/>
      <c r="L907" s="153">
        <f t="shared" si="85"/>
        <v>0</v>
      </c>
      <c r="M907" s="154">
        <f t="shared" si="86"/>
        <v>0</v>
      </c>
      <c r="N907" s="155">
        <f>+IF(OR($Q907=Parametres!$G$2,$Q907=Parametres!$G$3),I907,C907)</f>
        <v>0</v>
      </c>
      <c r="O907" s="155">
        <f>+IF(OR($Q907=Parametres!$G$2,$Q907=Parametres!$G$3),J907,D907)</f>
        <v>0</v>
      </c>
      <c r="P907" s="155">
        <f>+IF(OR($Q907=Parametres!$G$2,$Q907=Parametres!$G$3),K907,E907)</f>
        <v>0</v>
      </c>
      <c r="Q907" s="154">
        <f t="shared" si="87"/>
        <v>0</v>
      </c>
      <c r="R907" s="153">
        <f t="shared" si="88"/>
        <v>0</v>
      </c>
      <c r="S907" s="154">
        <f t="shared" si="89"/>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hidden="1" customHeight="1">
      <c r="A908" s="157"/>
      <c r="B908" s="158"/>
      <c r="C908" s="159"/>
      <c r="D908" s="157"/>
      <c r="E908" s="157"/>
      <c r="F908" s="157"/>
      <c r="G908" s="157"/>
      <c r="H908" s="157"/>
      <c r="I908" s="157"/>
      <c r="J908" s="157"/>
      <c r="K908" s="157"/>
      <c r="L908" s="153">
        <f t="shared" si="85"/>
        <v>0</v>
      </c>
      <c r="M908" s="154">
        <f t="shared" si="86"/>
        <v>0</v>
      </c>
      <c r="N908" s="155">
        <f>+IF(OR($Q908=Parametres!$G$2,$Q908=Parametres!$G$3),I908,C908)</f>
        <v>0</v>
      </c>
      <c r="O908" s="155">
        <f>+IF(OR($Q908=Parametres!$G$2,$Q908=Parametres!$G$3),J908,D908)</f>
        <v>0</v>
      </c>
      <c r="P908" s="155">
        <f>+IF(OR($Q908=Parametres!$G$2,$Q908=Parametres!$G$3),K908,E908)</f>
        <v>0</v>
      </c>
      <c r="Q908" s="154">
        <f t="shared" si="87"/>
        <v>0</v>
      </c>
      <c r="R908" s="153">
        <f t="shared" si="88"/>
        <v>0</v>
      </c>
      <c r="S908" s="154">
        <f t="shared" si="89"/>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hidden="1" customHeight="1">
      <c r="A909" s="157"/>
      <c r="B909" s="158"/>
      <c r="C909" s="159"/>
      <c r="D909" s="157"/>
      <c r="E909" s="157"/>
      <c r="F909" s="157"/>
      <c r="G909" s="157"/>
      <c r="H909" s="157"/>
      <c r="I909" s="157"/>
      <c r="J909" s="157"/>
      <c r="K909" s="157"/>
      <c r="L909" s="153">
        <f t="shared" si="85"/>
        <v>0</v>
      </c>
      <c r="M909" s="154">
        <f t="shared" si="86"/>
        <v>0</v>
      </c>
      <c r="N909" s="155">
        <f>+IF(OR($Q909=Parametres!$G$2,$Q909=Parametres!$G$3),I909,C909)</f>
        <v>0</v>
      </c>
      <c r="O909" s="155">
        <f>+IF(OR($Q909=Parametres!$G$2,$Q909=Parametres!$G$3),J909,D909)</f>
        <v>0</v>
      </c>
      <c r="P909" s="155">
        <f>+IF(OR($Q909=Parametres!$G$2,$Q909=Parametres!$G$3),K909,E909)</f>
        <v>0</v>
      </c>
      <c r="Q909" s="154">
        <f t="shared" si="87"/>
        <v>0</v>
      </c>
      <c r="R909" s="153">
        <f t="shared" si="88"/>
        <v>0</v>
      </c>
      <c r="S909" s="154">
        <f t="shared" si="89"/>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hidden="1" customHeight="1">
      <c r="A910" s="157"/>
      <c r="B910" s="158"/>
      <c r="C910" s="159"/>
      <c r="D910" s="157"/>
      <c r="E910" s="157"/>
      <c r="F910" s="157"/>
      <c r="G910" s="157"/>
      <c r="H910" s="157"/>
      <c r="I910" s="157"/>
      <c r="J910" s="157"/>
      <c r="K910" s="157"/>
      <c r="L910" s="153">
        <f t="shared" si="85"/>
        <v>0</v>
      </c>
      <c r="M910" s="154">
        <f t="shared" si="86"/>
        <v>0</v>
      </c>
      <c r="N910" s="155">
        <f>+IF(OR($Q910=Parametres!$G$2,$Q910=Parametres!$G$3),I910,C910)</f>
        <v>0</v>
      </c>
      <c r="O910" s="155">
        <f>+IF(OR($Q910=Parametres!$G$2,$Q910=Parametres!$G$3),J910,D910)</f>
        <v>0</v>
      </c>
      <c r="P910" s="155">
        <f>+IF(OR($Q910=Parametres!$G$2,$Q910=Parametres!$G$3),K910,E910)</f>
        <v>0</v>
      </c>
      <c r="Q910" s="154">
        <f t="shared" si="87"/>
        <v>0</v>
      </c>
      <c r="R910" s="153">
        <f t="shared" si="88"/>
        <v>0</v>
      </c>
      <c r="S910" s="154">
        <f t="shared" si="89"/>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hidden="1" customHeight="1">
      <c r="A911" s="157"/>
      <c r="B911" s="158"/>
      <c r="C911" s="159"/>
      <c r="D911" s="157"/>
      <c r="E911" s="157"/>
      <c r="F911" s="157"/>
      <c r="G911" s="157"/>
      <c r="H911" s="157"/>
      <c r="I911" s="157"/>
      <c r="J911" s="157"/>
      <c r="K911" s="157"/>
      <c r="L911" s="153">
        <f t="shared" si="85"/>
        <v>0</v>
      </c>
      <c r="M911" s="154">
        <f t="shared" si="86"/>
        <v>0</v>
      </c>
      <c r="N911" s="155">
        <f>+IF(OR($Q911=Parametres!$G$2,$Q911=Parametres!$G$3),I911,C911)</f>
        <v>0</v>
      </c>
      <c r="O911" s="155">
        <f>+IF(OR($Q911=Parametres!$G$2,$Q911=Parametres!$G$3),J911,D911)</f>
        <v>0</v>
      </c>
      <c r="P911" s="155">
        <f>+IF(OR($Q911=Parametres!$G$2,$Q911=Parametres!$G$3),K911,E911)</f>
        <v>0</v>
      </c>
      <c r="Q911" s="154">
        <f t="shared" si="87"/>
        <v>0</v>
      </c>
      <c r="R911" s="153">
        <f t="shared" si="88"/>
        <v>0</v>
      </c>
      <c r="S911" s="154">
        <f t="shared" si="89"/>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hidden="1" customHeight="1">
      <c r="A912" s="157"/>
      <c r="B912" s="158"/>
      <c r="C912" s="159"/>
      <c r="D912" s="157"/>
      <c r="E912" s="157"/>
      <c r="F912" s="157"/>
      <c r="G912" s="157"/>
      <c r="H912" s="157"/>
      <c r="I912" s="157"/>
      <c r="J912" s="157"/>
      <c r="K912" s="157"/>
      <c r="L912" s="153">
        <f t="shared" si="85"/>
        <v>0</v>
      </c>
      <c r="M912" s="154">
        <f t="shared" si="86"/>
        <v>0</v>
      </c>
      <c r="N912" s="155">
        <f>+IF(OR($Q912=Parametres!$G$2,$Q912=Parametres!$G$3),I912,C912)</f>
        <v>0</v>
      </c>
      <c r="O912" s="155">
        <f>+IF(OR($Q912=Parametres!$G$2,$Q912=Parametres!$G$3),J912,D912)</f>
        <v>0</v>
      </c>
      <c r="P912" s="155">
        <f>+IF(OR($Q912=Parametres!$G$2,$Q912=Parametres!$G$3),K912,E912)</f>
        <v>0</v>
      </c>
      <c r="Q912" s="154">
        <f t="shared" si="87"/>
        <v>0</v>
      </c>
      <c r="R912" s="153">
        <f t="shared" si="88"/>
        <v>0</v>
      </c>
      <c r="S912" s="154">
        <f t="shared" si="89"/>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hidden="1" customHeight="1">
      <c r="A913" s="157"/>
      <c r="B913" s="158"/>
      <c r="C913" s="159"/>
      <c r="D913" s="157"/>
      <c r="E913" s="157"/>
      <c r="F913" s="157"/>
      <c r="G913" s="157"/>
      <c r="H913" s="157"/>
      <c r="I913" s="157"/>
      <c r="J913" s="157"/>
      <c r="K913" s="157"/>
      <c r="L913" s="153">
        <f t="shared" si="85"/>
        <v>0</v>
      </c>
      <c r="M913" s="154">
        <f t="shared" si="86"/>
        <v>0</v>
      </c>
      <c r="N913" s="155">
        <f>+IF(OR($Q913=Parametres!$G$2,$Q913=Parametres!$G$3),I913,C913)</f>
        <v>0</v>
      </c>
      <c r="O913" s="155">
        <f>+IF(OR($Q913=Parametres!$G$2,$Q913=Parametres!$G$3),J913,D913)</f>
        <v>0</v>
      </c>
      <c r="P913" s="155">
        <f>+IF(OR($Q913=Parametres!$G$2,$Q913=Parametres!$G$3),K913,E913)</f>
        <v>0</v>
      </c>
      <c r="Q913" s="154">
        <f t="shared" si="87"/>
        <v>0</v>
      </c>
      <c r="R913" s="153">
        <f t="shared" si="88"/>
        <v>0</v>
      </c>
      <c r="S913" s="154">
        <f t="shared" si="89"/>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hidden="1" customHeight="1">
      <c r="A914" s="157"/>
      <c r="B914" s="158"/>
      <c r="C914" s="159"/>
      <c r="D914" s="157"/>
      <c r="E914" s="157"/>
      <c r="F914" s="157"/>
      <c r="G914" s="157"/>
      <c r="H914" s="157"/>
      <c r="I914" s="157"/>
      <c r="J914" s="157"/>
      <c r="K914" s="157"/>
      <c r="L914" s="153">
        <f t="shared" si="85"/>
        <v>0</v>
      </c>
      <c r="M914" s="154">
        <f t="shared" si="86"/>
        <v>0</v>
      </c>
      <c r="N914" s="155">
        <f>+IF(OR($Q914=Parametres!$G$2,$Q914=Parametres!$G$3),I914,C914)</f>
        <v>0</v>
      </c>
      <c r="O914" s="155">
        <f>+IF(OR($Q914=Parametres!$G$2,$Q914=Parametres!$G$3),J914,D914)</f>
        <v>0</v>
      </c>
      <c r="P914" s="155">
        <f>+IF(OR($Q914=Parametres!$G$2,$Q914=Parametres!$G$3),K914,E914)</f>
        <v>0</v>
      </c>
      <c r="Q914" s="154">
        <f t="shared" si="87"/>
        <v>0</v>
      </c>
      <c r="R914" s="153">
        <f t="shared" si="88"/>
        <v>0</v>
      </c>
      <c r="S914" s="154">
        <f t="shared" si="89"/>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hidden="1" customHeight="1">
      <c r="A915" s="157"/>
      <c r="B915" s="158"/>
      <c r="C915" s="159"/>
      <c r="D915" s="157"/>
      <c r="E915" s="157"/>
      <c r="F915" s="157"/>
      <c r="G915" s="157"/>
      <c r="H915" s="157"/>
      <c r="I915" s="157"/>
      <c r="J915" s="157"/>
      <c r="K915" s="157"/>
      <c r="L915" s="153">
        <f t="shared" si="85"/>
        <v>0</v>
      </c>
      <c r="M915" s="154">
        <f t="shared" si="86"/>
        <v>0</v>
      </c>
      <c r="N915" s="155">
        <f>+IF(OR($Q915=Parametres!$G$2,$Q915=Parametres!$G$3),I915,C915)</f>
        <v>0</v>
      </c>
      <c r="O915" s="155">
        <f>+IF(OR($Q915=Parametres!$G$2,$Q915=Parametres!$G$3),J915,D915)</f>
        <v>0</v>
      </c>
      <c r="P915" s="155">
        <f>+IF(OR($Q915=Parametres!$G$2,$Q915=Parametres!$G$3),K915,E915)</f>
        <v>0</v>
      </c>
      <c r="Q915" s="154">
        <f t="shared" si="87"/>
        <v>0</v>
      </c>
      <c r="R915" s="153">
        <f t="shared" si="88"/>
        <v>0</v>
      </c>
      <c r="S915" s="154">
        <f t="shared" si="89"/>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hidden="1" customHeight="1">
      <c r="A916" s="157"/>
      <c r="B916" s="158"/>
      <c r="C916" s="159"/>
      <c r="D916" s="157"/>
      <c r="E916" s="157"/>
      <c r="F916" s="157"/>
      <c r="G916" s="157"/>
      <c r="H916" s="157"/>
      <c r="I916" s="157"/>
      <c r="J916" s="157"/>
      <c r="K916" s="157"/>
      <c r="L916" s="153">
        <f t="shared" si="85"/>
        <v>0</v>
      </c>
      <c r="M916" s="154">
        <f t="shared" si="86"/>
        <v>0</v>
      </c>
      <c r="N916" s="155">
        <f>+IF(OR($Q916=Parametres!$G$2,$Q916=Parametres!$G$3),I916,C916)</f>
        <v>0</v>
      </c>
      <c r="O916" s="155">
        <f>+IF(OR($Q916=Parametres!$G$2,$Q916=Parametres!$G$3),J916,D916)</f>
        <v>0</v>
      </c>
      <c r="P916" s="155">
        <f>+IF(OR($Q916=Parametres!$G$2,$Q916=Parametres!$G$3),K916,E916)</f>
        <v>0</v>
      </c>
      <c r="Q916" s="154">
        <f t="shared" si="87"/>
        <v>0</v>
      </c>
      <c r="R916" s="153">
        <f t="shared" si="88"/>
        <v>0</v>
      </c>
      <c r="S916" s="154">
        <f t="shared" si="89"/>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hidden="1" customHeight="1">
      <c r="A917" s="157"/>
      <c r="B917" s="158"/>
      <c r="C917" s="159"/>
      <c r="D917" s="157"/>
      <c r="E917" s="157"/>
      <c r="F917" s="157"/>
      <c r="G917" s="157"/>
      <c r="H917" s="157"/>
      <c r="I917" s="157"/>
      <c r="J917" s="157"/>
      <c r="K917" s="157"/>
      <c r="L917" s="153">
        <f t="shared" si="85"/>
        <v>0</v>
      </c>
      <c r="M917" s="154">
        <f t="shared" si="86"/>
        <v>0</v>
      </c>
      <c r="N917" s="155">
        <f>+IF(OR($Q917=Parametres!$G$2,$Q917=Parametres!$G$3),I917,C917)</f>
        <v>0</v>
      </c>
      <c r="O917" s="155">
        <f>+IF(OR($Q917=Parametres!$G$2,$Q917=Parametres!$G$3),J917,D917)</f>
        <v>0</v>
      </c>
      <c r="P917" s="155">
        <f>+IF(OR($Q917=Parametres!$G$2,$Q917=Parametres!$G$3),K917,E917)</f>
        <v>0</v>
      </c>
      <c r="Q917" s="154">
        <f t="shared" si="87"/>
        <v>0</v>
      </c>
      <c r="R917" s="153">
        <f t="shared" si="88"/>
        <v>0</v>
      </c>
      <c r="S917" s="154">
        <f t="shared" si="89"/>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hidden="1" customHeight="1">
      <c r="A918" s="157"/>
      <c r="B918" s="158"/>
      <c r="C918" s="159"/>
      <c r="D918" s="157"/>
      <c r="E918" s="157"/>
      <c r="F918" s="157"/>
      <c r="G918" s="157"/>
      <c r="H918" s="157"/>
      <c r="I918" s="157"/>
      <c r="J918" s="157"/>
      <c r="K918" s="157"/>
      <c r="L918" s="153">
        <f t="shared" si="85"/>
        <v>0</v>
      </c>
      <c r="M918" s="154">
        <f t="shared" si="86"/>
        <v>0</v>
      </c>
      <c r="N918" s="155">
        <f>+IF(OR($Q918=Parametres!$G$2,$Q918=Parametres!$G$3),I918,C918)</f>
        <v>0</v>
      </c>
      <c r="O918" s="155">
        <f>+IF(OR($Q918=Parametres!$G$2,$Q918=Parametres!$G$3),J918,D918)</f>
        <v>0</v>
      </c>
      <c r="P918" s="155">
        <f>+IF(OR($Q918=Parametres!$G$2,$Q918=Parametres!$G$3),K918,E918)</f>
        <v>0</v>
      </c>
      <c r="Q918" s="154">
        <f t="shared" si="87"/>
        <v>0</v>
      </c>
      <c r="R918" s="153">
        <f t="shared" si="88"/>
        <v>0</v>
      </c>
      <c r="S918" s="154">
        <f t="shared" si="89"/>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hidden="1" customHeight="1">
      <c r="A919" s="157"/>
      <c r="B919" s="158"/>
      <c r="C919" s="159"/>
      <c r="D919" s="157"/>
      <c r="E919" s="157"/>
      <c r="F919" s="157"/>
      <c r="G919" s="157"/>
      <c r="H919" s="157"/>
      <c r="I919" s="157"/>
      <c r="J919" s="157"/>
      <c r="K919" s="157"/>
      <c r="L919" s="153">
        <f t="shared" si="85"/>
        <v>0</v>
      </c>
      <c r="M919" s="154">
        <f t="shared" si="86"/>
        <v>0</v>
      </c>
      <c r="N919" s="155">
        <f>+IF(OR($Q919=Parametres!$G$2,$Q919=Parametres!$G$3),I919,C919)</f>
        <v>0</v>
      </c>
      <c r="O919" s="155">
        <f>+IF(OR($Q919=Parametres!$G$2,$Q919=Parametres!$G$3),J919,D919)</f>
        <v>0</v>
      </c>
      <c r="P919" s="155">
        <f>+IF(OR($Q919=Parametres!$G$2,$Q919=Parametres!$G$3),K919,E919)</f>
        <v>0</v>
      </c>
      <c r="Q919" s="154">
        <f t="shared" si="87"/>
        <v>0</v>
      </c>
      <c r="R919" s="153">
        <f t="shared" si="88"/>
        <v>0</v>
      </c>
      <c r="S919" s="154">
        <f t="shared" si="89"/>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hidden="1" customHeight="1">
      <c r="A920" s="157"/>
      <c r="B920" s="158"/>
      <c r="C920" s="159"/>
      <c r="D920" s="157"/>
      <c r="E920" s="157"/>
      <c r="F920" s="157"/>
      <c r="G920" s="157"/>
      <c r="H920" s="157"/>
      <c r="I920" s="157"/>
      <c r="J920" s="157"/>
      <c r="K920" s="157"/>
      <c r="L920" s="153">
        <f t="shared" si="85"/>
        <v>0</v>
      </c>
      <c r="M920" s="154">
        <f t="shared" si="86"/>
        <v>0</v>
      </c>
      <c r="N920" s="155">
        <f>+IF(OR($Q920=Parametres!$G$2,$Q920=Parametres!$G$3),I920,C920)</f>
        <v>0</v>
      </c>
      <c r="O920" s="155">
        <f>+IF(OR($Q920=Parametres!$G$2,$Q920=Parametres!$G$3),J920,D920)</f>
        <v>0</v>
      </c>
      <c r="P920" s="155">
        <f>+IF(OR($Q920=Parametres!$G$2,$Q920=Parametres!$G$3),K920,E920)</f>
        <v>0</v>
      </c>
      <c r="Q920" s="154">
        <f t="shared" si="87"/>
        <v>0</v>
      </c>
      <c r="R920" s="153">
        <f t="shared" si="88"/>
        <v>0</v>
      </c>
      <c r="S920" s="154">
        <f t="shared" si="89"/>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hidden="1" customHeight="1">
      <c r="A921" s="157"/>
      <c r="B921" s="158"/>
      <c r="C921" s="159"/>
      <c r="D921" s="157"/>
      <c r="E921" s="157"/>
      <c r="F921" s="157"/>
      <c r="G921" s="157"/>
      <c r="H921" s="157"/>
      <c r="I921" s="157"/>
      <c r="J921" s="157"/>
      <c r="K921" s="157"/>
      <c r="L921" s="153">
        <f t="shared" si="85"/>
        <v>0</v>
      </c>
      <c r="M921" s="154">
        <f t="shared" si="86"/>
        <v>0</v>
      </c>
      <c r="N921" s="155">
        <f>+IF(OR($Q921=Parametres!$G$2,$Q921=Parametres!$G$3),I921,C921)</f>
        <v>0</v>
      </c>
      <c r="O921" s="155">
        <f>+IF(OR($Q921=Parametres!$G$2,$Q921=Parametres!$G$3),J921,D921)</f>
        <v>0</v>
      </c>
      <c r="P921" s="155">
        <f>+IF(OR($Q921=Parametres!$G$2,$Q921=Parametres!$G$3),K921,E921)</f>
        <v>0</v>
      </c>
      <c r="Q921" s="154">
        <f t="shared" si="87"/>
        <v>0</v>
      </c>
      <c r="R921" s="153">
        <f t="shared" si="88"/>
        <v>0</v>
      </c>
      <c r="S921" s="154">
        <f t="shared" si="89"/>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hidden="1" customHeight="1">
      <c r="A922" s="157"/>
      <c r="B922" s="158"/>
      <c r="C922" s="159"/>
      <c r="D922" s="157"/>
      <c r="E922" s="157"/>
      <c r="F922" s="157"/>
      <c r="G922" s="157"/>
      <c r="H922" s="157"/>
      <c r="I922" s="157"/>
      <c r="J922" s="157"/>
      <c r="K922" s="157"/>
      <c r="L922" s="153">
        <f t="shared" si="85"/>
        <v>0</v>
      </c>
      <c r="M922" s="154">
        <f t="shared" si="86"/>
        <v>0</v>
      </c>
      <c r="N922" s="155">
        <f>+IF(OR($Q922=Parametres!$G$2,$Q922=Parametres!$G$3),I922,C922)</f>
        <v>0</v>
      </c>
      <c r="O922" s="155">
        <f>+IF(OR($Q922=Parametres!$G$2,$Q922=Parametres!$G$3),J922,D922)</f>
        <v>0</v>
      </c>
      <c r="P922" s="155">
        <f>+IF(OR($Q922=Parametres!$G$2,$Q922=Parametres!$G$3),K922,E922)</f>
        <v>0</v>
      </c>
      <c r="Q922" s="154">
        <f t="shared" si="87"/>
        <v>0</v>
      </c>
      <c r="R922" s="153">
        <f t="shared" si="88"/>
        <v>0</v>
      </c>
      <c r="S922" s="154">
        <f t="shared" si="89"/>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hidden="1" customHeight="1">
      <c r="A923" s="157"/>
      <c r="B923" s="158"/>
      <c r="C923" s="159"/>
      <c r="D923" s="157"/>
      <c r="E923" s="157"/>
      <c r="F923" s="157"/>
      <c r="G923" s="157"/>
      <c r="H923" s="157"/>
      <c r="I923" s="157"/>
      <c r="J923" s="157"/>
      <c r="K923" s="157"/>
      <c r="L923" s="153">
        <f t="shared" si="85"/>
        <v>0</v>
      </c>
      <c r="M923" s="154">
        <f t="shared" si="86"/>
        <v>0</v>
      </c>
      <c r="N923" s="155">
        <f>+IF(OR($Q923=Parametres!$G$2,$Q923=Parametres!$G$3),I923,C923)</f>
        <v>0</v>
      </c>
      <c r="O923" s="155">
        <f>+IF(OR($Q923=Parametres!$G$2,$Q923=Parametres!$G$3),J923,D923)</f>
        <v>0</v>
      </c>
      <c r="P923" s="155">
        <f>+IF(OR($Q923=Parametres!$G$2,$Q923=Parametres!$G$3),K923,E923)</f>
        <v>0</v>
      </c>
      <c r="Q923" s="154">
        <f t="shared" si="87"/>
        <v>0</v>
      </c>
      <c r="R923" s="153">
        <f t="shared" si="88"/>
        <v>0</v>
      </c>
      <c r="S923" s="154">
        <f t="shared" si="89"/>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hidden="1" customHeight="1">
      <c r="A924" s="157"/>
      <c r="B924" s="158"/>
      <c r="C924" s="159"/>
      <c r="D924" s="157"/>
      <c r="E924" s="157"/>
      <c r="F924" s="157"/>
      <c r="G924" s="157"/>
      <c r="H924" s="157"/>
      <c r="I924" s="157"/>
      <c r="J924" s="157"/>
      <c r="K924" s="157"/>
      <c r="L924" s="153">
        <f t="shared" si="85"/>
        <v>0</v>
      </c>
      <c r="M924" s="154">
        <f t="shared" si="86"/>
        <v>0</v>
      </c>
      <c r="N924" s="155">
        <f>+IF(OR($Q924=Parametres!$G$2,$Q924=Parametres!$G$3),I924,C924)</f>
        <v>0</v>
      </c>
      <c r="O924" s="155">
        <f>+IF(OR($Q924=Parametres!$G$2,$Q924=Parametres!$G$3),J924,D924)</f>
        <v>0</v>
      </c>
      <c r="P924" s="155">
        <f>+IF(OR($Q924=Parametres!$G$2,$Q924=Parametres!$G$3),K924,E924)</f>
        <v>0</v>
      </c>
      <c r="Q924" s="154">
        <f t="shared" si="87"/>
        <v>0</v>
      </c>
      <c r="R924" s="153">
        <f t="shared" si="88"/>
        <v>0</v>
      </c>
      <c r="S924" s="154">
        <f t="shared" si="89"/>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hidden="1" customHeight="1">
      <c r="A925" s="157"/>
      <c r="B925" s="158"/>
      <c r="C925" s="159"/>
      <c r="D925" s="157"/>
      <c r="E925" s="157"/>
      <c r="F925" s="157"/>
      <c r="G925" s="157"/>
      <c r="H925" s="157"/>
      <c r="I925" s="157"/>
      <c r="J925" s="157"/>
      <c r="K925" s="157"/>
      <c r="L925" s="153">
        <f t="shared" si="85"/>
        <v>0</v>
      </c>
      <c r="M925" s="154">
        <f t="shared" si="86"/>
        <v>0</v>
      </c>
      <c r="N925" s="155">
        <f>+IF(OR($Q925=Parametres!$G$2,$Q925=Parametres!$G$3),I925,C925)</f>
        <v>0</v>
      </c>
      <c r="O925" s="155">
        <f>+IF(OR($Q925=Parametres!$G$2,$Q925=Parametres!$G$3),J925,D925)</f>
        <v>0</v>
      </c>
      <c r="P925" s="155">
        <f>+IF(OR($Q925=Parametres!$G$2,$Q925=Parametres!$G$3),K925,E925)</f>
        <v>0</v>
      </c>
      <c r="Q925" s="154">
        <f t="shared" si="87"/>
        <v>0</v>
      </c>
      <c r="R925" s="153">
        <f t="shared" si="88"/>
        <v>0</v>
      </c>
      <c r="S925" s="154">
        <f t="shared" si="89"/>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hidden="1" customHeight="1">
      <c r="A926" s="157"/>
      <c r="B926" s="158"/>
      <c r="C926" s="159"/>
      <c r="D926" s="157"/>
      <c r="E926" s="157"/>
      <c r="F926" s="157"/>
      <c r="G926" s="157"/>
      <c r="H926" s="157"/>
      <c r="I926" s="157"/>
      <c r="J926" s="157"/>
      <c r="K926" s="157"/>
      <c r="L926" s="153">
        <f t="shared" si="85"/>
        <v>0</v>
      </c>
      <c r="M926" s="154">
        <f t="shared" si="86"/>
        <v>0</v>
      </c>
      <c r="N926" s="155">
        <f>+IF(OR($Q926=Parametres!$G$2,$Q926=Parametres!$G$3),I926,C926)</f>
        <v>0</v>
      </c>
      <c r="O926" s="155">
        <f>+IF(OR($Q926=Parametres!$G$2,$Q926=Parametres!$G$3),J926,D926)</f>
        <v>0</v>
      </c>
      <c r="P926" s="155">
        <f>+IF(OR($Q926=Parametres!$G$2,$Q926=Parametres!$G$3),K926,E926)</f>
        <v>0</v>
      </c>
      <c r="Q926" s="154">
        <f t="shared" si="87"/>
        <v>0</v>
      </c>
      <c r="R926" s="153">
        <f t="shared" si="88"/>
        <v>0</v>
      </c>
      <c r="S926" s="154">
        <f t="shared" si="89"/>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hidden="1" customHeight="1">
      <c r="A927" s="157"/>
      <c r="B927" s="158"/>
      <c r="C927" s="159"/>
      <c r="D927" s="157"/>
      <c r="E927" s="157"/>
      <c r="F927" s="157"/>
      <c r="G927" s="157"/>
      <c r="H927" s="157"/>
      <c r="I927" s="157"/>
      <c r="J927" s="157"/>
      <c r="K927" s="157"/>
      <c r="L927" s="153">
        <f t="shared" si="85"/>
        <v>0</v>
      </c>
      <c r="M927" s="154">
        <f t="shared" si="86"/>
        <v>0</v>
      </c>
      <c r="N927" s="155">
        <f>+IF(OR($Q927=Parametres!$G$2,$Q927=Parametres!$G$3),I927,C927)</f>
        <v>0</v>
      </c>
      <c r="O927" s="155">
        <f>+IF(OR($Q927=Parametres!$G$2,$Q927=Parametres!$G$3),J927,D927)</f>
        <v>0</v>
      </c>
      <c r="P927" s="155">
        <f>+IF(OR($Q927=Parametres!$G$2,$Q927=Parametres!$G$3),K927,E927)</f>
        <v>0</v>
      </c>
      <c r="Q927" s="154">
        <f t="shared" si="87"/>
        <v>0</v>
      </c>
      <c r="R927" s="153">
        <f t="shared" si="88"/>
        <v>0</v>
      </c>
      <c r="S927" s="154">
        <f t="shared" si="89"/>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hidden="1" customHeight="1">
      <c r="A928" s="157"/>
      <c r="B928" s="158"/>
      <c r="C928" s="159"/>
      <c r="D928" s="157"/>
      <c r="E928" s="157"/>
      <c r="F928" s="157"/>
      <c r="G928" s="157"/>
      <c r="H928" s="157"/>
      <c r="I928" s="157"/>
      <c r="J928" s="157"/>
      <c r="K928" s="157"/>
      <c r="L928" s="153">
        <f t="shared" si="85"/>
        <v>0</v>
      </c>
      <c r="M928" s="154">
        <f t="shared" si="86"/>
        <v>0</v>
      </c>
      <c r="N928" s="155">
        <f>+IF(OR($Q928=Parametres!$G$2,$Q928=Parametres!$G$3),I928,C928)</f>
        <v>0</v>
      </c>
      <c r="O928" s="155">
        <f>+IF(OR($Q928=Parametres!$G$2,$Q928=Parametres!$G$3),J928,D928)</f>
        <v>0</v>
      </c>
      <c r="P928" s="155">
        <f>+IF(OR($Q928=Parametres!$G$2,$Q928=Parametres!$G$3),K928,E928)</f>
        <v>0</v>
      </c>
      <c r="Q928" s="154">
        <f t="shared" si="87"/>
        <v>0</v>
      </c>
      <c r="R928" s="153">
        <f t="shared" si="88"/>
        <v>0</v>
      </c>
      <c r="S928" s="154">
        <f t="shared" si="89"/>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hidden="1" customHeight="1">
      <c r="A929" s="157"/>
      <c r="B929" s="158"/>
      <c r="C929" s="159"/>
      <c r="D929" s="157"/>
      <c r="E929" s="157"/>
      <c r="F929" s="157"/>
      <c r="G929" s="157"/>
      <c r="H929" s="157"/>
      <c r="I929" s="157"/>
      <c r="J929" s="157"/>
      <c r="K929" s="157"/>
      <c r="L929" s="153">
        <f t="shared" si="85"/>
        <v>0</v>
      </c>
      <c r="M929" s="154">
        <f t="shared" si="86"/>
        <v>0</v>
      </c>
      <c r="N929" s="155">
        <f>+IF(OR($Q929=Parametres!$G$2,$Q929=Parametres!$G$3),I929,C929)</f>
        <v>0</v>
      </c>
      <c r="O929" s="155">
        <f>+IF(OR($Q929=Parametres!$G$2,$Q929=Parametres!$G$3),J929,D929)</f>
        <v>0</v>
      </c>
      <c r="P929" s="155">
        <f>+IF(OR($Q929=Parametres!$G$2,$Q929=Parametres!$G$3),K929,E929)</f>
        <v>0</v>
      </c>
      <c r="Q929" s="154">
        <f t="shared" si="87"/>
        <v>0</v>
      </c>
      <c r="R929" s="153">
        <f t="shared" si="88"/>
        <v>0</v>
      </c>
      <c r="S929" s="154">
        <f t="shared" si="89"/>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hidden="1" customHeight="1">
      <c r="A930" s="157"/>
      <c r="B930" s="158"/>
      <c r="C930" s="159"/>
      <c r="D930" s="157"/>
      <c r="E930" s="157"/>
      <c r="F930" s="157"/>
      <c r="G930" s="157"/>
      <c r="H930" s="157"/>
      <c r="I930" s="157"/>
      <c r="J930" s="157"/>
      <c r="K930" s="157"/>
      <c r="L930" s="153">
        <f t="shared" si="85"/>
        <v>0</v>
      </c>
      <c r="M930" s="154">
        <f t="shared" si="86"/>
        <v>0</v>
      </c>
      <c r="N930" s="155">
        <f>+IF(OR($Q930=Parametres!$G$2,$Q930=Parametres!$G$3),I930,C930)</f>
        <v>0</v>
      </c>
      <c r="O930" s="155">
        <f>+IF(OR($Q930=Parametres!$G$2,$Q930=Parametres!$G$3),J930,D930)</f>
        <v>0</v>
      </c>
      <c r="P930" s="155">
        <f>+IF(OR($Q930=Parametres!$G$2,$Q930=Parametres!$G$3),K930,E930)</f>
        <v>0</v>
      </c>
      <c r="Q930" s="154">
        <f t="shared" si="87"/>
        <v>0</v>
      </c>
      <c r="R930" s="153">
        <f t="shared" si="88"/>
        <v>0</v>
      </c>
      <c r="S930" s="154">
        <f t="shared" si="89"/>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hidden="1" customHeight="1">
      <c r="A931" s="157"/>
      <c r="B931" s="158"/>
      <c r="C931" s="159"/>
      <c r="D931" s="157"/>
      <c r="E931" s="157"/>
      <c r="F931" s="157"/>
      <c r="G931" s="157"/>
      <c r="H931" s="157"/>
      <c r="I931" s="157"/>
      <c r="J931" s="157"/>
      <c r="K931" s="157"/>
      <c r="L931" s="153">
        <f t="shared" si="85"/>
        <v>0</v>
      </c>
      <c r="M931" s="154">
        <f t="shared" si="86"/>
        <v>0</v>
      </c>
      <c r="N931" s="155">
        <f>+IF(OR($Q931=Parametres!$G$2,$Q931=Parametres!$G$3),I931,C931)</f>
        <v>0</v>
      </c>
      <c r="O931" s="155">
        <f>+IF(OR($Q931=Parametres!$G$2,$Q931=Parametres!$G$3),J931,D931)</f>
        <v>0</v>
      </c>
      <c r="P931" s="155">
        <f>+IF(OR($Q931=Parametres!$G$2,$Q931=Parametres!$G$3),K931,E931)</f>
        <v>0</v>
      </c>
      <c r="Q931" s="154">
        <f t="shared" si="87"/>
        <v>0</v>
      </c>
      <c r="R931" s="153">
        <f t="shared" si="88"/>
        <v>0</v>
      </c>
      <c r="S931" s="154">
        <f t="shared" si="89"/>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hidden="1" customHeight="1">
      <c r="A932" s="157"/>
      <c r="B932" s="158"/>
      <c r="C932" s="159"/>
      <c r="D932" s="157"/>
      <c r="E932" s="157"/>
      <c r="F932" s="157"/>
      <c r="G932" s="157"/>
      <c r="H932" s="157"/>
      <c r="I932" s="157"/>
      <c r="J932" s="157"/>
      <c r="K932" s="157"/>
      <c r="L932" s="153">
        <f t="shared" si="85"/>
        <v>0</v>
      </c>
      <c r="M932" s="154">
        <f t="shared" si="86"/>
        <v>0</v>
      </c>
      <c r="N932" s="155">
        <f>+IF(OR($Q932=Parametres!$G$2,$Q932=Parametres!$G$3),I932,C932)</f>
        <v>0</v>
      </c>
      <c r="O932" s="155">
        <f>+IF(OR($Q932=Parametres!$G$2,$Q932=Parametres!$G$3),J932,D932)</f>
        <v>0</v>
      </c>
      <c r="P932" s="155">
        <f>+IF(OR($Q932=Parametres!$G$2,$Q932=Parametres!$G$3),K932,E932)</f>
        <v>0</v>
      </c>
      <c r="Q932" s="154">
        <f t="shared" si="87"/>
        <v>0</v>
      </c>
      <c r="R932" s="153">
        <f t="shared" si="88"/>
        <v>0</v>
      </c>
      <c r="S932" s="154">
        <f t="shared" si="89"/>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hidden="1" customHeight="1">
      <c r="A933" s="157"/>
      <c r="B933" s="158"/>
      <c r="C933" s="159"/>
      <c r="D933" s="157"/>
      <c r="E933" s="157"/>
      <c r="F933" s="157"/>
      <c r="G933" s="157"/>
      <c r="H933" s="157"/>
      <c r="I933" s="157"/>
      <c r="J933" s="157"/>
      <c r="K933" s="157"/>
      <c r="L933" s="153">
        <f t="shared" si="85"/>
        <v>0</v>
      </c>
      <c r="M933" s="154">
        <f t="shared" si="86"/>
        <v>0</v>
      </c>
      <c r="N933" s="155">
        <f>+IF(OR($Q933=Parametres!$G$2,$Q933=Parametres!$G$3),I933,C933)</f>
        <v>0</v>
      </c>
      <c r="O933" s="155">
        <f>+IF(OR($Q933=Parametres!$G$2,$Q933=Parametres!$G$3),J933,D933)</f>
        <v>0</v>
      </c>
      <c r="P933" s="155">
        <f>+IF(OR($Q933=Parametres!$G$2,$Q933=Parametres!$G$3),K933,E933)</f>
        <v>0</v>
      </c>
      <c r="Q933" s="154">
        <f t="shared" si="87"/>
        <v>0</v>
      </c>
      <c r="R933" s="153">
        <f t="shared" si="88"/>
        <v>0</v>
      </c>
      <c r="S933" s="154">
        <f t="shared" si="89"/>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hidden="1" customHeight="1">
      <c r="A934" s="157"/>
      <c r="B934" s="158"/>
      <c r="C934" s="159"/>
      <c r="D934" s="157"/>
      <c r="E934" s="157"/>
      <c r="F934" s="157"/>
      <c r="G934" s="157"/>
      <c r="H934" s="157"/>
      <c r="I934" s="157"/>
      <c r="J934" s="157"/>
      <c r="K934" s="157"/>
      <c r="L934" s="153">
        <f t="shared" si="85"/>
        <v>0</v>
      </c>
      <c r="M934" s="154">
        <f t="shared" si="86"/>
        <v>0</v>
      </c>
      <c r="N934" s="155">
        <f>+IF(OR($Q934=Parametres!$G$2,$Q934=Parametres!$G$3),I934,C934)</f>
        <v>0</v>
      </c>
      <c r="O934" s="155">
        <f>+IF(OR($Q934=Parametres!$G$2,$Q934=Parametres!$G$3),J934,D934)</f>
        <v>0</v>
      </c>
      <c r="P934" s="155">
        <f>+IF(OR($Q934=Parametres!$G$2,$Q934=Parametres!$G$3),K934,E934)</f>
        <v>0</v>
      </c>
      <c r="Q934" s="154">
        <f t="shared" si="87"/>
        <v>0</v>
      </c>
      <c r="R934" s="153">
        <f t="shared" si="88"/>
        <v>0</v>
      </c>
      <c r="S934" s="154">
        <f t="shared" si="89"/>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hidden="1" customHeight="1">
      <c r="A935" s="157"/>
      <c r="B935" s="158"/>
      <c r="C935" s="159"/>
      <c r="D935" s="157"/>
      <c r="E935" s="157"/>
      <c r="F935" s="157"/>
      <c r="G935" s="157"/>
      <c r="H935" s="157"/>
      <c r="I935" s="157"/>
      <c r="J935" s="157"/>
      <c r="K935" s="157"/>
      <c r="L935" s="153">
        <f t="shared" si="85"/>
        <v>0</v>
      </c>
      <c r="M935" s="154">
        <f t="shared" si="86"/>
        <v>0</v>
      </c>
      <c r="N935" s="155">
        <f>+IF(OR($Q935=Parametres!$G$2,$Q935=Parametres!$G$3),I935,C935)</f>
        <v>0</v>
      </c>
      <c r="O935" s="155">
        <f>+IF(OR($Q935=Parametres!$G$2,$Q935=Parametres!$G$3),J935,D935)</f>
        <v>0</v>
      </c>
      <c r="P935" s="155">
        <f>+IF(OR($Q935=Parametres!$G$2,$Q935=Parametres!$G$3),K935,E935)</f>
        <v>0</v>
      </c>
      <c r="Q935" s="154">
        <f t="shared" si="87"/>
        <v>0</v>
      </c>
      <c r="R935" s="153">
        <f t="shared" si="88"/>
        <v>0</v>
      </c>
      <c r="S935" s="154">
        <f t="shared" si="89"/>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hidden="1" customHeight="1">
      <c r="A936" s="157"/>
      <c r="B936" s="158"/>
      <c r="C936" s="159"/>
      <c r="D936" s="157"/>
      <c r="E936" s="157"/>
      <c r="F936" s="157"/>
      <c r="G936" s="157"/>
      <c r="H936" s="157"/>
      <c r="I936" s="157"/>
      <c r="J936" s="157"/>
      <c r="K936" s="157"/>
      <c r="L936" s="153">
        <f t="shared" si="85"/>
        <v>0</v>
      </c>
      <c r="M936" s="154">
        <f t="shared" si="86"/>
        <v>0</v>
      </c>
      <c r="N936" s="155">
        <f>+IF(OR($Q936=Parametres!$G$2,$Q936=Parametres!$G$3),I936,C936)</f>
        <v>0</v>
      </c>
      <c r="O936" s="155">
        <f>+IF(OR($Q936=Parametres!$G$2,$Q936=Parametres!$G$3),J936,D936)</f>
        <v>0</v>
      </c>
      <c r="P936" s="155">
        <f>+IF(OR($Q936=Parametres!$G$2,$Q936=Parametres!$G$3),K936,E936)</f>
        <v>0</v>
      </c>
      <c r="Q936" s="154">
        <f t="shared" si="87"/>
        <v>0</v>
      </c>
      <c r="R936" s="153">
        <f t="shared" si="88"/>
        <v>0</v>
      </c>
      <c r="S936" s="154">
        <f t="shared" si="89"/>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hidden="1" customHeight="1">
      <c r="A937" s="157"/>
      <c r="B937" s="158"/>
      <c r="C937" s="159"/>
      <c r="D937" s="157"/>
      <c r="E937" s="157"/>
      <c r="F937" s="157"/>
      <c r="G937" s="157"/>
      <c r="H937" s="157"/>
      <c r="I937" s="157"/>
      <c r="J937" s="157"/>
      <c r="K937" s="157"/>
      <c r="L937" s="153">
        <f t="shared" si="85"/>
        <v>0</v>
      </c>
      <c r="M937" s="154">
        <f t="shared" si="86"/>
        <v>0</v>
      </c>
      <c r="N937" s="155">
        <f>+IF(OR($Q937=Parametres!$G$2,$Q937=Parametres!$G$3),I937,C937)</f>
        <v>0</v>
      </c>
      <c r="O937" s="155">
        <f>+IF(OR($Q937=Parametres!$G$2,$Q937=Parametres!$G$3),J937,D937)</f>
        <v>0</v>
      </c>
      <c r="P937" s="155">
        <f>+IF(OR($Q937=Parametres!$G$2,$Q937=Parametres!$G$3),K937,E937)</f>
        <v>0</v>
      </c>
      <c r="Q937" s="154">
        <f t="shared" si="87"/>
        <v>0</v>
      </c>
      <c r="R937" s="153">
        <f t="shared" si="88"/>
        <v>0</v>
      </c>
      <c r="S937" s="154">
        <f t="shared" si="89"/>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hidden="1" customHeight="1">
      <c r="A938" s="157"/>
      <c r="B938" s="158"/>
      <c r="C938" s="159"/>
      <c r="D938" s="157"/>
      <c r="E938" s="157"/>
      <c r="F938" s="157"/>
      <c r="G938" s="157"/>
      <c r="H938" s="157"/>
      <c r="I938" s="157"/>
      <c r="J938" s="157"/>
      <c r="K938" s="157"/>
      <c r="L938" s="153">
        <f t="shared" si="85"/>
        <v>0</v>
      </c>
      <c r="M938" s="154">
        <f t="shared" si="86"/>
        <v>0</v>
      </c>
      <c r="N938" s="155">
        <f>+IF(OR($Q938=Parametres!$G$2,$Q938=Parametres!$G$3),I938,C938)</f>
        <v>0</v>
      </c>
      <c r="O938" s="155">
        <f>+IF(OR($Q938=Parametres!$G$2,$Q938=Parametres!$G$3),J938,D938)</f>
        <v>0</v>
      </c>
      <c r="P938" s="155">
        <f>+IF(OR($Q938=Parametres!$G$2,$Q938=Parametres!$G$3),K938,E938)</f>
        <v>0</v>
      </c>
      <c r="Q938" s="154">
        <f t="shared" si="87"/>
        <v>0</v>
      </c>
      <c r="R938" s="153">
        <f t="shared" si="88"/>
        <v>0</v>
      </c>
      <c r="S938" s="154">
        <f t="shared" si="89"/>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hidden="1" customHeight="1">
      <c r="A939" s="157"/>
      <c r="B939" s="158"/>
      <c r="C939" s="159"/>
      <c r="D939" s="157"/>
      <c r="E939" s="157"/>
      <c r="F939" s="157"/>
      <c r="G939" s="157"/>
      <c r="H939" s="157"/>
      <c r="I939" s="157"/>
      <c r="J939" s="157"/>
      <c r="K939" s="157"/>
      <c r="L939" s="153">
        <f t="shared" si="85"/>
        <v>0</v>
      </c>
      <c r="M939" s="154">
        <f t="shared" si="86"/>
        <v>0</v>
      </c>
      <c r="N939" s="155">
        <f>+IF(OR($Q939=Parametres!$G$2,$Q939=Parametres!$G$3),I939,C939)</f>
        <v>0</v>
      </c>
      <c r="O939" s="155">
        <f>+IF(OR($Q939=Parametres!$G$2,$Q939=Parametres!$G$3),J939,D939)</f>
        <v>0</v>
      </c>
      <c r="P939" s="155">
        <f>+IF(OR($Q939=Parametres!$G$2,$Q939=Parametres!$G$3),K939,E939)</f>
        <v>0</v>
      </c>
      <c r="Q939" s="154">
        <f t="shared" si="87"/>
        <v>0</v>
      </c>
      <c r="R939" s="153">
        <f t="shared" si="88"/>
        <v>0</v>
      </c>
      <c r="S939" s="154">
        <f t="shared" si="89"/>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hidden="1" customHeight="1">
      <c r="A940" s="157"/>
      <c r="B940" s="158"/>
      <c r="C940" s="159"/>
      <c r="D940" s="157"/>
      <c r="E940" s="157"/>
      <c r="F940" s="157"/>
      <c r="G940" s="157"/>
      <c r="H940" s="157"/>
      <c r="I940" s="157"/>
      <c r="J940" s="157"/>
      <c r="K940" s="157"/>
      <c r="L940" s="153">
        <f t="shared" si="85"/>
        <v>0</v>
      </c>
      <c r="M940" s="154">
        <f t="shared" si="86"/>
        <v>0</v>
      </c>
      <c r="N940" s="155">
        <f>+IF(OR($Q940=Parametres!$G$2,$Q940=Parametres!$G$3),I940,C940)</f>
        <v>0</v>
      </c>
      <c r="O940" s="155">
        <f>+IF(OR($Q940=Parametres!$G$2,$Q940=Parametres!$G$3),J940,D940)</f>
        <v>0</v>
      </c>
      <c r="P940" s="155">
        <f>+IF(OR($Q940=Parametres!$G$2,$Q940=Parametres!$G$3),K940,E940)</f>
        <v>0</v>
      </c>
      <c r="Q940" s="154">
        <f t="shared" si="87"/>
        <v>0</v>
      </c>
      <c r="R940" s="153">
        <f t="shared" si="88"/>
        <v>0</v>
      </c>
      <c r="S940" s="154">
        <f t="shared" si="89"/>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hidden="1" customHeight="1">
      <c r="A941" s="157"/>
      <c r="B941" s="158"/>
      <c r="C941" s="159"/>
      <c r="D941" s="157"/>
      <c r="E941" s="157"/>
      <c r="F941" s="157"/>
      <c r="G941" s="157"/>
      <c r="H941" s="157"/>
      <c r="I941" s="157"/>
      <c r="J941" s="157"/>
      <c r="K941" s="157"/>
      <c r="L941" s="153">
        <f t="shared" si="85"/>
        <v>0</v>
      </c>
      <c r="M941" s="154">
        <f t="shared" si="86"/>
        <v>0</v>
      </c>
      <c r="N941" s="155">
        <f>+IF(OR($Q941=Parametres!$G$2,$Q941=Parametres!$G$3),I941,C941)</f>
        <v>0</v>
      </c>
      <c r="O941" s="155">
        <f>+IF(OR($Q941=Parametres!$G$2,$Q941=Parametres!$G$3),J941,D941)</f>
        <v>0</v>
      </c>
      <c r="P941" s="155">
        <f>+IF(OR($Q941=Parametres!$G$2,$Q941=Parametres!$G$3),K941,E941)</f>
        <v>0</v>
      </c>
      <c r="Q941" s="154">
        <f t="shared" si="87"/>
        <v>0</v>
      </c>
      <c r="R941" s="153">
        <f t="shared" si="88"/>
        <v>0</v>
      </c>
      <c r="S941" s="154">
        <f t="shared" si="89"/>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hidden="1" customHeight="1">
      <c r="A942" s="157"/>
      <c r="B942" s="158"/>
      <c r="C942" s="159"/>
      <c r="D942" s="157"/>
      <c r="E942" s="157"/>
      <c r="F942" s="157"/>
      <c r="G942" s="157"/>
      <c r="H942" s="157"/>
      <c r="I942" s="157"/>
      <c r="J942" s="157"/>
      <c r="K942" s="157"/>
      <c r="L942" s="153">
        <f t="shared" si="85"/>
        <v>0</v>
      </c>
      <c r="M942" s="154">
        <f t="shared" si="86"/>
        <v>0</v>
      </c>
      <c r="N942" s="155">
        <f>+IF(OR($Q942=Parametres!$G$2,$Q942=Parametres!$G$3),I942,C942)</f>
        <v>0</v>
      </c>
      <c r="O942" s="155">
        <f>+IF(OR($Q942=Parametres!$G$2,$Q942=Parametres!$G$3),J942,D942)</f>
        <v>0</v>
      </c>
      <c r="P942" s="155">
        <f>+IF(OR($Q942=Parametres!$G$2,$Q942=Parametres!$G$3),K942,E942)</f>
        <v>0</v>
      </c>
      <c r="Q942" s="154">
        <f t="shared" si="87"/>
        <v>0</v>
      </c>
      <c r="R942" s="153">
        <f t="shared" si="88"/>
        <v>0</v>
      </c>
      <c r="S942" s="154">
        <f t="shared" si="89"/>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hidden="1" customHeight="1">
      <c r="A943" s="157"/>
      <c r="B943" s="158"/>
      <c r="C943" s="159"/>
      <c r="D943" s="157"/>
      <c r="E943" s="157"/>
      <c r="F943" s="157"/>
      <c r="G943" s="157"/>
      <c r="H943" s="157"/>
      <c r="I943" s="157"/>
      <c r="J943" s="157"/>
      <c r="K943" s="157"/>
      <c r="L943" s="153">
        <f t="shared" si="85"/>
        <v>0</v>
      </c>
      <c r="M943" s="154">
        <f t="shared" si="86"/>
        <v>0</v>
      </c>
      <c r="N943" s="155">
        <f>+IF(OR($Q943=Parametres!$G$2,$Q943=Parametres!$G$3),I943,C943)</f>
        <v>0</v>
      </c>
      <c r="O943" s="155">
        <f>+IF(OR($Q943=Parametres!$G$2,$Q943=Parametres!$G$3),J943,D943)</f>
        <v>0</v>
      </c>
      <c r="P943" s="155">
        <f>+IF(OR($Q943=Parametres!$G$2,$Q943=Parametres!$G$3),K943,E943)</f>
        <v>0</v>
      </c>
      <c r="Q943" s="154">
        <f t="shared" si="87"/>
        <v>0</v>
      </c>
      <c r="R943" s="153">
        <f t="shared" si="88"/>
        <v>0</v>
      </c>
      <c r="S943" s="154">
        <f t="shared" si="89"/>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hidden="1" customHeight="1">
      <c r="A944" s="157"/>
      <c r="B944" s="158"/>
      <c r="C944" s="159"/>
      <c r="D944" s="157"/>
      <c r="E944" s="157"/>
      <c r="F944" s="157"/>
      <c r="G944" s="157"/>
      <c r="H944" s="157"/>
      <c r="I944" s="157"/>
      <c r="J944" s="157"/>
      <c r="K944" s="157"/>
      <c r="L944" s="153">
        <f t="shared" si="85"/>
        <v>0</v>
      </c>
      <c r="M944" s="154">
        <f t="shared" si="86"/>
        <v>0</v>
      </c>
      <c r="N944" s="155">
        <f>+IF(OR($Q944=Parametres!$G$2,$Q944=Parametres!$G$3),I944,C944)</f>
        <v>0</v>
      </c>
      <c r="O944" s="155">
        <f>+IF(OR($Q944=Parametres!$G$2,$Q944=Parametres!$G$3),J944,D944)</f>
        <v>0</v>
      </c>
      <c r="P944" s="155">
        <f>+IF(OR($Q944=Parametres!$G$2,$Q944=Parametres!$G$3),K944,E944)</f>
        <v>0</v>
      </c>
      <c r="Q944" s="154">
        <f t="shared" si="87"/>
        <v>0</v>
      </c>
      <c r="R944" s="153">
        <f t="shared" si="88"/>
        <v>0</v>
      </c>
      <c r="S944" s="154">
        <f t="shared" si="89"/>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hidden="1" customHeight="1">
      <c r="A945" s="157"/>
      <c r="B945" s="158"/>
      <c r="C945" s="159"/>
      <c r="D945" s="157"/>
      <c r="E945" s="157"/>
      <c r="F945" s="157"/>
      <c r="G945" s="157"/>
      <c r="H945" s="157"/>
      <c r="I945" s="157"/>
      <c r="J945" s="157"/>
      <c r="K945" s="157"/>
      <c r="L945" s="153">
        <f t="shared" si="85"/>
        <v>0</v>
      </c>
      <c r="M945" s="154">
        <f t="shared" si="86"/>
        <v>0</v>
      </c>
      <c r="N945" s="155">
        <f>+IF(OR($Q945=Parametres!$G$2,$Q945=Parametres!$G$3),I945,C945)</f>
        <v>0</v>
      </c>
      <c r="O945" s="155">
        <f>+IF(OR($Q945=Parametres!$G$2,$Q945=Parametres!$G$3),J945,D945)</f>
        <v>0</v>
      </c>
      <c r="P945" s="155">
        <f>+IF(OR($Q945=Parametres!$G$2,$Q945=Parametres!$G$3),K945,E945)</f>
        <v>0</v>
      </c>
      <c r="Q945" s="154">
        <f t="shared" si="87"/>
        <v>0</v>
      </c>
      <c r="R945" s="153">
        <f t="shared" si="88"/>
        <v>0</v>
      </c>
      <c r="S945" s="154">
        <f t="shared" si="89"/>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hidden="1" customHeight="1">
      <c r="A946" s="157"/>
      <c r="B946" s="158"/>
      <c r="C946" s="159"/>
      <c r="D946" s="157"/>
      <c r="E946" s="157"/>
      <c r="F946" s="157"/>
      <c r="G946" s="157"/>
      <c r="H946" s="157"/>
      <c r="I946" s="157"/>
      <c r="J946" s="157"/>
      <c r="K946" s="157"/>
      <c r="L946" s="153">
        <f t="shared" si="85"/>
        <v>0</v>
      </c>
      <c r="M946" s="154">
        <f t="shared" si="86"/>
        <v>0</v>
      </c>
      <c r="N946" s="155">
        <f>+IF(OR($Q946=Parametres!$G$2,$Q946=Parametres!$G$3),I946,C946)</f>
        <v>0</v>
      </c>
      <c r="O946" s="155">
        <f>+IF(OR($Q946=Parametres!$G$2,$Q946=Parametres!$G$3),J946,D946)</f>
        <v>0</v>
      </c>
      <c r="P946" s="155">
        <f>+IF(OR($Q946=Parametres!$G$2,$Q946=Parametres!$G$3),K946,E946)</f>
        <v>0</v>
      </c>
      <c r="Q946" s="154">
        <f t="shared" si="87"/>
        <v>0</v>
      </c>
      <c r="R946" s="153">
        <f t="shared" si="88"/>
        <v>0</v>
      </c>
      <c r="S946" s="154">
        <f t="shared" si="89"/>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hidden="1" customHeight="1">
      <c r="A947" s="157"/>
      <c r="B947" s="158"/>
      <c r="C947" s="159"/>
      <c r="D947" s="157"/>
      <c r="E947" s="157"/>
      <c r="F947" s="157"/>
      <c r="G947" s="157"/>
      <c r="H947" s="157"/>
      <c r="I947" s="157"/>
      <c r="J947" s="157"/>
      <c r="K947" s="157"/>
      <c r="L947" s="153">
        <f t="shared" si="85"/>
        <v>0</v>
      </c>
      <c r="M947" s="154">
        <f t="shared" si="86"/>
        <v>0</v>
      </c>
      <c r="N947" s="155">
        <f>+IF(OR($Q947=Parametres!$G$2,$Q947=Parametres!$G$3),I947,C947)</f>
        <v>0</v>
      </c>
      <c r="O947" s="155">
        <f>+IF(OR($Q947=Parametres!$G$2,$Q947=Parametres!$G$3),J947,D947)</f>
        <v>0</v>
      </c>
      <c r="P947" s="155">
        <f>+IF(OR($Q947=Parametres!$G$2,$Q947=Parametres!$G$3),K947,E947)</f>
        <v>0</v>
      </c>
      <c r="Q947" s="154">
        <f t="shared" si="87"/>
        <v>0</v>
      </c>
      <c r="R947" s="153">
        <f t="shared" si="88"/>
        <v>0</v>
      </c>
      <c r="S947" s="154">
        <f t="shared" si="89"/>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hidden="1" customHeight="1">
      <c r="A948" s="157"/>
      <c r="B948" s="158"/>
      <c r="C948" s="159"/>
      <c r="D948" s="157"/>
      <c r="E948" s="157"/>
      <c r="F948" s="157"/>
      <c r="G948" s="157"/>
      <c r="H948" s="157"/>
      <c r="I948" s="157"/>
      <c r="J948" s="157"/>
      <c r="K948" s="157"/>
      <c r="L948" s="153">
        <f t="shared" si="85"/>
        <v>0</v>
      </c>
      <c r="M948" s="154">
        <f t="shared" si="86"/>
        <v>0</v>
      </c>
      <c r="N948" s="155">
        <f>+IF(OR($Q948=Parametres!$G$2,$Q948=Parametres!$G$3),I948,C948)</f>
        <v>0</v>
      </c>
      <c r="O948" s="155">
        <f>+IF(OR($Q948=Parametres!$G$2,$Q948=Parametres!$G$3),J948,D948)</f>
        <v>0</v>
      </c>
      <c r="P948" s="155">
        <f>+IF(OR($Q948=Parametres!$G$2,$Q948=Parametres!$G$3),K948,E948)</f>
        <v>0</v>
      </c>
      <c r="Q948" s="154">
        <f t="shared" si="87"/>
        <v>0</v>
      </c>
      <c r="R948" s="153">
        <f t="shared" si="88"/>
        <v>0</v>
      </c>
      <c r="S948" s="154">
        <f t="shared" si="89"/>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hidden="1" customHeight="1">
      <c r="A949" s="157"/>
      <c r="B949" s="158"/>
      <c r="C949" s="159"/>
      <c r="D949" s="157"/>
      <c r="E949" s="157"/>
      <c r="F949" s="157"/>
      <c r="G949" s="157"/>
      <c r="H949" s="157"/>
      <c r="I949" s="157"/>
      <c r="J949" s="157"/>
      <c r="K949" s="157"/>
      <c r="L949" s="153">
        <f t="shared" si="85"/>
        <v>0</v>
      </c>
      <c r="M949" s="154">
        <f t="shared" si="86"/>
        <v>0</v>
      </c>
      <c r="N949" s="155">
        <f>+IF(OR($Q949=Parametres!$G$2,$Q949=Parametres!$G$3),I949,C949)</f>
        <v>0</v>
      </c>
      <c r="O949" s="155">
        <f>+IF(OR($Q949=Parametres!$G$2,$Q949=Parametres!$G$3),J949,D949)</f>
        <v>0</v>
      </c>
      <c r="P949" s="155">
        <f>+IF(OR($Q949=Parametres!$G$2,$Q949=Parametres!$G$3),K949,E949)</f>
        <v>0</v>
      </c>
      <c r="Q949" s="154">
        <f t="shared" si="87"/>
        <v>0</v>
      </c>
      <c r="R949" s="153">
        <f t="shared" si="88"/>
        <v>0</v>
      </c>
      <c r="S949" s="154">
        <f t="shared" si="89"/>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hidden="1" customHeight="1">
      <c r="A950" s="157"/>
      <c r="B950" s="158"/>
      <c r="C950" s="159"/>
      <c r="D950" s="157"/>
      <c r="E950" s="157"/>
      <c r="F950" s="157"/>
      <c r="G950" s="157"/>
      <c r="H950" s="157"/>
      <c r="I950" s="157"/>
      <c r="J950" s="157"/>
      <c r="K950" s="157"/>
      <c r="L950" s="153">
        <f t="shared" si="85"/>
        <v>0</v>
      </c>
      <c r="M950" s="154">
        <f t="shared" si="86"/>
        <v>0</v>
      </c>
      <c r="N950" s="155">
        <f>+IF(OR($Q950=Parametres!$G$2,$Q950=Parametres!$G$3),I950,C950)</f>
        <v>0</v>
      </c>
      <c r="O950" s="155">
        <f>+IF(OR($Q950=Parametres!$G$2,$Q950=Parametres!$G$3),J950,D950)</f>
        <v>0</v>
      </c>
      <c r="P950" s="155">
        <f>+IF(OR($Q950=Parametres!$G$2,$Q950=Parametres!$G$3),K950,E950)</f>
        <v>0</v>
      </c>
      <c r="Q950" s="154">
        <f t="shared" si="87"/>
        <v>0</v>
      </c>
      <c r="R950" s="153">
        <f t="shared" si="88"/>
        <v>0</v>
      </c>
      <c r="S950" s="154">
        <f t="shared" si="89"/>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hidden="1" customHeight="1">
      <c r="A951" s="157"/>
      <c r="B951" s="158"/>
      <c r="C951" s="159"/>
      <c r="D951" s="157"/>
      <c r="E951" s="157"/>
      <c r="F951" s="157"/>
      <c r="G951" s="157"/>
      <c r="H951" s="157"/>
      <c r="I951" s="157"/>
      <c r="J951" s="157"/>
      <c r="K951" s="157"/>
      <c r="L951" s="153">
        <f t="shared" si="85"/>
        <v>0</v>
      </c>
      <c r="M951" s="154">
        <f t="shared" si="86"/>
        <v>0</v>
      </c>
      <c r="N951" s="155">
        <f>+IF(OR($Q951=Parametres!$G$2,$Q951=Parametres!$G$3),I951,C951)</f>
        <v>0</v>
      </c>
      <c r="O951" s="155">
        <f>+IF(OR($Q951=Parametres!$G$2,$Q951=Parametres!$G$3),J951,D951)</f>
        <v>0</v>
      </c>
      <c r="P951" s="155">
        <f>+IF(OR($Q951=Parametres!$G$2,$Q951=Parametres!$G$3),K951,E951)</f>
        <v>0</v>
      </c>
      <c r="Q951" s="154">
        <f t="shared" si="87"/>
        <v>0</v>
      </c>
      <c r="R951" s="153">
        <f t="shared" si="88"/>
        <v>0</v>
      </c>
      <c r="S951" s="154">
        <f t="shared" si="89"/>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hidden="1" customHeight="1">
      <c r="A952" s="157"/>
      <c r="B952" s="158"/>
      <c r="C952" s="159"/>
      <c r="D952" s="157"/>
      <c r="E952" s="157"/>
      <c r="F952" s="157"/>
      <c r="G952" s="157"/>
      <c r="H952" s="157"/>
      <c r="I952" s="157"/>
      <c r="J952" s="157"/>
      <c r="K952" s="157"/>
      <c r="L952" s="153">
        <f t="shared" si="85"/>
        <v>0</v>
      </c>
      <c r="M952" s="154">
        <f t="shared" si="86"/>
        <v>0</v>
      </c>
      <c r="N952" s="155">
        <f>+IF(OR($Q952=Parametres!$G$2,$Q952=Parametres!$G$3),I952,C952)</f>
        <v>0</v>
      </c>
      <c r="O952" s="155">
        <f>+IF(OR($Q952=Parametres!$G$2,$Q952=Parametres!$G$3),J952,D952)</f>
        <v>0</v>
      </c>
      <c r="P952" s="155">
        <f>+IF(OR($Q952=Parametres!$G$2,$Q952=Parametres!$G$3),K952,E952)</f>
        <v>0</v>
      </c>
      <c r="Q952" s="154">
        <f t="shared" si="87"/>
        <v>0</v>
      </c>
      <c r="R952" s="153">
        <f t="shared" si="88"/>
        <v>0</v>
      </c>
      <c r="S952" s="154">
        <f t="shared" si="89"/>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hidden="1" customHeight="1">
      <c r="A953" s="157"/>
      <c r="B953" s="158"/>
      <c r="C953" s="159"/>
      <c r="D953" s="157"/>
      <c r="E953" s="157"/>
      <c r="F953" s="157"/>
      <c r="G953" s="157"/>
      <c r="H953" s="157"/>
      <c r="I953" s="157"/>
      <c r="J953" s="157"/>
      <c r="K953" s="157"/>
      <c r="L953" s="153">
        <f t="shared" si="85"/>
        <v>0</v>
      </c>
      <c r="M953" s="154">
        <f t="shared" si="86"/>
        <v>0</v>
      </c>
      <c r="N953" s="155">
        <f>+IF(OR($Q953=Parametres!$G$2,$Q953=Parametres!$G$3),I953,C953)</f>
        <v>0</v>
      </c>
      <c r="O953" s="155">
        <f>+IF(OR($Q953=Parametres!$G$2,$Q953=Parametres!$G$3),J953,D953)</f>
        <v>0</v>
      </c>
      <c r="P953" s="155">
        <f>+IF(OR($Q953=Parametres!$G$2,$Q953=Parametres!$G$3),K953,E953)</f>
        <v>0</v>
      </c>
      <c r="Q953" s="154">
        <f t="shared" si="87"/>
        <v>0</v>
      </c>
      <c r="R953" s="153">
        <f t="shared" si="88"/>
        <v>0</v>
      </c>
      <c r="S953" s="154">
        <f t="shared" si="89"/>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hidden="1" customHeight="1">
      <c r="A954" s="157"/>
      <c r="B954" s="158"/>
      <c r="C954" s="159"/>
      <c r="D954" s="157"/>
      <c r="E954" s="157"/>
      <c r="F954" s="157"/>
      <c r="G954" s="157"/>
      <c r="H954" s="157"/>
      <c r="I954" s="157"/>
      <c r="J954" s="157"/>
      <c r="K954" s="157"/>
      <c r="L954" s="153">
        <f t="shared" si="85"/>
        <v>0</v>
      </c>
      <c r="M954" s="154">
        <f t="shared" si="86"/>
        <v>0</v>
      </c>
      <c r="N954" s="155">
        <f>+IF(OR($Q954=Parametres!$G$2,$Q954=Parametres!$G$3),I954,C954)</f>
        <v>0</v>
      </c>
      <c r="O954" s="155">
        <f>+IF(OR($Q954=Parametres!$G$2,$Q954=Parametres!$G$3),J954,D954)</f>
        <v>0</v>
      </c>
      <c r="P954" s="155">
        <f>+IF(OR($Q954=Parametres!$G$2,$Q954=Parametres!$G$3),K954,E954)</f>
        <v>0</v>
      </c>
      <c r="Q954" s="154">
        <f t="shared" si="87"/>
        <v>0</v>
      </c>
      <c r="R954" s="153">
        <f t="shared" si="88"/>
        <v>0</v>
      </c>
      <c r="S954" s="154">
        <f t="shared" si="89"/>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hidden="1" customHeight="1">
      <c r="A955" s="157"/>
      <c r="B955" s="158"/>
      <c r="C955" s="159"/>
      <c r="D955" s="157"/>
      <c r="E955" s="157"/>
      <c r="F955" s="157"/>
      <c r="G955" s="157"/>
      <c r="H955" s="157"/>
      <c r="I955" s="157"/>
      <c r="J955" s="157"/>
      <c r="K955" s="157"/>
      <c r="L955" s="153">
        <f t="shared" si="85"/>
        <v>0</v>
      </c>
      <c r="M955" s="154">
        <f t="shared" si="86"/>
        <v>0</v>
      </c>
      <c r="N955" s="155">
        <f>+IF(OR($Q955=Parametres!$G$2,$Q955=Parametres!$G$3),I955,C955)</f>
        <v>0</v>
      </c>
      <c r="O955" s="155">
        <f>+IF(OR($Q955=Parametres!$G$2,$Q955=Parametres!$G$3),J955,D955)</f>
        <v>0</v>
      </c>
      <c r="P955" s="155">
        <f>+IF(OR($Q955=Parametres!$G$2,$Q955=Parametres!$G$3),K955,E955)</f>
        <v>0</v>
      </c>
      <c r="Q955" s="154">
        <f t="shared" si="87"/>
        <v>0</v>
      </c>
      <c r="R955" s="153">
        <f t="shared" si="88"/>
        <v>0</v>
      </c>
      <c r="S955" s="154">
        <f t="shared" si="89"/>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hidden="1" customHeight="1">
      <c r="A956" s="157"/>
      <c r="B956" s="158"/>
      <c r="C956" s="159"/>
      <c r="D956" s="157"/>
      <c r="E956" s="157"/>
      <c r="F956" s="157"/>
      <c r="G956" s="157"/>
      <c r="H956" s="157"/>
      <c r="I956" s="157"/>
      <c r="J956" s="157"/>
      <c r="K956" s="157"/>
      <c r="L956" s="153">
        <f t="shared" si="85"/>
        <v>0</v>
      </c>
      <c r="M956" s="154">
        <f t="shared" si="86"/>
        <v>0</v>
      </c>
      <c r="N956" s="155">
        <f>+IF(OR($Q956=Parametres!$G$2,$Q956=Parametres!$G$3),I956,C956)</f>
        <v>0</v>
      </c>
      <c r="O956" s="155">
        <f>+IF(OR($Q956=Parametres!$G$2,$Q956=Parametres!$G$3),J956,D956)</f>
        <v>0</v>
      </c>
      <c r="P956" s="155">
        <f>+IF(OR($Q956=Parametres!$G$2,$Q956=Parametres!$G$3),K956,E956)</f>
        <v>0</v>
      </c>
      <c r="Q956" s="154">
        <f t="shared" si="87"/>
        <v>0</v>
      </c>
      <c r="R956" s="153">
        <f t="shared" si="88"/>
        <v>0</v>
      </c>
      <c r="S956" s="154">
        <f t="shared" si="89"/>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hidden="1" customHeight="1">
      <c r="A957" s="157"/>
      <c r="B957" s="158"/>
      <c r="C957" s="159"/>
      <c r="D957" s="157"/>
      <c r="E957" s="157"/>
      <c r="F957" s="157"/>
      <c r="G957" s="157"/>
      <c r="H957" s="157"/>
      <c r="I957" s="157"/>
      <c r="J957" s="157"/>
      <c r="K957" s="157"/>
      <c r="L957" s="153">
        <f t="shared" si="85"/>
        <v>0</v>
      </c>
      <c r="M957" s="154">
        <f t="shared" si="86"/>
        <v>0</v>
      </c>
      <c r="N957" s="155">
        <f>+IF(OR($Q957=Parametres!$G$2,$Q957=Parametres!$G$3),I957,C957)</f>
        <v>0</v>
      </c>
      <c r="O957" s="155">
        <f>+IF(OR($Q957=Parametres!$G$2,$Q957=Parametres!$G$3),J957,D957)</f>
        <v>0</v>
      </c>
      <c r="P957" s="155">
        <f>+IF(OR($Q957=Parametres!$G$2,$Q957=Parametres!$G$3),K957,E957)</f>
        <v>0</v>
      </c>
      <c r="Q957" s="154">
        <f t="shared" si="87"/>
        <v>0</v>
      </c>
      <c r="R957" s="153">
        <f t="shared" si="88"/>
        <v>0</v>
      </c>
      <c r="S957" s="154">
        <f t="shared" si="89"/>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hidden="1" customHeight="1">
      <c r="A958" s="157"/>
      <c r="B958" s="158"/>
      <c r="C958" s="159"/>
      <c r="D958" s="157"/>
      <c r="E958" s="157"/>
      <c r="F958" s="157"/>
      <c r="G958" s="157"/>
      <c r="H958" s="157"/>
      <c r="I958" s="157"/>
      <c r="J958" s="157"/>
      <c r="K958" s="157"/>
      <c r="L958" s="153">
        <f t="shared" si="85"/>
        <v>0</v>
      </c>
      <c r="M958" s="154">
        <f t="shared" si="86"/>
        <v>0</v>
      </c>
      <c r="N958" s="155">
        <f>+IF(OR($Q958=Parametres!$G$2,$Q958=Parametres!$G$3),I958,C958)</f>
        <v>0</v>
      </c>
      <c r="O958" s="155">
        <f>+IF(OR($Q958=Parametres!$G$2,$Q958=Parametres!$G$3),J958,D958)</f>
        <v>0</v>
      </c>
      <c r="P958" s="155">
        <f>+IF(OR($Q958=Parametres!$G$2,$Q958=Parametres!$G$3),K958,E958)</f>
        <v>0</v>
      </c>
      <c r="Q958" s="154">
        <f t="shared" si="87"/>
        <v>0</v>
      </c>
      <c r="R958" s="153">
        <f t="shared" si="88"/>
        <v>0</v>
      </c>
      <c r="S958" s="154">
        <f t="shared" si="89"/>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hidden="1" customHeight="1">
      <c r="A959" s="157"/>
      <c r="B959" s="158"/>
      <c r="C959" s="159"/>
      <c r="D959" s="157"/>
      <c r="E959" s="157"/>
      <c r="F959" s="157"/>
      <c r="G959" s="157"/>
      <c r="H959" s="157"/>
      <c r="I959" s="157"/>
      <c r="J959" s="157"/>
      <c r="K959" s="157"/>
      <c r="L959" s="153">
        <f t="shared" si="85"/>
        <v>0</v>
      </c>
      <c r="M959" s="154">
        <f t="shared" si="86"/>
        <v>0</v>
      </c>
      <c r="N959" s="155">
        <f>+IF(OR($Q959=Parametres!$G$2,$Q959=Parametres!$G$3),I959,C959)</f>
        <v>0</v>
      </c>
      <c r="O959" s="155">
        <f>+IF(OR($Q959=Parametres!$G$2,$Q959=Parametres!$G$3),J959,D959)</f>
        <v>0</v>
      </c>
      <c r="P959" s="155">
        <f>+IF(OR($Q959=Parametres!$G$2,$Q959=Parametres!$G$3),K959,E959)</f>
        <v>0</v>
      </c>
      <c r="Q959" s="154">
        <f t="shared" si="87"/>
        <v>0</v>
      </c>
      <c r="R959" s="153">
        <f t="shared" si="88"/>
        <v>0</v>
      </c>
      <c r="S959" s="154">
        <f t="shared" si="89"/>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hidden="1" customHeight="1">
      <c r="A960" s="157"/>
      <c r="B960" s="158"/>
      <c r="C960" s="159"/>
      <c r="D960" s="157"/>
      <c r="E960" s="157"/>
      <c r="F960" s="157"/>
      <c r="G960" s="157"/>
      <c r="H960" s="157"/>
      <c r="I960" s="157"/>
      <c r="J960" s="157"/>
      <c r="K960" s="157"/>
      <c r="L960" s="153">
        <f t="shared" si="85"/>
        <v>0</v>
      </c>
      <c r="M960" s="154">
        <f t="shared" si="86"/>
        <v>0</v>
      </c>
      <c r="N960" s="155">
        <f>+IF(OR($Q960=Parametres!$G$2,$Q960=Parametres!$G$3),I960,C960)</f>
        <v>0</v>
      </c>
      <c r="O960" s="155">
        <f>+IF(OR($Q960=Parametres!$G$2,$Q960=Parametres!$G$3),J960,D960)</f>
        <v>0</v>
      </c>
      <c r="P960" s="155">
        <f>+IF(OR($Q960=Parametres!$G$2,$Q960=Parametres!$G$3),K960,E960)</f>
        <v>0</v>
      </c>
      <c r="Q960" s="154">
        <f t="shared" si="87"/>
        <v>0</v>
      </c>
      <c r="R960" s="153">
        <f t="shared" si="88"/>
        <v>0</v>
      </c>
      <c r="S960" s="154">
        <f t="shared" si="89"/>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hidden="1" customHeight="1">
      <c r="A961" s="157"/>
      <c r="B961" s="158"/>
      <c r="C961" s="159"/>
      <c r="D961" s="157"/>
      <c r="E961" s="157"/>
      <c r="F961" s="157"/>
      <c r="G961" s="157"/>
      <c r="H961" s="157"/>
      <c r="I961" s="157"/>
      <c r="J961" s="157"/>
      <c r="K961" s="157"/>
      <c r="L961" s="153">
        <f t="shared" si="85"/>
        <v>0</v>
      </c>
      <c r="M961" s="154">
        <f t="shared" si="86"/>
        <v>0</v>
      </c>
      <c r="N961" s="155">
        <f>+IF(OR($Q961=Parametres!$G$2,$Q961=Parametres!$G$3),I961,C961)</f>
        <v>0</v>
      </c>
      <c r="O961" s="155">
        <f>+IF(OR($Q961=Parametres!$G$2,$Q961=Parametres!$G$3),J961,D961)</f>
        <v>0</v>
      </c>
      <c r="P961" s="155">
        <f>+IF(OR($Q961=Parametres!$G$2,$Q961=Parametres!$G$3),K961,E961)</f>
        <v>0</v>
      </c>
      <c r="Q961" s="154">
        <f t="shared" si="87"/>
        <v>0</v>
      </c>
      <c r="R961" s="153">
        <f t="shared" si="88"/>
        <v>0</v>
      </c>
      <c r="S961" s="154">
        <f t="shared" si="89"/>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hidden="1" customHeight="1">
      <c r="A962" s="157"/>
      <c r="B962" s="158"/>
      <c r="C962" s="159"/>
      <c r="D962" s="157"/>
      <c r="E962" s="157"/>
      <c r="F962" s="157"/>
      <c r="G962" s="157"/>
      <c r="H962" s="157"/>
      <c r="I962" s="157"/>
      <c r="J962" s="157"/>
      <c r="K962" s="157"/>
      <c r="L962" s="153">
        <f t="shared" ref="L962:L1025" si="90">+B962</f>
        <v>0</v>
      </c>
      <c r="M962" s="154">
        <f t="shared" ref="M962:M1025" si="91">+A962</f>
        <v>0</v>
      </c>
      <c r="N962" s="155">
        <f>+IF(OR($Q962=Parametres!$G$2,$Q962=Parametres!$G$3),I962,C962)</f>
        <v>0</v>
      </c>
      <c r="O962" s="155">
        <f>+IF(OR($Q962=Parametres!$G$2,$Q962=Parametres!$G$3),J962,D962)</f>
        <v>0</v>
      </c>
      <c r="P962" s="155">
        <f>+IF(OR($Q962=Parametres!$G$2,$Q962=Parametres!$G$3),K962,E962)</f>
        <v>0</v>
      </c>
      <c r="Q962" s="154">
        <f t="shared" ref="Q962:Q1025" si="92">+F962</f>
        <v>0</v>
      </c>
      <c r="R962" s="153">
        <f t="shared" ref="R962:R1025" si="93">+G962</f>
        <v>0</v>
      </c>
      <c r="S962" s="154">
        <f t="shared" ref="S962:S1025" si="94">+H962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hidden="1" customHeight="1">
      <c r="A963" s="157"/>
      <c r="B963" s="158"/>
      <c r="C963" s="159"/>
      <c r="D963" s="157"/>
      <c r="E963" s="157"/>
      <c r="F963" s="157"/>
      <c r="G963" s="157"/>
      <c r="H963" s="157"/>
      <c r="I963" s="157"/>
      <c r="J963" s="157"/>
      <c r="K963" s="157"/>
      <c r="L963" s="153">
        <f t="shared" si="90"/>
        <v>0</v>
      </c>
      <c r="M963" s="154">
        <f t="shared" si="91"/>
        <v>0</v>
      </c>
      <c r="N963" s="155">
        <f>+IF(OR($Q963=Parametres!$G$2,$Q963=Parametres!$G$3),I963,C963)</f>
        <v>0</v>
      </c>
      <c r="O963" s="155">
        <f>+IF(OR($Q963=Parametres!$G$2,$Q963=Parametres!$G$3),J963,D963)</f>
        <v>0</v>
      </c>
      <c r="P963" s="155">
        <f>+IF(OR($Q963=Parametres!$G$2,$Q963=Parametres!$G$3),K963,E963)</f>
        <v>0</v>
      </c>
      <c r="Q963" s="154">
        <f t="shared" si="92"/>
        <v>0</v>
      </c>
      <c r="R963" s="153">
        <f t="shared" si="93"/>
        <v>0</v>
      </c>
      <c r="S963" s="154">
        <f t="shared" si="94"/>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hidden="1" customHeight="1">
      <c r="A964" s="157"/>
      <c r="B964" s="158"/>
      <c r="C964" s="159"/>
      <c r="D964" s="157"/>
      <c r="E964" s="157"/>
      <c r="F964" s="157"/>
      <c r="G964" s="157"/>
      <c r="H964" s="157"/>
      <c r="I964" s="157"/>
      <c r="J964" s="157"/>
      <c r="K964" s="157"/>
      <c r="L964" s="153">
        <f t="shared" si="90"/>
        <v>0</v>
      </c>
      <c r="M964" s="154">
        <f t="shared" si="91"/>
        <v>0</v>
      </c>
      <c r="N964" s="155">
        <f>+IF(OR($Q964=Parametres!$G$2,$Q964=Parametres!$G$3),I964,C964)</f>
        <v>0</v>
      </c>
      <c r="O964" s="155">
        <f>+IF(OR($Q964=Parametres!$G$2,$Q964=Parametres!$G$3),J964,D964)</f>
        <v>0</v>
      </c>
      <c r="P964" s="155">
        <f>+IF(OR($Q964=Parametres!$G$2,$Q964=Parametres!$G$3),K964,E964)</f>
        <v>0</v>
      </c>
      <c r="Q964" s="154">
        <f t="shared" si="92"/>
        <v>0</v>
      </c>
      <c r="R964" s="153">
        <f t="shared" si="93"/>
        <v>0</v>
      </c>
      <c r="S964" s="154">
        <f t="shared" si="94"/>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hidden="1" customHeight="1">
      <c r="A965" s="157"/>
      <c r="B965" s="158"/>
      <c r="C965" s="159"/>
      <c r="D965" s="157"/>
      <c r="E965" s="157"/>
      <c r="F965" s="157"/>
      <c r="G965" s="157"/>
      <c r="H965" s="157"/>
      <c r="I965" s="157"/>
      <c r="J965" s="157"/>
      <c r="K965" s="157"/>
      <c r="L965" s="153">
        <f t="shared" si="90"/>
        <v>0</v>
      </c>
      <c r="M965" s="154">
        <f t="shared" si="91"/>
        <v>0</v>
      </c>
      <c r="N965" s="155">
        <f>+IF(OR($Q965=Parametres!$G$2,$Q965=Parametres!$G$3),I965,C965)</f>
        <v>0</v>
      </c>
      <c r="O965" s="155">
        <f>+IF(OR($Q965=Parametres!$G$2,$Q965=Parametres!$G$3),J965,D965)</f>
        <v>0</v>
      </c>
      <c r="P965" s="155">
        <f>+IF(OR($Q965=Parametres!$G$2,$Q965=Parametres!$G$3),K965,E965)</f>
        <v>0</v>
      </c>
      <c r="Q965" s="154">
        <f t="shared" si="92"/>
        <v>0</v>
      </c>
      <c r="R965" s="153">
        <f t="shared" si="93"/>
        <v>0</v>
      </c>
      <c r="S965" s="154">
        <f t="shared" si="94"/>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hidden="1" customHeight="1">
      <c r="A966" s="157"/>
      <c r="B966" s="158"/>
      <c r="C966" s="159"/>
      <c r="D966" s="157"/>
      <c r="E966" s="157"/>
      <c r="F966" s="157"/>
      <c r="G966" s="157"/>
      <c r="H966" s="157"/>
      <c r="I966" s="157"/>
      <c r="J966" s="157"/>
      <c r="K966" s="157"/>
      <c r="L966" s="153">
        <f t="shared" si="90"/>
        <v>0</v>
      </c>
      <c r="M966" s="154">
        <f t="shared" si="91"/>
        <v>0</v>
      </c>
      <c r="N966" s="155">
        <f>+IF(OR($Q966=Parametres!$G$2,$Q966=Parametres!$G$3),I966,C966)</f>
        <v>0</v>
      </c>
      <c r="O966" s="155">
        <f>+IF(OR($Q966=Parametres!$G$2,$Q966=Parametres!$G$3),J966,D966)</f>
        <v>0</v>
      </c>
      <c r="P966" s="155">
        <f>+IF(OR($Q966=Parametres!$G$2,$Q966=Parametres!$G$3),K966,E966)</f>
        <v>0</v>
      </c>
      <c r="Q966" s="154">
        <f t="shared" si="92"/>
        <v>0</v>
      </c>
      <c r="R966" s="153">
        <f t="shared" si="93"/>
        <v>0</v>
      </c>
      <c r="S966" s="154">
        <f t="shared" si="94"/>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hidden="1" customHeight="1">
      <c r="A967" s="157"/>
      <c r="B967" s="158"/>
      <c r="C967" s="159"/>
      <c r="D967" s="157"/>
      <c r="E967" s="157"/>
      <c r="F967" s="157"/>
      <c r="G967" s="157"/>
      <c r="H967" s="157"/>
      <c r="I967" s="157"/>
      <c r="J967" s="157"/>
      <c r="K967" s="157"/>
      <c r="L967" s="153">
        <f t="shared" si="90"/>
        <v>0</v>
      </c>
      <c r="M967" s="154">
        <f t="shared" si="91"/>
        <v>0</v>
      </c>
      <c r="N967" s="155">
        <f>+IF(OR($Q967=Parametres!$G$2,$Q967=Parametres!$G$3),I967,C967)</f>
        <v>0</v>
      </c>
      <c r="O967" s="155">
        <f>+IF(OR($Q967=Parametres!$G$2,$Q967=Parametres!$G$3),J967,D967)</f>
        <v>0</v>
      </c>
      <c r="P967" s="155">
        <f>+IF(OR($Q967=Parametres!$G$2,$Q967=Parametres!$G$3),K967,E967)</f>
        <v>0</v>
      </c>
      <c r="Q967" s="154">
        <f t="shared" si="92"/>
        <v>0</v>
      </c>
      <c r="R967" s="153">
        <f t="shared" si="93"/>
        <v>0</v>
      </c>
      <c r="S967" s="154">
        <f t="shared" si="94"/>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hidden="1" customHeight="1">
      <c r="A968" s="157"/>
      <c r="B968" s="158"/>
      <c r="C968" s="159"/>
      <c r="D968" s="157"/>
      <c r="E968" s="157"/>
      <c r="F968" s="157"/>
      <c r="G968" s="157"/>
      <c r="H968" s="157"/>
      <c r="I968" s="157"/>
      <c r="J968" s="157"/>
      <c r="K968" s="157"/>
      <c r="L968" s="153">
        <f t="shared" si="90"/>
        <v>0</v>
      </c>
      <c r="M968" s="154">
        <f t="shared" si="91"/>
        <v>0</v>
      </c>
      <c r="N968" s="155">
        <f>+IF(OR($Q968=Parametres!$G$2,$Q968=Parametres!$G$3),I968,C968)</f>
        <v>0</v>
      </c>
      <c r="O968" s="155">
        <f>+IF(OR($Q968=Parametres!$G$2,$Q968=Parametres!$G$3),J968,D968)</f>
        <v>0</v>
      </c>
      <c r="P968" s="155">
        <f>+IF(OR($Q968=Parametres!$G$2,$Q968=Parametres!$G$3),K968,E968)</f>
        <v>0</v>
      </c>
      <c r="Q968" s="154">
        <f t="shared" si="92"/>
        <v>0</v>
      </c>
      <c r="R968" s="153">
        <f t="shared" si="93"/>
        <v>0</v>
      </c>
      <c r="S968" s="154">
        <f t="shared" si="94"/>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hidden="1" customHeight="1">
      <c r="A969" s="157"/>
      <c r="B969" s="158"/>
      <c r="C969" s="159"/>
      <c r="D969" s="157"/>
      <c r="E969" s="157"/>
      <c r="F969" s="157"/>
      <c r="G969" s="157"/>
      <c r="H969" s="157"/>
      <c r="I969" s="157"/>
      <c r="J969" s="157"/>
      <c r="K969" s="157"/>
      <c r="L969" s="153">
        <f t="shared" si="90"/>
        <v>0</v>
      </c>
      <c r="M969" s="154">
        <f t="shared" si="91"/>
        <v>0</v>
      </c>
      <c r="N969" s="155">
        <f>+IF(OR($Q969=Parametres!$G$2,$Q969=Parametres!$G$3),I969,C969)</f>
        <v>0</v>
      </c>
      <c r="O969" s="155">
        <f>+IF(OR($Q969=Parametres!$G$2,$Q969=Parametres!$G$3),J969,D969)</f>
        <v>0</v>
      </c>
      <c r="P969" s="155">
        <f>+IF(OR($Q969=Parametres!$G$2,$Q969=Parametres!$G$3),K969,E969)</f>
        <v>0</v>
      </c>
      <c r="Q969" s="154">
        <f t="shared" si="92"/>
        <v>0</v>
      </c>
      <c r="R969" s="153">
        <f t="shared" si="93"/>
        <v>0</v>
      </c>
      <c r="S969" s="154">
        <f t="shared" si="94"/>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hidden="1" customHeight="1">
      <c r="A970" s="157"/>
      <c r="B970" s="158"/>
      <c r="C970" s="159"/>
      <c r="D970" s="157"/>
      <c r="E970" s="157"/>
      <c r="F970" s="157"/>
      <c r="G970" s="157"/>
      <c r="H970" s="157"/>
      <c r="I970" s="157"/>
      <c r="J970" s="157"/>
      <c r="K970" s="157"/>
      <c r="L970" s="153">
        <f t="shared" si="90"/>
        <v>0</v>
      </c>
      <c r="M970" s="154">
        <f t="shared" si="91"/>
        <v>0</v>
      </c>
      <c r="N970" s="155">
        <f>+IF(OR($Q970=Parametres!$G$2,$Q970=Parametres!$G$3),I970,C970)</f>
        <v>0</v>
      </c>
      <c r="O970" s="155">
        <f>+IF(OR($Q970=Parametres!$G$2,$Q970=Parametres!$G$3),J970,D970)</f>
        <v>0</v>
      </c>
      <c r="P970" s="155">
        <f>+IF(OR($Q970=Parametres!$G$2,$Q970=Parametres!$G$3),K970,E970)</f>
        <v>0</v>
      </c>
      <c r="Q970" s="154">
        <f t="shared" si="92"/>
        <v>0</v>
      </c>
      <c r="R970" s="153">
        <f t="shared" si="93"/>
        <v>0</v>
      </c>
      <c r="S970" s="154">
        <f t="shared" si="94"/>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hidden="1" customHeight="1">
      <c r="A971" s="157"/>
      <c r="B971" s="158"/>
      <c r="C971" s="159"/>
      <c r="D971" s="157"/>
      <c r="E971" s="157"/>
      <c r="F971" s="157"/>
      <c r="G971" s="157"/>
      <c r="H971" s="157"/>
      <c r="I971" s="157"/>
      <c r="J971" s="157"/>
      <c r="K971" s="157"/>
      <c r="L971" s="153">
        <f t="shared" si="90"/>
        <v>0</v>
      </c>
      <c r="M971" s="154">
        <f t="shared" si="91"/>
        <v>0</v>
      </c>
      <c r="N971" s="155">
        <f>+IF(OR($Q971=Parametres!$G$2,$Q971=Parametres!$G$3),I971,C971)</f>
        <v>0</v>
      </c>
      <c r="O971" s="155">
        <f>+IF(OR($Q971=Parametres!$G$2,$Q971=Parametres!$G$3),J971,D971)</f>
        <v>0</v>
      </c>
      <c r="P971" s="155">
        <f>+IF(OR($Q971=Parametres!$G$2,$Q971=Parametres!$G$3),K971,E971)</f>
        <v>0</v>
      </c>
      <c r="Q971" s="154">
        <f t="shared" si="92"/>
        <v>0</v>
      </c>
      <c r="R971" s="153">
        <f t="shared" si="93"/>
        <v>0</v>
      </c>
      <c r="S971" s="154">
        <f t="shared" si="94"/>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hidden="1" customHeight="1">
      <c r="A972" s="157"/>
      <c r="B972" s="158"/>
      <c r="C972" s="159"/>
      <c r="D972" s="157"/>
      <c r="E972" s="157"/>
      <c r="F972" s="157"/>
      <c r="G972" s="157"/>
      <c r="H972" s="157"/>
      <c r="I972" s="157"/>
      <c r="J972" s="157"/>
      <c r="K972" s="157"/>
      <c r="L972" s="153">
        <f t="shared" si="90"/>
        <v>0</v>
      </c>
      <c r="M972" s="154">
        <f t="shared" si="91"/>
        <v>0</v>
      </c>
      <c r="N972" s="155">
        <f>+IF(OR($Q972=Parametres!$G$2,$Q972=Parametres!$G$3),I972,C972)</f>
        <v>0</v>
      </c>
      <c r="O972" s="155">
        <f>+IF(OR($Q972=Parametres!$G$2,$Q972=Parametres!$G$3),J972,D972)</f>
        <v>0</v>
      </c>
      <c r="P972" s="155">
        <f>+IF(OR($Q972=Parametres!$G$2,$Q972=Parametres!$G$3),K972,E972)</f>
        <v>0</v>
      </c>
      <c r="Q972" s="154">
        <f t="shared" si="92"/>
        <v>0</v>
      </c>
      <c r="R972" s="153">
        <f t="shared" si="93"/>
        <v>0</v>
      </c>
      <c r="S972" s="154">
        <f t="shared" si="94"/>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hidden="1" customHeight="1">
      <c r="A973" s="157"/>
      <c r="B973" s="158"/>
      <c r="C973" s="159"/>
      <c r="D973" s="157"/>
      <c r="E973" s="157"/>
      <c r="F973" s="157"/>
      <c r="G973" s="157"/>
      <c r="H973" s="157"/>
      <c r="I973" s="157"/>
      <c r="J973" s="157"/>
      <c r="K973" s="157"/>
      <c r="L973" s="153">
        <f t="shared" si="90"/>
        <v>0</v>
      </c>
      <c r="M973" s="154">
        <f t="shared" si="91"/>
        <v>0</v>
      </c>
      <c r="N973" s="155">
        <f>+IF(OR($Q973=Parametres!$G$2,$Q973=Parametres!$G$3),I973,C973)</f>
        <v>0</v>
      </c>
      <c r="O973" s="155">
        <f>+IF(OR($Q973=Parametres!$G$2,$Q973=Parametres!$G$3),J973,D973)</f>
        <v>0</v>
      </c>
      <c r="P973" s="155">
        <f>+IF(OR($Q973=Parametres!$G$2,$Q973=Parametres!$G$3),K973,E973)</f>
        <v>0</v>
      </c>
      <c r="Q973" s="154">
        <f t="shared" si="92"/>
        <v>0</v>
      </c>
      <c r="R973" s="153">
        <f t="shared" si="93"/>
        <v>0</v>
      </c>
      <c r="S973" s="154">
        <f t="shared" si="94"/>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hidden="1" customHeight="1">
      <c r="A974" s="157"/>
      <c r="B974" s="158"/>
      <c r="C974" s="159"/>
      <c r="D974" s="157"/>
      <c r="E974" s="157"/>
      <c r="F974" s="157"/>
      <c r="G974" s="157"/>
      <c r="H974" s="157"/>
      <c r="I974" s="157"/>
      <c r="J974" s="157"/>
      <c r="K974" s="157"/>
      <c r="L974" s="153">
        <f t="shared" si="90"/>
        <v>0</v>
      </c>
      <c r="M974" s="154">
        <f t="shared" si="91"/>
        <v>0</v>
      </c>
      <c r="N974" s="155">
        <f>+IF(OR($Q974=Parametres!$G$2,$Q974=Parametres!$G$3),I974,C974)</f>
        <v>0</v>
      </c>
      <c r="O974" s="155">
        <f>+IF(OR($Q974=Parametres!$G$2,$Q974=Parametres!$G$3),J974,D974)</f>
        <v>0</v>
      </c>
      <c r="P974" s="155">
        <f>+IF(OR($Q974=Parametres!$G$2,$Q974=Parametres!$G$3),K974,E974)</f>
        <v>0</v>
      </c>
      <c r="Q974" s="154">
        <f t="shared" si="92"/>
        <v>0</v>
      </c>
      <c r="R974" s="153">
        <f t="shared" si="93"/>
        <v>0</v>
      </c>
      <c r="S974" s="154">
        <f t="shared" si="94"/>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hidden="1" customHeight="1">
      <c r="A975" s="157"/>
      <c r="B975" s="158"/>
      <c r="C975" s="159"/>
      <c r="D975" s="157"/>
      <c r="E975" s="157"/>
      <c r="F975" s="157"/>
      <c r="G975" s="157"/>
      <c r="H975" s="157"/>
      <c r="I975" s="157"/>
      <c r="J975" s="157"/>
      <c r="K975" s="157"/>
      <c r="L975" s="153">
        <f t="shared" si="90"/>
        <v>0</v>
      </c>
      <c r="M975" s="154">
        <f t="shared" si="91"/>
        <v>0</v>
      </c>
      <c r="N975" s="155">
        <f>+IF(OR($Q975=Parametres!$G$2,$Q975=Parametres!$G$3),I975,C975)</f>
        <v>0</v>
      </c>
      <c r="O975" s="155">
        <f>+IF(OR($Q975=Parametres!$G$2,$Q975=Parametres!$G$3),J975,D975)</f>
        <v>0</v>
      </c>
      <c r="P975" s="155">
        <f>+IF(OR($Q975=Parametres!$G$2,$Q975=Parametres!$G$3),K975,E975)</f>
        <v>0</v>
      </c>
      <c r="Q975" s="154">
        <f t="shared" si="92"/>
        <v>0</v>
      </c>
      <c r="R975" s="153">
        <f t="shared" si="93"/>
        <v>0</v>
      </c>
      <c r="S975" s="154">
        <f t="shared" si="94"/>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hidden="1" customHeight="1">
      <c r="A976" s="157"/>
      <c r="B976" s="158"/>
      <c r="C976" s="159"/>
      <c r="D976" s="157"/>
      <c r="E976" s="157"/>
      <c r="F976" s="157"/>
      <c r="G976" s="157"/>
      <c r="H976" s="157"/>
      <c r="I976" s="157"/>
      <c r="J976" s="157"/>
      <c r="K976" s="157"/>
      <c r="L976" s="153">
        <f t="shared" si="90"/>
        <v>0</v>
      </c>
      <c r="M976" s="154">
        <f t="shared" si="91"/>
        <v>0</v>
      </c>
      <c r="N976" s="155">
        <f>+IF(OR($Q976=Parametres!$G$2,$Q976=Parametres!$G$3),I976,C976)</f>
        <v>0</v>
      </c>
      <c r="O976" s="155">
        <f>+IF(OR($Q976=Parametres!$G$2,$Q976=Parametres!$G$3),J976,D976)</f>
        <v>0</v>
      </c>
      <c r="P976" s="155">
        <f>+IF(OR($Q976=Parametres!$G$2,$Q976=Parametres!$G$3),K976,E976)</f>
        <v>0</v>
      </c>
      <c r="Q976" s="154">
        <f t="shared" si="92"/>
        <v>0</v>
      </c>
      <c r="R976" s="153">
        <f t="shared" si="93"/>
        <v>0</v>
      </c>
      <c r="S976" s="154">
        <f t="shared" si="94"/>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hidden="1" customHeight="1">
      <c r="A977" s="157"/>
      <c r="B977" s="158"/>
      <c r="C977" s="159"/>
      <c r="D977" s="157"/>
      <c r="E977" s="157"/>
      <c r="F977" s="157"/>
      <c r="G977" s="157"/>
      <c r="H977" s="157"/>
      <c r="I977" s="157"/>
      <c r="J977" s="157"/>
      <c r="K977" s="157"/>
      <c r="L977" s="153">
        <f t="shared" si="90"/>
        <v>0</v>
      </c>
      <c r="M977" s="154">
        <f t="shared" si="91"/>
        <v>0</v>
      </c>
      <c r="N977" s="155">
        <f>+IF(OR($Q977=Parametres!$G$2,$Q977=Parametres!$G$3),I977,C977)</f>
        <v>0</v>
      </c>
      <c r="O977" s="155">
        <f>+IF(OR($Q977=Parametres!$G$2,$Q977=Parametres!$G$3),J977,D977)</f>
        <v>0</v>
      </c>
      <c r="P977" s="155">
        <f>+IF(OR($Q977=Parametres!$G$2,$Q977=Parametres!$G$3),K977,E977)</f>
        <v>0</v>
      </c>
      <c r="Q977" s="154">
        <f t="shared" si="92"/>
        <v>0</v>
      </c>
      <c r="R977" s="153">
        <f t="shared" si="93"/>
        <v>0</v>
      </c>
      <c r="S977" s="154">
        <f t="shared" si="94"/>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hidden="1" customHeight="1">
      <c r="A978" s="157"/>
      <c r="B978" s="158"/>
      <c r="C978" s="159"/>
      <c r="D978" s="157"/>
      <c r="E978" s="157"/>
      <c r="F978" s="157"/>
      <c r="G978" s="157"/>
      <c r="H978" s="157"/>
      <c r="I978" s="157"/>
      <c r="J978" s="157"/>
      <c r="K978" s="157"/>
      <c r="L978" s="153">
        <f t="shared" si="90"/>
        <v>0</v>
      </c>
      <c r="M978" s="154">
        <f t="shared" si="91"/>
        <v>0</v>
      </c>
      <c r="N978" s="155">
        <f>+IF(OR($Q978=Parametres!$G$2,$Q978=Parametres!$G$3),I978,C978)</f>
        <v>0</v>
      </c>
      <c r="O978" s="155">
        <f>+IF(OR($Q978=Parametres!$G$2,$Q978=Parametres!$G$3),J978,D978)</f>
        <v>0</v>
      </c>
      <c r="P978" s="155">
        <f>+IF(OR($Q978=Parametres!$G$2,$Q978=Parametres!$G$3),K978,E978)</f>
        <v>0</v>
      </c>
      <c r="Q978" s="154">
        <f t="shared" si="92"/>
        <v>0</v>
      </c>
      <c r="R978" s="153">
        <f t="shared" si="93"/>
        <v>0</v>
      </c>
      <c r="S978" s="154">
        <f t="shared" si="94"/>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hidden="1" customHeight="1">
      <c r="A979" s="157"/>
      <c r="B979" s="158"/>
      <c r="C979" s="159"/>
      <c r="D979" s="157"/>
      <c r="E979" s="157"/>
      <c r="F979" s="157"/>
      <c r="G979" s="157"/>
      <c r="H979" s="157"/>
      <c r="I979" s="157"/>
      <c r="J979" s="157"/>
      <c r="K979" s="157"/>
      <c r="L979" s="153">
        <f t="shared" si="90"/>
        <v>0</v>
      </c>
      <c r="M979" s="154">
        <f t="shared" si="91"/>
        <v>0</v>
      </c>
      <c r="N979" s="155">
        <f>+IF(OR($Q979=Parametres!$G$2,$Q979=Parametres!$G$3),I979,C979)</f>
        <v>0</v>
      </c>
      <c r="O979" s="155">
        <f>+IF(OR($Q979=Parametres!$G$2,$Q979=Parametres!$G$3),J979,D979)</f>
        <v>0</v>
      </c>
      <c r="P979" s="155">
        <f>+IF(OR($Q979=Parametres!$G$2,$Q979=Parametres!$G$3),K979,E979)</f>
        <v>0</v>
      </c>
      <c r="Q979" s="154">
        <f t="shared" si="92"/>
        <v>0</v>
      </c>
      <c r="R979" s="153">
        <f t="shared" si="93"/>
        <v>0</v>
      </c>
      <c r="S979" s="154">
        <f t="shared" si="94"/>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hidden="1" customHeight="1">
      <c r="A980" s="157"/>
      <c r="B980" s="158"/>
      <c r="C980" s="159"/>
      <c r="D980" s="157"/>
      <c r="E980" s="157"/>
      <c r="F980" s="157"/>
      <c r="G980" s="157"/>
      <c r="H980" s="157"/>
      <c r="I980" s="157"/>
      <c r="J980" s="157"/>
      <c r="K980" s="157"/>
      <c r="L980" s="153">
        <f t="shared" si="90"/>
        <v>0</v>
      </c>
      <c r="M980" s="154">
        <f t="shared" si="91"/>
        <v>0</v>
      </c>
      <c r="N980" s="155">
        <f>+IF(OR($Q980=Parametres!$G$2,$Q980=Parametres!$G$3),I980,C980)</f>
        <v>0</v>
      </c>
      <c r="O980" s="155">
        <f>+IF(OR($Q980=Parametres!$G$2,$Q980=Parametres!$G$3),J980,D980)</f>
        <v>0</v>
      </c>
      <c r="P980" s="155">
        <f>+IF(OR($Q980=Parametres!$G$2,$Q980=Parametres!$G$3),K980,E980)</f>
        <v>0</v>
      </c>
      <c r="Q980" s="154">
        <f t="shared" si="92"/>
        <v>0</v>
      </c>
      <c r="R980" s="153">
        <f t="shared" si="93"/>
        <v>0</v>
      </c>
      <c r="S980" s="154">
        <f t="shared" si="94"/>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hidden="1" customHeight="1">
      <c r="A981" s="157"/>
      <c r="B981" s="158"/>
      <c r="C981" s="159"/>
      <c r="D981" s="157"/>
      <c r="E981" s="157"/>
      <c r="F981" s="157"/>
      <c r="G981" s="157"/>
      <c r="H981" s="157"/>
      <c r="I981" s="157"/>
      <c r="J981" s="157"/>
      <c r="K981" s="157"/>
      <c r="L981" s="153">
        <f t="shared" si="90"/>
        <v>0</v>
      </c>
      <c r="M981" s="154">
        <f t="shared" si="91"/>
        <v>0</v>
      </c>
      <c r="N981" s="155">
        <f>+IF(OR($Q981=Parametres!$G$2,$Q981=Parametres!$G$3),I981,C981)</f>
        <v>0</v>
      </c>
      <c r="O981" s="155">
        <f>+IF(OR($Q981=Parametres!$G$2,$Q981=Parametres!$G$3),J981,D981)</f>
        <v>0</v>
      </c>
      <c r="P981" s="155">
        <f>+IF(OR($Q981=Parametres!$G$2,$Q981=Parametres!$G$3),K981,E981)</f>
        <v>0</v>
      </c>
      <c r="Q981" s="154">
        <f t="shared" si="92"/>
        <v>0</v>
      </c>
      <c r="R981" s="153">
        <f t="shared" si="93"/>
        <v>0</v>
      </c>
      <c r="S981" s="154">
        <f t="shared" si="94"/>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hidden="1" customHeight="1">
      <c r="A982" s="157"/>
      <c r="B982" s="158"/>
      <c r="C982" s="159"/>
      <c r="D982" s="157"/>
      <c r="E982" s="157"/>
      <c r="F982" s="157"/>
      <c r="G982" s="157"/>
      <c r="H982" s="157"/>
      <c r="I982" s="157"/>
      <c r="J982" s="157"/>
      <c r="K982" s="157"/>
      <c r="L982" s="153">
        <f t="shared" si="90"/>
        <v>0</v>
      </c>
      <c r="M982" s="154">
        <f t="shared" si="91"/>
        <v>0</v>
      </c>
      <c r="N982" s="155">
        <f>+IF(OR($Q982=Parametres!$G$2,$Q982=Parametres!$G$3),I982,C982)</f>
        <v>0</v>
      </c>
      <c r="O982" s="155">
        <f>+IF(OR($Q982=Parametres!$G$2,$Q982=Parametres!$G$3),J982,D982)</f>
        <v>0</v>
      </c>
      <c r="P982" s="155">
        <f>+IF(OR($Q982=Parametres!$G$2,$Q982=Parametres!$G$3),K982,E982)</f>
        <v>0</v>
      </c>
      <c r="Q982" s="154">
        <f t="shared" si="92"/>
        <v>0</v>
      </c>
      <c r="R982" s="153">
        <f t="shared" si="93"/>
        <v>0</v>
      </c>
      <c r="S982" s="154">
        <f t="shared" si="94"/>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hidden="1" customHeight="1">
      <c r="A983" s="157"/>
      <c r="B983" s="158"/>
      <c r="C983" s="159"/>
      <c r="D983" s="157"/>
      <c r="E983" s="157"/>
      <c r="F983" s="157"/>
      <c r="G983" s="157"/>
      <c r="H983" s="157"/>
      <c r="I983" s="157"/>
      <c r="J983" s="157"/>
      <c r="K983" s="157"/>
      <c r="L983" s="153">
        <f t="shared" si="90"/>
        <v>0</v>
      </c>
      <c r="M983" s="154">
        <f t="shared" si="91"/>
        <v>0</v>
      </c>
      <c r="N983" s="155">
        <f>+IF(OR($Q983=Parametres!$G$2,$Q983=Parametres!$G$3),I983,C983)</f>
        <v>0</v>
      </c>
      <c r="O983" s="155">
        <f>+IF(OR($Q983=Parametres!$G$2,$Q983=Parametres!$G$3),J983,D983)</f>
        <v>0</v>
      </c>
      <c r="P983" s="155">
        <f>+IF(OR($Q983=Parametres!$G$2,$Q983=Parametres!$G$3),K983,E983)</f>
        <v>0</v>
      </c>
      <c r="Q983" s="154">
        <f t="shared" si="92"/>
        <v>0</v>
      </c>
      <c r="R983" s="153">
        <f t="shared" si="93"/>
        <v>0</v>
      </c>
      <c r="S983" s="154">
        <f t="shared" si="94"/>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hidden="1" customHeight="1">
      <c r="A984" s="157"/>
      <c r="B984" s="158"/>
      <c r="C984" s="159"/>
      <c r="D984" s="157"/>
      <c r="E984" s="157"/>
      <c r="F984" s="157"/>
      <c r="G984" s="157"/>
      <c r="H984" s="157"/>
      <c r="I984" s="157"/>
      <c r="J984" s="157"/>
      <c r="K984" s="157"/>
      <c r="L984" s="153">
        <f t="shared" si="90"/>
        <v>0</v>
      </c>
      <c r="M984" s="154">
        <f t="shared" si="91"/>
        <v>0</v>
      </c>
      <c r="N984" s="155">
        <f>+IF(OR($Q984=Parametres!$G$2,$Q984=Parametres!$G$3),I984,C984)</f>
        <v>0</v>
      </c>
      <c r="O984" s="155">
        <f>+IF(OR($Q984=Parametres!$G$2,$Q984=Parametres!$G$3),J984,D984)</f>
        <v>0</v>
      </c>
      <c r="P984" s="155">
        <f>+IF(OR($Q984=Parametres!$G$2,$Q984=Parametres!$G$3),K984,E984)</f>
        <v>0</v>
      </c>
      <c r="Q984" s="154">
        <f t="shared" si="92"/>
        <v>0</v>
      </c>
      <c r="R984" s="153">
        <f t="shared" si="93"/>
        <v>0</v>
      </c>
      <c r="S984" s="154">
        <f t="shared" si="94"/>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hidden="1" customHeight="1">
      <c r="A985" s="157"/>
      <c r="B985" s="158"/>
      <c r="C985" s="159"/>
      <c r="D985" s="157"/>
      <c r="E985" s="157"/>
      <c r="F985" s="157"/>
      <c r="G985" s="157"/>
      <c r="H985" s="157"/>
      <c r="I985" s="157"/>
      <c r="J985" s="157"/>
      <c r="K985" s="157"/>
      <c r="L985" s="153">
        <f t="shared" si="90"/>
        <v>0</v>
      </c>
      <c r="M985" s="154">
        <f t="shared" si="91"/>
        <v>0</v>
      </c>
      <c r="N985" s="155">
        <f>+IF(OR($Q985=Parametres!$G$2,$Q985=Parametres!$G$3),I985,C985)</f>
        <v>0</v>
      </c>
      <c r="O985" s="155">
        <f>+IF(OR($Q985=Parametres!$G$2,$Q985=Parametres!$G$3),J985,D985)</f>
        <v>0</v>
      </c>
      <c r="P985" s="155">
        <f>+IF(OR($Q985=Parametres!$G$2,$Q985=Parametres!$G$3),K985,E985)</f>
        <v>0</v>
      </c>
      <c r="Q985" s="154">
        <f t="shared" si="92"/>
        <v>0</v>
      </c>
      <c r="R985" s="153">
        <f t="shared" si="93"/>
        <v>0</v>
      </c>
      <c r="S985" s="154">
        <f t="shared" si="94"/>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hidden="1" customHeight="1">
      <c r="A986" s="157"/>
      <c r="B986" s="158"/>
      <c r="C986" s="159"/>
      <c r="D986" s="157"/>
      <c r="E986" s="157"/>
      <c r="F986" s="157"/>
      <c r="G986" s="157"/>
      <c r="H986" s="157"/>
      <c r="I986" s="157"/>
      <c r="J986" s="157"/>
      <c r="K986" s="157"/>
      <c r="L986" s="153">
        <f t="shared" si="90"/>
        <v>0</v>
      </c>
      <c r="M986" s="154">
        <f t="shared" si="91"/>
        <v>0</v>
      </c>
      <c r="N986" s="155">
        <f>+IF(OR($Q986=Parametres!$G$2,$Q986=Parametres!$G$3),I986,C986)</f>
        <v>0</v>
      </c>
      <c r="O986" s="155">
        <f>+IF(OR($Q986=Parametres!$G$2,$Q986=Parametres!$G$3),J986,D986)</f>
        <v>0</v>
      </c>
      <c r="P986" s="155">
        <f>+IF(OR($Q986=Parametres!$G$2,$Q986=Parametres!$G$3),K986,E986)</f>
        <v>0</v>
      </c>
      <c r="Q986" s="154">
        <f t="shared" si="92"/>
        <v>0</v>
      </c>
      <c r="R986" s="153">
        <f t="shared" si="93"/>
        <v>0</v>
      </c>
      <c r="S986" s="154">
        <f t="shared" si="94"/>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hidden="1" customHeight="1">
      <c r="A987" s="157"/>
      <c r="B987" s="158"/>
      <c r="C987" s="159"/>
      <c r="D987" s="157"/>
      <c r="E987" s="157"/>
      <c r="F987" s="157"/>
      <c r="G987" s="157"/>
      <c r="H987" s="157"/>
      <c r="I987" s="157"/>
      <c r="J987" s="157"/>
      <c r="K987" s="157"/>
      <c r="L987" s="153">
        <f t="shared" si="90"/>
        <v>0</v>
      </c>
      <c r="M987" s="154">
        <f t="shared" si="91"/>
        <v>0</v>
      </c>
      <c r="N987" s="155">
        <f>+IF(OR($Q987=Parametres!$G$2,$Q987=Parametres!$G$3),I987,C987)</f>
        <v>0</v>
      </c>
      <c r="O987" s="155">
        <f>+IF(OR($Q987=Parametres!$G$2,$Q987=Parametres!$G$3),J987,D987)</f>
        <v>0</v>
      </c>
      <c r="P987" s="155">
        <f>+IF(OR($Q987=Parametres!$G$2,$Q987=Parametres!$G$3),K987,E987)</f>
        <v>0</v>
      </c>
      <c r="Q987" s="154">
        <f t="shared" si="92"/>
        <v>0</v>
      </c>
      <c r="R987" s="153">
        <f t="shared" si="93"/>
        <v>0</v>
      </c>
      <c r="S987" s="154">
        <f t="shared" si="94"/>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hidden="1" customHeight="1">
      <c r="A988" s="157"/>
      <c r="B988" s="158"/>
      <c r="C988" s="159"/>
      <c r="D988" s="157"/>
      <c r="E988" s="157"/>
      <c r="F988" s="157"/>
      <c r="G988" s="157"/>
      <c r="H988" s="157"/>
      <c r="I988" s="157"/>
      <c r="J988" s="157"/>
      <c r="K988" s="157"/>
      <c r="L988" s="153">
        <f t="shared" si="90"/>
        <v>0</v>
      </c>
      <c r="M988" s="154">
        <f t="shared" si="91"/>
        <v>0</v>
      </c>
      <c r="N988" s="155">
        <f>+IF(OR($Q988=Parametres!$G$2,$Q988=Parametres!$G$3),I988,C988)</f>
        <v>0</v>
      </c>
      <c r="O988" s="155">
        <f>+IF(OR($Q988=Parametres!$G$2,$Q988=Parametres!$G$3),J988,D988)</f>
        <v>0</v>
      </c>
      <c r="P988" s="155">
        <f>+IF(OR($Q988=Parametres!$G$2,$Q988=Parametres!$G$3),K988,E988)</f>
        <v>0</v>
      </c>
      <c r="Q988" s="154">
        <f t="shared" si="92"/>
        <v>0</v>
      </c>
      <c r="R988" s="153">
        <f t="shared" si="93"/>
        <v>0</v>
      </c>
      <c r="S988" s="154">
        <f t="shared" si="94"/>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hidden="1" customHeight="1">
      <c r="A989" s="157"/>
      <c r="B989" s="158"/>
      <c r="C989" s="159"/>
      <c r="D989" s="157"/>
      <c r="E989" s="157"/>
      <c r="F989" s="157"/>
      <c r="G989" s="157"/>
      <c r="H989" s="157"/>
      <c r="I989" s="157"/>
      <c r="J989" s="157"/>
      <c r="K989" s="157"/>
      <c r="L989" s="153">
        <f t="shared" si="90"/>
        <v>0</v>
      </c>
      <c r="M989" s="154">
        <f t="shared" si="91"/>
        <v>0</v>
      </c>
      <c r="N989" s="155">
        <f>+IF(OR($Q989=Parametres!$G$2,$Q989=Parametres!$G$3),I989,C989)</f>
        <v>0</v>
      </c>
      <c r="O989" s="155">
        <f>+IF(OR($Q989=Parametres!$G$2,$Q989=Parametres!$G$3),J989,D989)</f>
        <v>0</v>
      </c>
      <c r="P989" s="155">
        <f>+IF(OR($Q989=Parametres!$G$2,$Q989=Parametres!$G$3),K989,E989)</f>
        <v>0</v>
      </c>
      <c r="Q989" s="154">
        <f t="shared" si="92"/>
        <v>0</v>
      </c>
      <c r="R989" s="153">
        <f t="shared" si="93"/>
        <v>0</v>
      </c>
      <c r="S989" s="154">
        <f t="shared" si="94"/>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hidden="1" customHeight="1">
      <c r="A990" s="157"/>
      <c r="B990" s="158"/>
      <c r="C990" s="159"/>
      <c r="D990" s="157"/>
      <c r="E990" s="157"/>
      <c r="F990" s="157"/>
      <c r="G990" s="157"/>
      <c r="H990" s="157"/>
      <c r="I990" s="157"/>
      <c r="J990" s="157"/>
      <c r="K990" s="157"/>
      <c r="L990" s="153">
        <f t="shared" si="90"/>
        <v>0</v>
      </c>
      <c r="M990" s="154">
        <f t="shared" si="91"/>
        <v>0</v>
      </c>
      <c r="N990" s="155">
        <f>+IF(OR($Q990=Parametres!$G$2,$Q990=Parametres!$G$3),I990,C990)</f>
        <v>0</v>
      </c>
      <c r="O990" s="155">
        <f>+IF(OR($Q990=Parametres!$G$2,$Q990=Parametres!$G$3),J990,D990)</f>
        <v>0</v>
      </c>
      <c r="P990" s="155">
        <f>+IF(OR($Q990=Parametres!$G$2,$Q990=Parametres!$G$3),K990,E990)</f>
        <v>0</v>
      </c>
      <c r="Q990" s="154">
        <f t="shared" si="92"/>
        <v>0</v>
      </c>
      <c r="R990" s="153">
        <f t="shared" si="93"/>
        <v>0</v>
      </c>
      <c r="S990" s="154">
        <f t="shared" si="94"/>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hidden="1" customHeight="1">
      <c r="A991" s="157"/>
      <c r="B991" s="158"/>
      <c r="C991" s="159"/>
      <c r="D991" s="157"/>
      <c r="E991" s="157"/>
      <c r="F991" s="157"/>
      <c r="G991" s="157"/>
      <c r="H991" s="157"/>
      <c r="I991" s="157"/>
      <c r="J991" s="157"/>
      <c r="K991" s="157"/>
      <c r="L991" s="153">
        <f t="shared" si="90"/>
        <v>0</v>
      </c>
      <c r="M991" s="154">
        <f t="shared" si="91"/>
        <v>0</v>
      </c>
      <c r="N991" s="155">
        <f>+IF(OR($Q991=Parametres!$G$2,$Q991=Parametres!$G$3),I991,C991)</f>
        <v>0</v>
      </c>
      <c r="O991" s="155">
        <f>+IF(OR($Q991=Parametres!$G$2,$Q991=Parametres!$G$3),J991,D991)</f>
        <v>0</v>
      </c>
      <c r="P991" s="155">
        <f>+IF(OR($Q991=Parametres!$G$2,$Q991=Parametres!$G$3),K991,E991)</f>
        <v>0</v>
      </c>
      <c r="Q991" s="154">
        <f t="shared" si="92"/>
        <v>0</v>
      </c>
      <c r="R991" s="153">
        <f t="shared" si="93"/>
        <v>0</v>
      </c>
      <c r="S991" s="154">
        <f t="shared" si="94"/>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hidden="1" customHeight="1">
      <c r="A992" s="157"/>
      <c r="B992" s="158"/>
      <c r="C992" s="159"/>
      <c r="D992" s="157"/>
      <c r="E992" s="157"/>
      <c r="F992" s="157"/>
      <c r="G992" s="157"/>
      <c r="H992" s="157"/>
      <c r="I992" s="157"/>
      <c r="J992" s="157"/>
      <c r="K992" s="157"/>
      <c r="L992" s="153">
        <f t="shared" si="90"/>
        <v>0</v>
      </c>
      <c r="M992" s="154">
        <f t="shared" si="91"/>
        <v>0</v>
      </c>
      <c r="N992" s="155">
        <f>+IF(OR($Q992=Parametres!$G$2,$Q992=Parametres!$G$3),I992,C992)</f>
        <v>0</v>
      </c>
      <c r="O992" s="155">
        <f>+IF(OR($Q992=Parametres!$G$2,$Q992=Parametres!$G$3),J992,D992)</f>
        <v>0</v>
      </c>
      <c r="P992" s="155">
        <f>+IF(OR($Q992=Parametres!$G$2,$Q992=Parametres!$G$3),K992,E992)</f>
        <v>0</v>
      </c>
      <c r="Q992" s="154">
        <f t="shared" si="92"/>
        <v>0</v>
      </c>
      <c r="R992" s="153">
        <f t="shared" si="93"/>
        <v>0</v>
      </c>
      <c r="S992" s="154">
        <f t="shared" si="94"/>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hidden="1" customHeight="1">
      <c r="A993" s="157"/>
      <c r="B993" s="158"/>
      <c r="C993" s="159"/>
      <c r="D993" s="157"/>
      <c r="E993" s="157"/>
      <c r="F993" s="157"/>
      <c r="G993" s="157"/>
      <c r="H993" s="157"/>
      <c r="I993" s="157"/>
      <c r="J993" s="157"/>
      <c r="K993" s="157"/>
      <c r="L993" s="153">
        <f t="shared" si="90"/>
        <v>0</v>
      </c>
      <c r="M993" s="154">
        <f t="shared" si="91"/>
        <v>0</v>
      </c>
      <c r="N993" s="155">
        <f>+IF(OR($Q993=Parametres!$G$2,$Q993=Parametres!$G$3),I993,C993)</f>
        <v>0</v>
      </c>
      <c r="O993" s="155">
        <f>+IF(OR($Q993=Parametres!$G$2,$Q993=Parametres!$G$3),J993,D993)</f>
        <v>0</v>
      </c>
      <c r="P993" s="155">
        <f>+IF(OR($Q993=Parametres!$G$2,$Q993=Parametres!$G$3),K993,E993)</f>
        <v>0</v>
      </c>
      <c r="Q993" s="154">
        <f t="shared" si="92"/>
        <v>0</v>
      </c>
      <c r="R993" s="153">
        <f t="shared" si="93"/>
        <v>0</v>
      </c>
      <c r="S993" s="154">
        <f t="shared" si="94"/>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hidden="1" customHeight="1">
      <c r="A994" s="157"/>
      <c r="B994" s="158"/>
      <c r="C994" s="159"/>
      <c r="D994" s="157"/>
      <c r="E994" s="157"/>
      <c r="F994" s="157"/>
      <c r="G994" s="157"/>
      <c r="H994" s="157"/>
      <c r="I994" s="157"/>
      <c r="J994" s="157"/>
      <c r="K994" s="157"/>
      <c r="L994" s="153">
        <f t="shared" si="90"/>
        <v>0</v>
      </c>
      <c r="M994" s="154">
        <f t="shared" si="91"/>
        <v>0</v>
      </c>
      <c r="N994" s="155">
        <f>+IF(OR($Q994=Parametres!$G$2,$Q994=Parametres!$G$3),I994,C994)</f>
        <v>0</v>
      </c>
      <c r="O994" s="155">
        <f>+IF(OR($Q994=Parametres!$G$2,$Q994=Parametres!$G$3),J994,D994)</f>
        <v>0</v>
      </c>
      <c r="P994" s="155">
        <f>+IF(OR($Q994=Parametres!$G$2,$Q994=Parametres!$G$3),K994,E994)</f>
        <v>0</v>
      </c>
      <c r="Q994" s="154">
        <f t="shared" si="92"/>
        <v>0</v>
      </c>
      <c r="R994" s="153">
        <f t="shared" si="93"/>
        <v>0</v>
      </c>
      <c r="S994" s="154">
        <f t="shared" si="94"/>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hidden="1" customHeight="1">
      <c r="A995" s="157"/>
      <c r="B995" s="158"/>
      <c r="C995" s="159"/>
      <c r="D995" s="157"/>
      <c r="E995" s="157"/>
      <c r="F995" s="157"/>
      <c r="G995" s="157"/>
      <c r="H995" s="157"/>
      <c r="I995" s="157"/>
      <c r="J995" s="157"/>
      <c r="K995" s="157"/>
      <c r="L995" s="153">
        <f t="shared" si="90"/>
        <v>0</v>
      </c>
      <c r="M995" s="154">
        <f t="shared" si="91"/>
        <v>0</v>
      </c>
      <c r="N995" s="155">
        <f>+IF(OR($Q995=Parametres!$G$2,$Q995=Parametres!$G$3),I995,C995)</f>
        <v>0</v>
      </c>
      <c r="O995" s="155">
        <f>+IF(OR($Q995=Parametres!$G$2,$Q995=Parametres!$G$3),J995,D995)</f>
        <v>0</v>
      </c>
      <c r="P995" s="155">
        <f>+IF(OR($Q995=Parametres!$G$2,$Q995=Parametres!$G$3),K995,E995)</f>
        <v>0</v>
      </c>
      <c r="Q995" s="154">
        <f t="shared" si="92"/>
        <v>0</v>
      </c>
      <c r="R995" s="153">
        <f t="shared" si="93"/>
        <v>0</v>
      </c>
      <c r="S995" s="154">
        <f t="shared" si="94"/>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hidden="1" customHeight="1">
      <c r="A996" s="157"/>
      <c r="B996" s="158"/>
      <c r="C996" s="159"/>
      <c r="D996" s="157"/>
      <c r="E996" s="157"/>
      <c r="F996" s="157"/>
      <c r="G996" s="157"/>
      <c r="H996" s="157"/>
      <c r="I996" s="157"/>
      <c r="J996" s="157"/>
      <c r="K996" s="157"/>
      <c r="L996" s="153">
        <f t="shared" si="90"/>
        <v>0</v>
      </c>
      <c r="M996" s="154">
        <f t="shared" si="91"/>
        <v>0</v>
      </c>
      <c r="N996" s="155">
        <f>+IF(OR($Q996=Parametres!$G$2,$Q996=Parametres!$G$3),I996,C996)</f>
        <v>0</v>
      </c>
      <c r="O996" s="155">
        <f>+IF(OR($Q996=Parametres!$G$2,$Q996=Parametres!$G$3),J996,D996)</f>
        <v>0</v>
      </c>
      <c r="P996" s="155">
        <f>+IF(OR($Q996=Parametres!$G$2,$Q996=Parametres!$G$3),K996,E996)</f>
        <v>0</v>
      </c>
      <c r="Q996" s="154">
        <f t="shared" si="92"/>
        <v>0</v>
      </c>
      <c r="R996" s="153">
        <f t="shared" si="93"/>
        <v>0</v>
      </c>
      <c r="S996" s="154">
        <f t="shared" si="94"/>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hidden="1" customHeight="1">
      <c r="A997" s="157"/>
      <c r="B997" s="158"/>
      <c r="C997" s="159"/>
      <c r="D997" s="157"/>
      <c r="E997" s="157"/>
      <c r="F997" s="157"/>
      <c r="G997" s="157"/>
      <c r="H997" s="157"/>
      <c r="I997" s="157"/>
      <c r="J997" s="157"/>
      <c r="K997" s="157"/>
      <c r="L997" s="153">
        <f t="shared" si="90"/>
        <v>0</v>
      </c>
      <c r="M997" s="154">
        <f t="shared" si="91"/>
        <v>0</v>
      </c>
      <c r="N997" s="155">
        <f>+IF(OR($Q997=Parametres!$G$2,$Q997=Parametres!$G$3),I997,C997)</f>
        <v>0</v>
      </c>
      <c r="O997" s="155">
        <f>+IF(OR($Q997=Parametres!$G$2,$Q997=Parametres!$G$3),J997,D997)</f>
        <v>0</v>
      </c>
      <c r="P997" s="155">
        <f>+IF(OR($Q997=Parametres!$G$2,$Q997=Parametres!$G$3),K997,E997)</f>
        <v>0</v>
      </c>
      <c r="Q997" s="154">
        <f t="shared" si="92"/>
        <v>0</v>
      </c>
      <c r="R997" s="153">
        <f t="shared" si="93"/>
        <v>0</v>
      </c>
      <c r="S997" s="154">
        <f t="shared" si="94"/>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hidden="1" customHeight="1">
      <c r="A998" s="157"/>
      <c r="B998" s="158"/>
      <c r="C998" s="159"/>
      <c r="D998" s="157"/>
      <c r="E998" s="157"/>
      <c r="F998" s="157"/>
      <c r="G998" s="157"/>
      <c r="H998" s="157"/>
      <c r="I998" s="157"/>
      <c r="J998" s="157"/>
      <c r="K998" s="157"/>
      <c r="L998" s="153">
        <f t="shared" si="90"/>
        <v>0</v>
      </c>
      <c r="M998" s="154">
        <f t="shared" si="91"/>
        <v>0</v>
      </c>
      <c r="N998" s="155">
        <f>+IF(OR($Q998=Parametres!$G$2,$Q998=Parametres!$G$3),I998,C998)</f>
        <v>0</v>
      </c>
      <c r="O998" s="155">
        <f>+IF(OR($Q998=Parametres!$G$2,$Q998=Parametres!$G$3),J998,D998)</f>
        <v>0</v>
      </c>
      <c r="P998" s="155">
        <f>+IF(OR($Q998=Parametres!$G$2,$Q998=Parametres!$G$3),K998,E998)</f>
        <v>0</v>
      </c>
      <c r="Q998" s="154">
        <f t="shared" si="92"/>
        <v>0</v>
      </c>
      <c r="R998" s="153">
        <f t="shared" si="93"/>
        <v>0</v>
      </c>
      <c r="S998" s="154">
        <f t="shared" si="94"/>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hidden="1" customHeight="1">
      <c r="A999" s="157"/>
      <c r="B999" s="158"/>
      <c r="C999" s="159"/>
      <c r="D999" s="157"/>
      <c r="E999" s="157"/>
      <c r="F999" s="157"/>
      <c r="G999" s="157"/>
      <c r="H999" s="157"/>
      <c r="I999" s="157"/>
      <c r="J999" s="157"/>
      <c r="K999" s="157"/>
      <c r="L999" s="153">
        <f t="shared" si="90"/>
        <v>0</v>
      </c>
      <c r="M999" s="154">
        <f t="shared" si="91"/>
        <v>0</v>
      </c>
      <c r="N999" s="155">
        <f>+IF(OR($Q999=Parametres!$G$2,$Q999=Parametres!$G$3),I999,C999)</f>
        <v>0</v>
      </c>
      <c r="O999" s="155">
        <f>+IF(OR($Q999=Parametres!$G$2,$Q999=Parametres!$G$3),J999,D999)</f>
        <v>0</v>
      </c>
      <c r="P999" s="155">
        <f>+IF(OR($Q999=Parametres!$G$2,$Q999=Parametres!$G$3),K999,E999)</f>
        <v>0</v>
      </c>
      <c r="Q999" s="154">
        <f t="shared" si="92"/>
        <v>0</v>
      </c>
      <c r="R999" s="153">
        <f t="shared" si="93"/>
        <v>0</v>
      </c>
      <c r="S999" s="154">
        <f t="shared" si="94"/>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hidden="1" customHeight="1">
      <c r="A1000" s="157"/>
      <c r="B1000" s="158"/>
      <c r="C1000" s="159"/>
      <c r="D1000" s="157"/>
      <c r="E1000" s="157"/>
      <c r="F1000" s="157"/>
      <c r="G1000" s="157"/>
      <c r="H1000" s="157"/>
      <c r="I1000" s="157"/>
      <c r="J1000" s="157"/>
      <c r="K1000" s="157"/>
      <c r="L1000" s="153">
        <f t="shared" si="90"/>
        <v>0</v>
      </c>
      <c r="M1000" s="154">
        <f t="shared" si="91"/>
        <v>0</v>
      </c>
      <c r="N1000" s="155">
        <f>+IF(OR($Q1000=Parametres!$G$2,$Q1000=Parametres!$G$3),I1000,C1000)</f>
        <v>0</v>
      </c>
      <c r="O1000" s="155">
        <f>+IF(OR($Q1000=Parametres!$G$2,$Q1000=Parametres!$G$3),J1000,D1000)</f>
        <v>0</v>
      </c>
      <c r="P1000" s="155">
        <f>+IF(OR($Q1000=Parametres!$G$2,$Q1000=Parametres!$G$3),K1000,E1000)</f>
        <v>0</v>
      </c>
      <c r="Q1000" s="154">
        <f t="shared" si="92"/>
        <v>0</v>
      </c>
      <c r="R1000" s="153">
        <f t="shared" si="93"/>
        <v>0</v>
      </c>
      <c r="S1000" s="154">
        <f t="shared" si="94"/>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hidden="1" customHeight="1">
      <c r="A1001" s="157"/>
      <c r="B1001" s="158"/>
      <c r="C1001" s="159"/>
      <c r="D1001" s="157"/>
      <c r="E1001" s="157"/>
      <c r="F1001" s="157"/>
      <c r="G1001" s="157"/>
      <c r="H1001" s="157"/>
      <c r="I1001" s="157"/>
      <c r="J1001" s="157"/>
      <c r="K1001" s="157"/>
      <c r="L1001" s="153">
        <f t="shared" si="90"/>
        <v>0</v>
      </c>
      <c r="M1001" s="154">
        <f t="shared" si="91"/>
        <v>0</v>
      </c>
      <c r="N1001" s="155">
        <f>+IF(OR($Q1001=Parametres!$G$2,$Q1001=Parametres!$G$3),I1001,C1001)</f>
        <v>0</v>
      </c>
      <c r="O1001" s="155">
        <f>+IF(OR($Q1001=Parametres!$G$2,$Q1001=Parametres!$G$3),J1001,D1001)</f>
        <v>0</v>
      </c>
      <c r="P1001" s="155">
        <f>+IF(OR($Q1001=Parametres!$G$2,$Q1001=Parametres!$G$3),K1001,E1001)</f>
        <v>0</v>
      </c>
      <c r="Q1001" s="154">
        <f t="shared" si="92"/>
        <v>0</v>
      </c>
      <c r="R1001" s="153">
        <f t="shared" si="93"/>
        <v>0</v>
      </c>
      <c r="S1001" s="154">
        <f t="shared" si="94"/>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hidden="1" customHeight="1">
      <c r="A1002" s="157"/>
      <c r="B1002" s="158"/>
      <c r="C1002" s="159"/>
      <c r="D1002" s="157"/>
      <c r="E1002" s="157"/>
      <c r="F1002" s="157"/>
      <c r="G1002" s="157"/>
      <c r="H1002" s="157"/>
      <c r="I1002" s="157"/>
      <c r="J1002" s="157"/>
      <c r="K1002" s="157"/>
      <c r="L1002" s="153">
        <f t="shared" si="90"/>
        <v>0</v>
      </c>
      <c r="M1002" s="154">
        <f t="shared" si="91"/>
        <v>0</v>
      </c>
      <c r="N1002" s="155">
        <f>+IF(OR($Q1002=Parametres!$G$2,$Q1002=Parametres!$G$3),I1002,C1002)</f>
        <v>0</v>
      </c>
      <c r="O1002" s="155">
        <f>+IF(OR($Q1002=Parametres!$G$2,$Q1002=Parametres!$G$3),J1002,D1002)</f>
        <v>0</v>
      </c>
      <c r="P1002" s="155">
        <f>+IF(OR($Q1002=Parametres!$G$2,$Q1002=Parametres!$G$3),K1002,E1002)</f>
        <v>0</v>
      </c>
      <c r="Q1002" s="154">
        <f t="shared" si="92"/>
        <v>0</v>
      </c>
      <c r="R1002" s="153">
        <f t="shared" si="93"/>
        <v>0</v>
      </c>
      <c r="S1002" s="154">
        <f t="shared" si="94"/>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hidden="1" customHeight="1">
      <c r="A1003" s="157"/>
      <c r="B1003" s="158"/>
      <c r="C1003" s="159"/>
      <c r="D1003" s="157"/>
      <c r="E1003" s="157"/>
      <c r="F1003" s="157"/>
      <c r="G1003" s="157"/>
      <c r="H1003" s="157"/>
      <c r="I1003" s="157"/>
      <c r="J1003" s="157"/>
      <c r="K1003" s="157"/>
      <c r="L1003" s="153">
        <f t="shared" si="90"/>
        <v>0</v>
      </c>
      <c r="M1003" s="154">
        <f t="shared" si="91"/>
        <v>0</v>
      </c>
      <c r="N1003" s="155">
        <f>+IF(OR($Q1003=Parametres!$G$2,$Q1003=Parametres!$G$3),I1003,C1003)</f>
        <v>0</v>
      </c>
      <c r="O1003" s="155">
        <f>+IF(OR($Q1003=Parametres!$G$2,$Q1003=Parametres!$G$3),J1003,D1003)</f>
        <v>0</v>
      </c>
      <c r="P1003" s="155">
        <f>+IF(OR($Q1003=Parametres!$G$2,$Q1003=Parametres!$G$3),K1003,E1003)</f>
        <v>0</v>
      </c>
      <c r="Q1003" s="154">
        <f t="shared" si="92"/>
        <v>0</v>
      </c>
      <c r="R1003" s="153">
        <f t="shared" si="93"/>
        <v>0</v>
      </c>
      <c r="S1003" s="154">
        <f t="shared" si="94"/>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hidden="1" customHeight="1">
      <c r="A1004" s="157"/>
      <c r="B1004" s="158"/>
      <c r="C1004" s="159"/>
      <c r="D1004" s="157"/>
      <c r="E1004" s="157"/>
      <c r="F1004" s="157"/>
      <c r="G1004" s="157"/>
      <c r="H1004" s="157"/>
      <c r="I1004" s="157"/>
      <c r="J1004" s="157"/>
      <c r="K1004" s="157"/>
      <c r="L1004" s="153">
        <f t="shared" si="90"/>
        <v>0</v>
      </c>
      <c r="M1004" s="154">
        <f t="shared" si="91"/>
        <v>0</v>
      </c>
      <c r="N1004" s="155">
        <f>+IF(OR($Q1004=Parametres!$G$2,$Q1004=Parametres!$G$3),I1004,C1004)</f>
        <v>0</v>
      </c>
      <c r="O1004" s="155">
        <f>+IF(OR($Q1004=Parametres!$G$2,$Q1004=Parametres!$G$3),J1004,D1004)</f>
        <v>0</v>
      </c>
      <c r="P1004" s="155">
        <f>+IF(OR($Q1004=Parametres!$G$2,$Q1004=Parametres!$G$3),K1004,E1004)</f>
        <v>0</v>
      </c>
      <c r="Q1004" s="154">
        <f t="shared" si="92"/>
        <v>0</v>
      </c>
      <c r="R1004" s="153">
        <f t="shared" si="93"/>
        <v>0</v>
      </c>
      <c r="S1004" s="154">
        <f t="shared" si="94"/>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hidden="1" customHeight="1">
      <c r="A1005" s="157"/>
      <c r="B1005" s="158"/>
      <c r="C1005" s="159"/>
      <c r="D1005" s="157"/>
      <c r="E1005" s="157"/>
      <c r="F1005" s="157"/>
      <c r="G1005" s="157"/>
      <c r="H1005" s="157"/>
      <c r="I1005" s="157"/>
      <c r="J1005" s="157"/>
      <c r="K1005" s="157"/>
      <c r="L1005" s="153">
        <f t="shared" si="90"/>
        <v>0</v>
      </c>
      <c r="M1005" s="154">
        <f t="shared" si="91"/>
        <v>0</v>
      </c>
      <c r="N1005" s="155">
        <f>+IF(OR($Q1005=Parametres!$G$2,$Q1005=Parametres!$G$3),I1005,C1005)</f>
        <v>0</v>
      </c>
      <c r="O1005" s="155">
        <f>+IF(OR($Q1005=Parametres!$G$2,$Q1005=Parametres!$G$3),J1005,D1005)</f>
        <v>0</v>
      </c>
      <c r="P1005" s="155">
        <f>+IF(OR($Q1005=Parametres!$G$2,$Q1005=Parametres!$G$3),K1005,E1005)</f>
        <v>0</v>
      </c>
      <c r="Q1005" s="154">
        <f t="shared" si="92"/>
        <v>0</v>
      </c>
      <c r="R1005" s="153">
        <f t="shared" si="93"/>
        <v>0</v>
      </c>
      <c r="S1005" s="154">
        <f t="shared" si="94"/>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hidden="1" customHeight="1">
      <c r="A1006" s="157"/>
      <c r="B1006" s="158"/>
      <c r="C1006" s="159"/>
      <c r="D1006" s="157"/>
      <c r="E1006" s="157"/>
      <c r="F1006" s="157"/>
      <c r="G1006" s="157"/>
      <c r="H1006" s="157"/>
      <c r="I1006" s="157"/>
      <c r="J1006" s="157"/>
      <c r="K1006" s="157"/>
      <c r="L1006" s="153">
        <f t="shared" si="90"/>
        <v>0</v>
      </c>
      <c r="M1006" s="154">
        <f t="shared" si="91"/>
        <v>0</v>
      </c>
      <c r="N1006" s="155">
        <f>+IF(OR($Q1006=Parametres!$G$2,$Q1006=Parametres!$G$3),I1006,C1006)</f>
        <v>0</v>
      </c>
      <c r="O1006" s="155">
        <f>+IF(OR($Q1006=Parametres!$G$2,$Q1006=Parametres!$G$3),J1006,D1006)</f>
        <v>0</v>
      </c>
      <c r="P1006" s="155">
        <f>+IF(OR($Q1006=Parametres!$G$2,$Q1006=Parametres!$G$3),K1006,E1006)</f>
        <v>0</v>
      </c>
      <c r="Q1006" s="154">
        <f t="shared" si="92"/>
        <v>0</v>
      </c>
      <c r="R1006" s="153">
        <f t="shared" si="93"/>
        <v>0</v>
      </c>
      <c r="S1006" s="154">
        <f t="shared" si="94"/>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hidden="1" customHeight="1">
      <c r="A1007" s="157"/>
      <c r="B1007" s="158"/>
      <c r="C1007" s="159"/>
      <c r="D1007" s="157"/>
      <c r="E1007" s="157"/>
      <c r="F1007" s="157"/>
      <c r="G1007" s="157"/>
      <c r="H1007" s="157"/>
      <c r="I1007" s="157"/>
      <c r="J1007" s="157"/>
      <c r="K1007" s="157"/>
      <c r="L1007" s="153">
        <f t="shared" si="90"/>
        <v>0</v>
      </c>
      <c r="M1007" s="154">
        <f t="shared" si="91"/>
        <v>0</v>
      </c>
      <c r="N1007" s="155">
        <f>+IF(OR($Q1007=Parametres!$G$2,$Q1007=Parametres!$G$3),I1007,C1007)</f>
        <v>0</v>
      </c>
      <c r="O1007" s="155">
        <f>+IF(OR($Q1007=Parametres!$G$2,$Q1007=Parametres!$G$3),J1007,D1007)</f>
        <v>0</v>
      </c>
      <c r="P1007" s="155">
        <f>+IF(OR($Q1007=Parametres!$G$2,$Q1007=Parametres!$G$3),K1007,E1007)</f>
        <v>0</v>
      </c>
      <c r="Q1007" s="154">
        <f t="shared" si="92"/>
        <v>0</v>
      </c>
      <c r="R1007" s="153">
        <f t="shared" si="93"/>
        <v>0</v>
      </c>
      <c r="S1007" s="154">
        <f t="shared" si="94"/>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hidden="1" customHeight="1">
      <c r="A1008" s="157"/>
      <c r="B1008" s="158"/>
      <c r="C1008" s="159"/>
      <c r="D1008" s="157"/>
      <c r="E1008" s="157"/>
      <c r="F1008" s="157"/>
      <c r="G1008" s="157"/>
      <c r="H1008" s="157"/>
      <c r="I1008" s="157"/>
      <c r="J1008" s="157"/>
      <c r="K1008" s="157"/>
      <c r="L1008" s="153">
        <f t="shared" si="90"/>
        <v>0</v>
      </c>
      <c r="M1008" s="154">
        <f t="shared" si="91"/>
        <v>0</v>
      </c>
      <c r="N1008" s="155">
        <f>+IF(OR($Q1008=Parametres!$G$2,$Q1008=Parametres!$G$3),I1008,C1008)</f>
        <v>0</v>
      </c>
      <c r="O1008" s="155">
        <f>+IF(OR($Q1008=Parametres!$G$2,$Q1008=Parametres!$G$3),J1008,D1008)</f>
        <v>0</v>
      </c>
      <c r="P1008" s="155">
        <f>+IF(OR($Q1008=Parametres!$G$2,$Q1008=Parametres!$G$3),K1008,E1008)</f>
        <v>0</v>
      </c>
      <c r="Q1008" s="154">
        <f t="shared" si="92"/>
        <v>0</v>
      </c>
      <c r="R1008" s="153">
        <f t="shared" si="93"/>
        <v>0</v>
      </c>
      <c r="S1008" s="154">
        <f t="shared" si="94"/>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hidden="1" customHeight="1">
      <c r="A1009" s="157"/>
      <c r="B1009" s="158"/>
      <c r="C1009" s="159"/>
      <c r="D1009" s="157"/>
      <c r="E1009" s="157"/>
      <c r="F1009" s="157"/>
      <c r="G1009" s="157"/>
      <c r="H1009" s="157"/>
      <c r="I1009" s="157"/>
      <c r="J1009" s="157"/>
      <c r="K1009" s="157"/>
      <c r="L1009" s="153">
        <f t="shared" si="90"/>
        <v>0</v>
      </c>
      <c r="M1009" s="154">
        <f t="shared" si="91"/>
        <v>0</v>
      </c>
      <c r="N1009" s="155">
        <f>+IF(OR($Q1009=Parametres!$G$2,$Q1009=Parametres!$G$3),I1009,C1009)</f>
        <v>0</v>
      </c>
      <c r="O1009" s="155">
        <f>+IF(OR($Q1009=Parametres!$G$2,$Q1009=Parametres!$G$3),J1009,D1009)</f>
        <v>0</v>
      </c>
      <c r="P1009" s="155">
        <f>+IF(OR($Q1009=Parametres!$G$2,$Q1009=Parametres!$G$3),K1009,E1009)</f>
        <v>0</v>
      </c>
      <c r="Q1009" s="154">
        <f t="shared" si="92"/>
        <v>0</v>
      </c>
      <c r="R1009" s="153">
        <f t="shared" si="93"/>
        <v>0</v>
      </c>
      <c r="S1009" s="154">
        <f t="shared" si="94"/>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hidden="1" customHeight="1">
      <c r="A1010" s="157"/>
      <c r="B1010" s="158"/>
      <c r="C1010" s="159"/>
      <c r="D1010" s="157"/>
      <c r="E1010" s="157"/>
      <c r="F1010" s="157"/>
      <c r="G1010" s="157"/>
      <c r="H1010" s="157"/>
      <c r="I1010" s="157"/>
      <c r="J1010" s="157"/>
      <c r="K1010" s="157"/>
      <c r="L1010" s="153">
        <f t="shared" si="90"/>
        <v>0</v>
      </c>
      <c r="M1010" s="154">
        <f t="shared" si="91"/>
        <v>0</v>
      </c>
      <c r="N1010" s="155">
        <f>+IF(OR($Q1010=Parametres!$G$2,$Q1010=Parametres!$G$3),I1010,C1010)</f>
        <v>0</v>
      </c>
      <c r="O1010" s="155">
        <f>+IF(OR($Q1010=Parametres!$G$2,$Q1010=Parametres!$G$3),J1010,D1010)</f>
        <v>0</v>
      </c>
      <c r="P1010" s="155">
        <f>+IF(OR($Q1010=Parametres!$G$2,$Q1010=Parametres!$G$3),K1010,E1010)</f>
        <v>0</v>
      </c>
      <c r="Q1010" s="154">
        <f t="shared" si="92"/>
        <v>0</v>
      </c>
      <c r="R1010" s="153">
        <f t="shared" si="93"/>
        <v>0</v>
      </c>
      <c r="S1010" s="154">
        <f t="shared" si="94"/>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hidden="1" customHeight="1">
      <c r="A1011" s="157"/>
      <c r="B1011" s="158"/>
      <c r="C1011" s="159"/>
      <c r="D1011" s="157"/>
      <c r="E1011" s="157"/>
      <c r="F1011" s="157"/>
      <c r="G1011" s="157"/>
      <c r="H1011" s="157"/>
      <c r="I1011" s="157"/>
      <c r="J1011" s="157"/>
      <c r="K1011" s="157"/>
      <c r="L1011" s="153">
        <f t="shared" si="90"/>
        <v>0</v>
      </c>
      <c r="M1011" s="154">
        <f t="shared" si="91"/>
        <v>0</v>
      </c>
      <c r="N1011" s="155">
        <f>+IF(OR($Q1011=Parametres!$G$2,$Q1011=Parametres!$G$3),I1011,C1011)</f>
        <v>0</v>
      </c>
      <c r="O1011" s="155">
        <f>+IF(OR($Q1011=Parametres!$G$2,$Q1011=Parametres!$G$3),J1011,D1011)</f>
        <v>0</v>
      </c>
      <c r="P1011" s="155">
        <f>+IF(OR($Q1011=Parametres!$G$2,$Q1011=Parametres!$G$3),K1011,E1011)</f>
        <v>0</v>
      </c>
      <c r="Q1011" s="154">
        <f t="shared" si="92"/>
        <v>0</v>
      </c>
      <c r="R1011" s="153">
        <f t="shared" si="93"/>
        <v>0</v>
      </c>
      <c r="S1011" s="154">
        <f t="shared" si="94"/>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hidden="1" customHeight="1">
      <c r="A1012" s="157"/>
      <c r="B1012" s="158"/>
      <c r="C1012" s="159"/>
      <c r="D1012" s="157"/>
      <c r="E1012" s="157"/>
      <c r="F1012" s="157"/>
      <c r="G1012" s="157"/>
      <c r="H1012" s="157"/>
      <c r="I1012" s="157"/>
      <c r="J1012" s="157"/>
      <c r="K1012" s="157"/>
      <c r="L1012" s="153">
        <f t="shared" si="90"/>
        <v>0</v>
      </c>
      <c r="M1012" s="154">
        <f t="shared" si="91"/>
        <v>0</v>
      </c>
      <c r="N1012" s="155">
        <f>+IF(OR($Q1012=Parametres!$G$2,$Q1012=Parametres!$G$3),I1012,C1012)</f>
        <v>0</v>
      </c>
      <c r="O1012" s="155">
        <f>+IF(OR($Q1012=Parametres!$G$2,$Q1012=Parametres!$G$3),J1012,D1012)</f>
        <v>0</v>
      </c>
      <c r="P1012" s="155">
        <f>+IF(OR($Q1012=Parametres!$G$2,$Q1012=Parametres!$G$3),K1012,E1012)</f>
        <v>0</v>
      </c>
      <c r="Q1012" s="154">
        <f t="shared" si="92"/>
        <v>0</v>
      </c>
      <c r="R1012" s="153">
        <f t="shared" si="93"/>
        <v>0</v>
      </c>
      <c r="S1012" s="154">
        <f t="shared" si="94"/>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hidden="1" customHeight="1">
      <c r="A1013" s="157"/>
      <c r="B1013" s="158"/>
      <c r="C1013" s="159"/>
      <c r="D1013" s="157"/>
      <c r="E1013" s="157"/>
      <c r="F1013" s="157"/>
      <c r="G1013" s="157"/>
      <c r="H1013" s="157"/>
      <c r="I1013" s="157"/>
      <c r="J1013" s="157"/>
      <c r="K1013" s="157"/>
      <c r="L1013" s="153">
        <f t="shared" si="90"/>
        <v>0</v>
      </c>
      <c r="M1013" s="154">
        <f t="shared" si="91"/>
        <v>0</v>
      </c>
      <c r="N1013" s="155">
        <f>+IF(OR($Q1013=Parametres!$G$2,$Q1013=Parametres!$G$3),I1013,C1013)</f>
        <v>0</v>
      </c>
      <c r="O1013" s="155">
        <f>+IF(OR($Q1013=Parametres!$G$2,$Q1013=Parametres!$G$3),J1013,D1013)</f>
        <v>0</v>
      </c>
      <c r="P1013" s="155">
        <f>+IF(OR($Q1013=Parametres!$G$2,$Q1013=Parametres!$G$3),K1013,E1013)</f>
        <v>0</v>
      </c>
      <c r="Q1013" s="154">
        <f t="shared" si="92"/>
        <v>0</v>
      </c>
      <c r="R1013" s="153">
        <f t="shared" si="93"/>
        <v>0</v>
      </c>
      <c r="S1013" s="154">
        <f t="shared" si="94"/>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hidden="1" customHeight="1">
      <c r="A1014" s="157"/>
      <c r="B1014" s="158"/>
      <c r="C1014" s="159"/>
      <c r="D1014" s="157"/>
      <c r="E1014" s="157"/>
      <c r="F1014" s="157"/>
      <c r="G1014" s="157"/>
      <c r="H1014" s="157"/>
      <c r="I1014" s="157"/>
      <c r="J1014" s="157"/>
      <c r="K1014" s="157"/>
      <c r="L1014" s="153">
        <f t="shared" si="90"/>
        <v>0</v>
      </c>
      <c r="M1014" s="154">
        <f t="shared" si="91"/>
        <v>0</v>
      </c>
      <c r="N1014" s="155">
        <f>+IF(OR($Q1014=Parametres!$G$2,$Q1014=Parametres!$G$3),I1014,C1014)</f>
        <v>0</v>
      </c>
      <c r="O1014" s="155">
        <f>+IF(OR($Q1014=Parametres!$G$2,$Q1014=Parametres!$G$3),J1014,D1014)</f>
        <v>0</v>
      </c>
      <c r="P1014" s="155">
        <f>+IF(OR($Q1014=Parametres!$G$2,$Q1014=Parametres!$G$3),K1014,E1014)</f>
        <v>0</v>
      </c>
      <c r="Q1014" s="154">
        <f t="shared" si="92"/>
        <v>0</v>
      </c>
      <c r="R1014" s="153">
        <f t="shared" si="93"/>
        <v>0</v>
      </c>
      <c r="S1014" s="154">
        <f t="shared" si="94"/>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hidden="1" customHeight="1">
      <c r="A1015" s="157"/>
      <c r="B1015" s="158"/>
      <c r="C1015" s="159"/>
      <c r="D1015" s="157"/>
      <c r="E1015" s="157"/>
      <c r="F1015" s="157"/>
      <c r="G1015" s="157"/>
      <c r="H1015" s="157"/>
      <c r="I1015" s="157"/>
      <c r="J1015" s="157"/>
      <c r="K1015" s="157"/>
      <c r="L1015" s="153">
        <f t="shared" si="90"/>
        <v>0</v>
      </c>
      <c r="M1015" s="154">
        <f t="shared" si="91"/>
        <v>0</v>
      </c>
      <c r="N1015" s="155">
        <f>+IF(OR($Q1015=Parametres!$G$2,$Q1015=Parametres!$G$3),I1015,C1015)</f>
        <v>0</v>
      </c>
      <c r="O1015" s="155">
        <f>+IF(OR($Q1015=Parametres!$G$2,$Q1015=Parametres!$G$3),J1015,D1015)</f>
        <v>0</v>
      </c>
      <c r="P1015" s="155">
        <f>+IF(OR($Q1015=Parametres!$G$2,$Q1015=Parametres!$G$3),K1015,E1015)</f>
        <v>0</v>
      </c>
      <c r="Q1015" s="154">
        <f t="shared" si="92"/>
        <v>0</v>
      </c>
      <c r="R1015" s="153">
        <f t="shared" si="93"/>
        <v>0</v>
      </c>
      <c r="S1015" s="154">
        <f t="shared" si="94"/>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hidden="1" customHeight="1">
      <c r="A1016" s="157"/>
      <c r="B1016" s="158"/>
      <c r="C1016" s="159"/>
      <c r="D1016" s="157"/>
      <c r="E1016" s="157"/>
      <c r="F1016" s="157"/>
      <c r="G1016" s="157"/>
      <c r="H1016" s="157"/>
      <c r="I1016" s="157"/>
      <c r="J1016" s="157"/>
      <c r="K1016" s="157"/>
      <c r="L1016" s="153">
        <f t="shared" si="90"/>
        <v>0</v>
      </c>
      <c r="M1016" s="154">
        <f t="shared" si="91"/>
        <v>0</v>
      </c>
      <c r="N1016" s="155">
        <f>+IF(OR($Q1016=Parametres!$G$2,$Q1016=Parametres!$G$3),I1016,C1016)</f>
        <v>0</v>
      </c>
      <c r="O1016" s="155">
        <f>+IF(OR($Q1016=Parametres!$G$2,$Q1016=Parametres!$G$3),J1016,D1016)</f>
        <v>0</v>
      </c>
      <c r="P1016" s="155">
        <f>+IF(OR($Q1016=Parametres!$G$2,$Q1016=Parametres!$G$3),K1016,E1016)</f>
        <v>0</v>
      </c>
      <c r="Q1016" s="154">
        <f t="shared" si="92"/>
        <v>0</v>
      </c>
      <c r="R1016" s="153">
        <f t="shared" si="93"/>
        <v>0</v>
      </c>
      <c r="S1016" s="154">
        <f t="shared" si="94"/>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hidden="1" customHeight="1">
      <c r="A1017" s="157"/>
      <c r="B1017" s="158"/>
      <c r="C1017" s="159"/>
      <c r="D1017" s="157"/>
      <c r="E1017" s="157"/>
      <c r="F1017" s="157"/>
      <c r="G1017" s="157"/>
      <c r="H1017" s="157"/>
      <c r="I1017" s="157"/>
      <c r="J1017" s="157"/>
      <c r="K1017" s="157"/>
      <c r="L1017" s="153">
        <f t="shared" si="90"/>
        <v>0</v>
      </c>
      <c r="M1017" s="154">
        <f t="shared" si="91"/>
        <v>0</v>
      </c>
      <c r="N1017" s="155">
        <f>+IF(OR($Q1017=Parametres!$G$2,$Q1017=Parametres!$G$3),I1017,C1017)</f>
        <v>0</v>
      </c>
      <c r="O1017" s="155">
        <f>+IF(OR($Q1017=Parametres!$G$2,$Q1017=Parametres!$G$3),J1017,D1017)</f>
        <v>0</v>
      </c>
      <c r="P1017" s="155">
        <f>+IF(OR($Q1017=Parametres!$G$2,$Q1017=Parametres!$G$3),K1017,E1017)</f>
        <v>0</v>
      </c>
      <c r="Q1017" s="154">
        <f t="shared" si="92"/>
        <v>0</v>
      </c>
      <c r="R1017" s="153">
        <f t="shared" si="93"/>
        <v>0</v>
      </c>
      <c r="S1017" s="154">
        <f t="shared" si="94"/>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hidden="1" customHeight="1">
      <c r="A1018" s="157"/>
      <c r="B1018" s="158"/>
      <c r="C1018" s="159"/>
      <c r="D1018" s="157"/>
      <c r="E1018" s="157"/>
      <c r="F1018" s="157"/>
      <c r="G1018" s="157"/>
      <c r="H1018" s="157"/>
      <c r="I1018" s="157"/>
      <c r="J1018" s="157"/>
      <c r="K1018" s="157"/>
      <c r="L1018" s="153">
        <f t="shared" si="90"/>
        <v>0</v>
      </c>
      <c r="M1018" s="154">
        <f t="shared" si="91"/>
        <v>0</v>
      </c>
      <c r="N1018" s="155">
        <f>+IF(OR($Q1018=Parametres!$G$2,$Q1018=Parametres!$G$3),I1018,C1018)</f>
        <v>0</v>
      </c>
      <c r="O1018" s="155">
        <f>+IF(OR($Q1018=Parametres!$G$2,$Q1018=Parametres!$G$3),J1018,D1018)</f>
        <v>0</v>
      </c>
      <c r="P1018" s="155">
        <f>+IF(OR($Q1018=Parametres!$G$2,$Q1018=Parametres!$G$3),K1018,E1018)</f>
        <v>0</v>
      </c>
      <c r="Q1018" s="154">
        <f t="shared" si="92"/>
        <v>0</v>
      </c>
      <c r="R1018" s="153">
        <f t="shared" si="93"/>
        <v>0</v>
      </c>
      <c r="S1018" s="154">
        <f t="shared" si="94"/>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hidden="1" customHeight="1">
      <c r="A1019" s="157"/>
      <c r="B1019" s="158"/>
      <c r="C1019" s="159"/>
      <c r="D1019" s="157"/>
      <c r="E1019" s="157"/>
      <c r="F1019" s="157"/>
      <c r="G1019" s="157"/>
      <c r="H1019" s="157"/>
      <c r="I1019" s="157"/>
      <c r="J1019" s="157"/>
      <c r="K1019" s="157"/>
      <c r="L1019" s="153">
        <f t="shared" si="90"/>
        <v>0</v>
      </c>
      <c r="M1019" s="154">
        <f t="shared" si="91"/>
        <v>0</v>
      </c>
      <c r="N1019" s="155">
        <f>+IF(OR($Q1019=Parametres!$G$2,$Q1019=Parametres!$G$3),I1019,C1019)</f>
        <v>0</v>
      </c>
      <c r="O1019" s="155">
        <f>+IF(OR($Q1019=Parametres!$G$2,$Q1019=Parametres!$G$3),J1019,D1019)</f>
        <v>0</v>
      </c>
      <c r="P1019" s="155">
        <f>+IF(OR($Q1019=Parametres!$G$2,$Q1019=Parametres!$G$3),K1019,E1019)</f>
        <v>0</v>
      </c>
      <c r="Q1019" s="154">
        <f t="shared" si="92"/>
        <v>0</v>
      </c>
      <c r="R1019" s="153">
        <f t="shared" si="93"/>
        <v>0</v>
      </c>
      <c r="S1019" s="154">
        <f t="shared" si="94"/>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hidden="1" customHeight="1">
      <c r="A1020" s="157"/>
      <c r="B1020" s="158"/>
      <c r="C1020" s="159"/>
      <c r="D1020" s="157"/>
      <c r="E1020" s="157"/>
      <c r="F1020" s="157"/>
      <c r="G1020" s="157"/>
      <c r="H1020" s="157"/>
      <c r="I1020" s="157"/>
      <c r="J1020" s="157"/>
      <c r="K1020" s="157"/>
      <c r="L1020" s="153">
        <f t="shared" si="90"/>
        <v>0</v>
      </c>
      <c r="M1020" s="154">
        <f t="shared" si="91"/>
        <v>0</v>
      </c>
      <c r="N1020" s="155">
        <f>+IF(OR($Q1020=Parametres!$G$2,$Q1020=Parametres!$G$3),I1020,C1020)</f>
        <v>0</v>
      </c>
      <c r="O1020" s="155">
        <f>+IF(OR($Q1020=Parametres!$G$2,$Q1020=Parametres!$G$3),J1020,D1020)</f>
        <v>0</v>
      </c>
      <c r="P1020" s="155">
        <f>+IF(OR($Q1020=Parametres!$G$2,$Q1020=Parametres!$G$3),K1020,E1020)</f>
        <v>0</v>
      </c>
      <c r="Q1020" s="154">
        <f t="shared" si="92"/>
        <v>0</v>
      </c>
      <c r="R1020" s="153">
        <f t="shared" si="93"/>
        <v>0</v>
      </c>
      <c r="S1020" s="154">
        <f t="shared" si="94"/>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hidden="1" customHeight="1">
      <c r="A1021" s="157"/>
      <c r="B1021" s="158"/>
      <c r="C1021" s="159"/>
      <c r="D1021" s="157"/>
      <c r="E1021" s="157"/>
      <c r="F1021" s="157"/>
      <c r="G1021" s="157"/>
      <c r="H1021" s="157"/>
      <c r="I1021" s="157"/>
      <c r="J1021" s="157"/>
      <c r="K1021" s="157"/>
      <c r="L1021" s="153">
        <f t="shared" si="90"/>
        <v>0</v>
      </c>
      <c r="M1021" s="154">
        <f t="shared" si="91"/>
        <v>0</v>
      </c>
      <c r="N1021" s="155">
        <f>+IF(OR($Q1021=Parametres!$G$2,$Q1021=Parametres!$G$3),I1021,C1021)</f>
        <v>0</v>
      </c>
      <c r="O1021" s="155">
        <f>+IF(OR($Q1021=Parametres!$G$2,$Q1021=Parametres!$G$3),J1021,D1021)</f>
        <v>0</v>
      </c>
      <c r="P1021" s="155">
        <f>+IF(OR($Q1021=Parametres!$G$2,$Q1021=Parametres!$G$3),K1021,E1021)</f>
        <v>0</v>
      </c>
      <c r="Q1021" s="154">
        <f t="shared" si="92"/>
        <v>0</v>
      </c>
      <c r="R1021" s="153">
        <f t="shared" si="93"/>
        <v>0</v>
      </c>
      <c r="S1021" s="154">
        <f t="shared" si="94"/>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hidden="1" customHeight="1">
      <c r="A1022" s="157"/>
      <c r="B1022" s="158"/>
      <c r="C1022" s="159"/>
      <c r="D1022" s="157"/>
      <c r="E1022" s="157"/>
      <c r="F1022" s="157"/>
      <c r="G1022" s="157"/>
      <c r="H1022" s="157"/>
      <c r="I1022" s="157"/>
      <c r="J1022" s="157"/>
      <c r="K1022" s="157"/>
      <c r="L1022" s="153">
        <f t="shared" si="90"/>
        <v>0</v>
      </c>
      <c r="M1022" s="154">
        <f t="shared" si="91"/>
        <v>0</v>
      </c>
      <c r="N1022" s="155">
        <f>+IF(OR($Q1022=Parametres!$G$2,$Q1022=Parametres!$G$3),I1022,C1022)</f>
        <v>0</v>
      </c>
      <c r="O1022" s="155">
        <f>+IF(OR($Q1022=Parametres!$G$2,$Q1022=Parametres!$G$3),J1022,D1022)</f>
        <v>0</v>
      </c>
      <c r="P1022" s="155">
        <f>+IF(OR($Q1022=Parametres!$G$2,$Q1022=Parametres!$G$3),K1022,E1022)</f>
        <v>0</v>
      </c>
      <c r="Q1022" s="154">
        <f t="shared" si="92"/>
        <v>0</v>
      </c>
      <c r="R1022" s="153">
        <f t="shared" si="93"/>
        <v>0</v>
      </c>
      <c r="S1022" s="154">
        <f t="shared" si="94"/>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hidden="1" customHeight="1">
      <c r="A1023" s="157"/>
      <c r="B1023" s="158"/>
      <c r="C1023" s="159"/>
      <c r="D1023" s="157"/>
      <c r="E1023" s="157"/>
      <c r="F1023" s="157"/>
      <c r="G1023" s="157"/>
      <c r="H1023" s="157"/>
      <c r="I1023" s="157"/>
      <c r="J1023" s="157"/>
      <c r="K1023" s="157"/>
      <c r="L1023" s="153">
        <f t="shared" si="90"/>
        <v>0</v>
      </c>
      <c r="M1023" s="154">
        <f t="shared" si="91"/>
        <v>0</v>
      </c>
      <c r="N1023" s="155">
        <f>+IF(OR($Q1023=Parametres!$G$2,$Q1023=Parametres!$G$3),I1023,C1023)</f>
        <v>0</v>
      </c>
      <c r="O1023" s="155">
        <f>+IF(OR($Q1023=Parametres!$G$2,$Q1023=Parametres!$G$3),J1023,D1023)</f>
        <v>0</v>
      </c>
      <c r="P1023" s="155">
        <f>+IF(OR($Q1023=Parametres!$G$2,$Q1023=Parametres!$G$3),K1023,E1023)</f>
        <v>0</v>
      </c>
      <c r="Q1023" s="154">
        <f t="shared" si="92"/>
        <v>0</v>
      </c>
      <c r="R1023" s="153">
        <f t="shared" si="93"/>
        <v>0</v>
      </c>
      <c r="S1023" s="154">
        <f t="shared" si="94"/>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hidden="1" customHeight="1">
      <c r="A1024" s="157"/>
      <c r="B1024" s="158"/>
      <c r="C1024" s="159"/>
      <c r="D1024" s="157"/>
      <c r="E1024" s="157"/>
      <c r="F1024" s="157"/>
      <c r="G1024" s="157"/>
      <c r="H1024" s="157"/>
      <c r="I1024" s="157"/>
      <c r="J1024" s="157"/>
      <c r="K1024" s="157"/>
      <c r="L1024" s="153">
        <f t="shared" si="90"/>
        <v>0</v>
      </c>
      <c r="M1024" s="154">
        <f t="shared" si="91"/>
        <v>0</v>
      </c>
      <c r="N1024" s="155">
        <f>+IF(OR($Q1024=Parametres!$G$2,$Q1024=Parametres!$G$3),I1024,C1024)</f>
        <v>0</v>
      </c>
      <c r="O1024" s="155">
        <f>+IF(OR($Q1024=Parametres!$G$2,$Q1024=Parametres!$G$3),J1024,D1024)</f>
        <v>0</v>
      </c>
      <c r="P1024" s="155">
        <f>+IF(OR($Q1024=Parametres!$G$2,$Q1024=Parametres!$G$3),K1024,E1024)</f>
        <v>0</v>
      </c>
      <c r="Q1024" s="154">
        <f t="shared" si="92"/>
        <v>0</v>
      </c>
      <c r="R1024" s="153">
        <f t="shared" si="93"/>
        <v>0</v>
      </c>
      <c r="S1024" s="154">
        <f t="shared" si="94"/>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hidden="1" customHeight="1">
      <c r="A1025" s="157"/>
      <c r="B1025" s="158"/>
      <c r="C1025" s="159"/>
      <c r="D1025" s="157"/>
      <c r="E1025" s="157"/>
      <c r="F1025" s="157"/>
      <c r="G1025" s="157"/>
      <c r="H1025" s="157"/>
      <c r="I1025" s="157"/>
      <c r="J1025" s="157"/>
      <c r="K1025" s="157"/>
      <c r="L1025" s="153">
        <f t="shared" si="90"/>
        <v>0</v>
      </c>
      <c r="M1025" s="154">
        <f t="shared" si="91"/>
        <v>0</v>
      </c>
      <c r="N1025" s="155">
        <f>+IF(OR($Q1025=Parametres!$G$2,$Q1025=Parametres!$G$3),I1025,C1025)</f>
        <v>0</v>
      </c>
      <c r="O1025" s="155">
        <f>+IF(OR($Q1025=Parametres!$G$2,$Q1025=Parametres!$G$3),J1025,D1025)</f>
        <v>0</v>
      </c>
      <c r="P1025" s="155">
        <f>+IF(OR($Q1025=Parametres!$G$2,$Q1025=Parametres!$G$3),K1025,E1025)</f>
        <v>0</v>
      </c>
      <c r="Q1025" s="154">
        <f t="shared" si="92"/>
        <v>0</v>
      </c>
      <c r="R1025" s="153">
        <f t="shared" si="93"/>
        <v>0</v>
      </c>
      <c r="S1025" s="154">
        <f t="shared" si="94"/>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hidden="1" customHeight="1">
      <c r="A1026" s="157"/>
      <c r="B1026" s="158"/>
      <c r="C1026" s="159"/>
      <c r="D1026" s="157"/>
      <c r="E1026" s="157"/>
      <c r="F1026" s="157"/>
      <c r="G1026" s="157"/>
      <c r="H1026" s="157"/>
      <c r="I1026" s="157"/>
      <c r="J1026" s="157"/>
      <c r="K1026" s="157"/>
      <c r="L1026" s="153">
        <f t="shared" ref="L1026:L1055" si="95">+B1026</f>
        <v>0</v>
      </c>
      <c r="M1026" s="154">
        <f t="shared" ref="M1026:M1055" si="96">+A1026</f>
        <v>0</v>
      </c>
      <c r="N1026" s="155">
        <f>+IF(OR($Q1026=Parametres!$G$2,$Q1026=Parametres!$G$3),I1026,C1026)</f>
        <v>0</v>
      </c>
      <c r="O1026" s="155">
        <f>+IF(OR($Q1026=Parametres!$G$2,$Q1026=Parametres!$G$3),J1026,D1026)</f>
        <v>0</v>
      </c>
      <c r="P1026" s="155">
        <f>+IF(OR($Q1026=Parametres!$G$2,$Q1026=Parametres!$G$3),K1026,E1026)</f>
        <v>0</v>
      </c>
      <c r="Q1026" s="154">
        <f t="shared" ref="Q1026:Q1055" si="97">+F1026</f>
        <v>0</v>
      </c>
      <c r="R1026" s="153">
        <f t="shared" ref="R1026:R1055" si="98">+G1026</f>
        <v>0</v>
      </c>
      <c r="S1026" s="154">
        <f t="shared" ref="S1026:S1055" si="99">+H1026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hidden="1" customHeight="1">
      <c r="A1027" s="157"/>
      <c r="B1027" s="158"/>
      <c r="C1027" s="159"/>
      <c r="D1027" s="157"/>
      <c r="E1027" s="157"/>
      <c r="F1027" s="157"/>
      <c r="G1027" s="157"/>
      <c r="H1027" s="157"/>
      <c r="I1027" s="157"/>
      <c r="J1027" s="157"/>
      <c r="K1027" s="157"/>
      <c r="L1027" s="153">
        <f t="shared" si="95"/>
        <v>0</v>
      </c>
      <c r="M1027" s="154">
        <f t="shared" si="96"/>
        <v>0</v>
      </c>
      <c r="N1027" s="155">
        <f>+IF(OR($Q1027=Parametres!$G$2,$Q1027=Parametres!$G$3),I1027,C1027)</f>
        <v>0</v>
      </c>
      <c r="O1027" s="155">
        <f>+IF(OR($Q1027=Parametres!$G$2,$Q1027=Parametres!$G$3),J1027,D1027)</f>
        <v>0</v>
      </c>
      <c r="P1027" s="155">
        <f>+IF(OR($Q1027=Parametres!$G$2,$Q1027=Parametres!$G$3),K1027,E1027)</f>
        <v>0</v>
      </c>
      <c r="Q1027" s="154">
        <f t="shared" si="97"/>
        <v>0</v>
      </c>
      <c r="R1027" s="153">
        <f t="shared" si="98"/>
        <v>0</v>
      </c>
      <c r="S1027" s="154">
        <f t="shared" si="99"/>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hidden="1" customHeight="1">
      <c r="A1028" s="157"/>
      <c r="B1028" s="158"/>
      <c r="C1028" s="159"/>
      <c r="D1028" s="157"/>
      <c r="E1028" s="157"/>
      <c r="F1028" s="157"/>
      <c r="G1028" s="157"/>
      <c r="H1028" s="157"/>
      <c r="I1028" s="157"/>
      <c r="J1028" s="157"/>
      <c r="K1028" s="157"/>
      <c r="L1028" s="153">
        <f t="shared" si="95"/>
        <v>0</v>
      </c>
      <c r="M1028" s="154">
        <f t="shared" si="96"/>
        <v>0</v>
      </c>
      <c r="N1028" s="155">
        <f>+IF(OR($Q1028=Parametres!$G$2,$Q1028=Parametres!$G$3),I1028,C1028)</f>
        <v>0</v>
      </c>
      <c r="O1028" s="155">
        <f>+IF(OR($Q1028=Parametres!$G$2,$Q1028=Parametres!$G$3),J1028,D1028)</f>
        <v>0</v>
      </c>
      <c r="P1028" s="155">
        <f>+IF(OR($Q1028=Parametres!$G$2,$Q1028=Parametres!$G$3),K1028,E1028)</f>
        <v>0</v>
      </c>
      <c r="Q1028" s="154">
        <f t="shared" si="97"/>
        <v>0</v>
      </c>
      <c r="R1028" s="153">
        <f t="shared" si="98"/>
        <v>0</v>
      </c>
      <c r="S1028" s="154">
        <f t="shared" si="99"/>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hidden="1" customHeight="1">
      <c r="A1029" s="157"/>
      <c r="B1029" s="158"/>
      <c r="C1029" s="159"/>
      <c r="D1029" s="157"/>
      <c r="E1029" s="157"/>
      <c r="F1029" s="157"/>
      <c r="G1029" s="157"/>
      <c r="H1029" s="157"/>
      <c r="I1029" s="157"/>
      <c r="J1029" s="157"/>
      <c r="K1029" s="157"/>
      <c r="L1029" s="153">
        <f t="shared" si="95"/>
        <v>0</v>
      </c>
      <c r="M1029" s="154">
        <f t="shared" si="96"/>
        <v>0</v>
      </c>
      <c r="N1029" s="155">
        <f>+IF(OR($Q1029=Parametres!$G$2,$Q1029=Parametres!$G$3),I1029,C1029)</f>
        <v>0</v>
      </c>
      <c r="O1029" s="155">
        <f>+IF(OR($Q1029=Parametres!$G$2,$Q1029=Parametres!$G$3),J1029,D1029)</f>
        <v>0</v>
      </c>
      <c r="P1029" s="155">
        <f>+IF(OR($Q1029=Parametres!$G$2,$Q1029=Parametres!$G$3),K1029,E1029)</f>
        <v>0</v>
      </c>
      <c r="Q1029" s="154">
        <f t="shared" si="97"/>
        <v>0</v>
      </c>
      <c r="R1029" s="153">
        <f t="shared" si="98"/>
        <v>0</v>
      </c>
      <c r="S1029" s="154">
        <f t="shared" si="99"/>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hidden="1" customHeight="1">
      <c r="A1030" s="157"/>
      <c r="B1030" s="158"/>
      <c r="C1030" s="159"/>
      <c r="D1030" s="157"/>
      <c r="E1030" s="157"/>
      <c r="F1030" s="157"/>
      <c r="G1030" s="157"/>
      <c r="H1030" s="157"/>
      <c r="I1030" s="157"/>
      <c r="J1030" s="157"/>
      <c r="K1030" s="157"/>
      <c r="L1030" s="153">
        <f t="shared" si="95"/>
        <v>0</v>
      </c>
      <c r="M1030" s="154">
        <f t="shared" si="96"/>
        <v>0</v>
      </c>
      <c r="N1030" s="155">
        <f>+IF(OR($Q1030=Parametres!$G$2,$Q1030=Parametres!$G$3),I1030,C1030)</f>
        <v>0</v>
      </c>
      <c r="O1030" s="155">
        <f>+IF(OR($Q1030=Parametres!$G$2,$Q1030=Parametres!$G$3),J1030,D1030)</f>
        <v>0</v>
      </c>
      <c r="P1030" s="155">
        <f>+IF(OR($Q1030=Parametres!$G$2,$Q1030=Parametres!$G$3),K1030,E1030)</f>
        <v>0</v>
      </c>
      <c r="Q1030" s="154">
        <f t="shared" si="97"/>
        <v>0</v>
      </c>
      <c r="R1030" s="153">
        <f t="shared" si="98"/>
        <v>0</v>
      </c>
      <c r="S1030" s="154">
        <f t="shared" si="99"/>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hidden="1" customHeight="1">
      <c r="A1031" s="157"/>
      <c r="B1031" s="158"/>
      <c r="C1031" s="159"/>
      <c r="D1031" s="157"/>
      <c r="E1031" s="157"/>
      <c r="F1031" s="157"/>
      <c r="G1031" s="157"/>
      <c r="H1031" s="157"/>
      <c r="I1031" s="157"/>
      <c r="J1031" s="157"/>
      <c r="K1031" s="157"/>
      <c r="L1031" s="153">
        <f t="shared" si="95"/>
        <v>0</v>
      </c>
      <c r="M1031" s="154">
        <f t="shared" si="96"/>
        <v>0</v>
      </c>
      <c r="N1031" s="155">
        <f>+IF(OR($Q1031=Parametres!$G$2,$Q1031=Parametres!$G$3),I1031,C1031)</f>
        <v>0</v>
      </c>
      <c r="O1031" s="155">
        <f>+IF(OR($Q1031=Parametres!$G$2,$Q1031=Parametres!$G$3),J1031,D1031)</f>
        <v>0</v>
      </c>
      <c r="P1031" s="155">
        <f>+IF(OR($Q1031=Parametres!$G$2,$Q1031=Parametres!$G$3),K1031,E1031)</f>
        <v>0</v>
      </c>
      <c r="Q1031" s="154">
        <f t="shared" si="97"/>
        <v>0</v>
      </c>
      <c r="R1031" s="153">
        <f t="shared" si="98"/>
        <v>0</v>
      </c>
      <c r="S1031" s="154">
        <f t="shared" si="99"/>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hidden="1" customHeight="1">
      <c r="A1032" s="157"/>
      <c r="B1032" s="158"/>
      <c r="C1032" s="159"/>
      <c r="D1032" s="157"/>
      <c r="E1032" s="157"/>
      <c r="F1032" s="157"/>
      <c r="G1032" s="157"/>
      <c r="H1032" s="157"/>
      <c r="I1032" s="157"/>
      <c r="J1032" s="157"/>
      <c r="K1032" s="157"/>
      <c r="L1032" s="153">
        <f t="shared" si="95"/>
        <v>0</v>
      </c>
      <c r="M1032" s="154">
        <f t="shared" si="96"/>
        <v>0</v>
      </c>
      <c r="N1032" s="155">
        <f>+IF(OR($Q1032=Parametres!$G$2,$Q1032=Parametres!$G$3),I1032,C1032)</f>
        <v>0</v>
      </c>
      <c r="O1032" s="155">
        <f>+IF(OR($Q1032=Parametres!$G$2,$Q1032=Parametres!$G$3),J1032,D1032)</f>
        <v>0</v>
      </c>
      <c r="P1032" s="155">
        <f>+IF(OR($Q1032=Parametres!$G$2,$Q1032=Parametres!$G$3),K1032,E1032)</f>
        <v>0</v>
      </c>
      <c r="Q1032" s="154">
        <f t="shared" si="97"/>
        <v>0</v>
      </c>
      <c r="R1032" s="153">
        <f t="shared" si="98"/>
        <v>0</v>
      </c>
      <c r="S1032" s="154">
        <f t="shared" si="99"/>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hidden="1" customHeight="1">
      <c r="A1033" s="157"/>
      <c r="B1033" s="158"/>
      <c r="C1033" s="159"/>
      <c r="D1033" s="157"/>
      <c r="E1033" s="157"/>
      <c r="F1033" s="157"/>
      <c r="G1033" s="157"/>
      <c r="H1033" s="157"/>
      <c r="I1033" s="157"/>
      <c r="J1033" s="157"/>
      <c r="K1033" s="157"/>
      <c r="L1033" s="153">
        <f t="shared" si="95"/>
        <v>0</v>
      </c>
      <c r="M1033" s="154">
        <f t="shared" si="96"/>
        <v>0</v>
      </c>
      <c r="N1033" s="155">
        <f>+IF(OR($Q1033=Parametres!$G$2,$Q1033=Parametres!$G$3),I1033,C1033)</f>
        <v>0</v>
      </c>
      <c r="O1033" s="155">
        <f>+IF(OR($Q1033=Parametres!$G$2,$Q1033=Parametres!$G$3),J1033,D1033)</f>
        <v>0</v>
      </c>
      <c r="P1033" s="155">
        <f>+IF(OR($Q1033=Parametres!$G$2,$Q1033=Parametres!$G$3),K1033,E1033)</f>
        <v>0</v>
      </c>
      <c r="Q1033" s="154">
        <f t="shared" si="97"/>
        <v>0</v>
      </c>
      <c r="R1033" s="153">
        <f t="shared" si="98"/>
        <v>0</v>
      </c>
      <c r="S1033" s="154">
        <f t="shared" si="99"/>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hidden="1" customHeight="1">
      <c r="A1034" s="157"/>
      <c r="B1034" s="158"/>
      <c r="C1034" s="159"/>
      <c r="D1034" s="157"/>
      <c r="E1034" s="157"/>
      <c r="F1034" s="157"/>
      <c r="G1034" s="157"/>
      <c r="H1034" s="157"/>
      <c r="I1034" s="157"/>
      <c r="J1034" s="157"/>
      <c r="K1034" s="157"/>
      <c r="L1034" s="153">
        <f t="shared" si="95"/>
        <v>0</v>
      </c>
      <c r="M1034" s="154">
        <f t="shared" si="96"/>
        <v>0</v>
      </c>
      <c r="N1034" s="155">
        <f>+IF(OR($Q1034=Parametres!$G$2,$Q1034=Parametres!$G$3),I1034,C1034)</f>
        <v>0</v>
      </c>
      <c r="O1034" s="155">
        <f>+IF(OR($Q1034=Parametres!$G$2,$Q1034=Parametres!$G$3),J1034,D1034)</f>
        <v>0</v>
      </c>
      <c r="P1034" s="155">
        <f>+IF(OR($Q1034=Parametres!$G$2,$Q1034=Parametres!$G$3),K1034,E1034)</f>
        <v>0</v>
      </c>
      <c r="Q1034" s="154">
        <f t="shared" si="97"/>
        <v>0</v>
      </c>
      <c r="R1034" s="153">
        <f t="shared" si="98"/>
        <v>0</v>
      </c>
      <c r="S1034" s="154">
        <f t="shared" si="99"/>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hidden="1" customHeight="1">
      <c r="A1035" s="157"/>
      <c r="B1035" s="158"/>
      <c r="C1035" s="159"/>
      <c r="D1035" s="157"/>
      <c r="E1035" s="157"/>
      <c r="F1035" s="157"/>
      <c r="G1035" s="157"/>
      <c r="H1035" s="157"/>
      <c r="I1035" s="157"/>
      <c r="J1035" s="157"/>
      <c r="K1035" s="157"/>
      <c r="L1035" s="153">
        <f t="shared" si="95"/>
        <v>0</v>
      </c>
      <c r="M1035" s="154">
        <f t="shared" si="96"/>
        <v>0</v>
      </c>
      <c r="N1035" s="155">
        <f>+IF(OR($Q1035=Parametres!$G$2,$Q1035=Parametres!$G$3),I1035,C1035)</f>
        <v>0</v>
      </c>
      <c r="O1035" s="155">
        <f>+IF(OR($Q1035=Parametres!$G$2,$Q1035=Parametres!$G$3),J1035,D1035)</f>
        <v>0</v>
      </c>
      <c r="P1035" s="155">
        <f>+IF(OR($Q1035=Parametres!$G$2,$Q1035=Parametres!$G$3),K1035,E1035)</f>
        <v>0</v>
      </c>
      <c r="Q1035" s="154">
        <f t="shared" si="97"/>
        <v>0</v>
      </c>
      <c r="R1035" s="153">
        <f t="shared" si="98"/>
        <v>0</v>
      </c>
      <c r="S1035" s="154">
        <f t="shared" si="99"/>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hidden="1" customHeight="1">
      <c r="A1036" s="157"/>
      <c r="B1036" s="158"/>
      <c r="C1036" s="159"/>
      <c r="D1036" s="157"/>
      <c r="E1036" s="157"/>
      <c r="F1036" s="157"/>
      <c r="G1036" s="157"/>
      <c r="H1036" s="157"/>
      <c r="I1036" s="157"/>
      <c r="J1036" s="157"/>
      <c r="K1036" s="157"/>
      <c r="L1036" s="153">
        <f t="shared" si="95"/>
        <v>0</v>
      </c>
      <c r="M1036" s="154">
        <f t="shared" si="96"/>
        <v>0</v>
      </c>
      <c r="N1036" s="155">
        <f>+IF(OR($Q1036=Parametres!$G$2,$Q1036=Parametres!$G$3),I1036,C1036)</f>
        <v>0</v>
      </c>
      <c r="O1036" s="155">
        <f>+IF(OR($Q1036=Parametres!$G$2,$Q1036=Parametres!$G$3),J1036,D1036)</f>
        <v>0</v>
      </c>
      <c r="P1036" s="155">
        <f>+IF(OR($Q1036=Parametres!$G$2,$Q1036=Parametres!$G$3),K1036,E1036)</f>
        <v>0</v>
      </c>
      <c r="Q1036" s="154">
        <f t="shared" si="97"/>
        <v>0</v>
      </c>
      <c r="R1036" s="153">
        <f t="shared" si="98"/>
        <v>0</v>
      </c>
      <c r="S1036" s="154">
        <f t="shared" si="99"/>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hidden="1" customHeight="1">
      <c r="A1037" s="157"/>
      <c r="B1037" s="158"/>
      <c r="C1037" s="159"/>
      <c r="D1037" s="157"/>
      <c r="E1037" s="157"/>
      <c r="F1037" s="157"/>
      <c r="G1037" s="157"/>
      <c r="H1037" s="157"/>
      <c r="I1037" s="157"/>
      <c r="J1037" s="157"/>
      <c r="K1037" s="157"/>
      <c r="L1037" s="153">
        <f t="shared" si="95"/>
        <v>0</v>
      </c>
      <c r="M1037" s="154">
        <f t="shared" si="96"/>
        <v>0</v>
      </c>
      <c r="N1037" s="155">
        <f>+IF(OR($Q1037=Parametres!$G$2,$Q1037=Parametres!$G$3),I1037,C1037)</f>
        <v>0</v>
      </c>
      <c r="O1037" s="155">
        <f>+IF(OR($Q1037=Parametres!$G$2,$Q1037=Parametres!$G$3),J1037,D1037)</f>
        <v>0</v>
      </c>
      <c r="P1037" s="155">
        <f>+IF(OR($Q1037=Parametres!$G$2,$Q1037=Parametres!$G$3),K1037,E1037)</f>
        <v>0</v>
      </c>
      <c r="Q1037" s="154">
        <f t="shared" si="97"/>
        <v>0</v>
      </c>
      <c r="R1037" s="153">
        <f t="shared" si="98"/>
        <v>0</v>
      </c>
      <c r="S1037" s="154">
        <f t="shared" si="99"/>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hidden="1" customHeight="1">
      <c r="A1038" s="157"/>
      <c r="B1038" s="158"/>
      <c r="C1038" s="159"/>
      <c r="D1038" s="157"/>
      <c r="E1038" s="157"/>
      <c r="F1038" s="157"/>
      <c r="G1038" s="157"/>
      <c r="H1038" s="157"/>
      <c r="I1038" s="157"/>
      <c r="J1038" s="157"/>
      <c r="K1038" s="157"/>
      <c r="L1038" s="153">
        <f t="shared" si="95"/>
        <v>0</v>
      </c>
      <c r="M1038" s="154">
        <f t="shared" si="96"/>
        <v>0</v>
      </c>
      <c r="N1038" s="155">
        <f>+IF(OR($Q1038=Parametres!$G$2,$Q1038=Parametres!$G$3),I1038,C1038)</f>
        <v>0</v>
      </c>
      <c r="O1038" s="155">
        <f>+IF(OR($Q1038=Parametres!$G$2,$Q1038=Parametres!$G$3),J1038,D1038)</f>
        <v>0</v>
      </c>
      <c r="P1038" s="155">
        <f>+IF(OR($Q1038=Parametres!$G$2,$Q1038=Parametres!$G$3),K1038,E1038)</f>
        <v>0</v>
      </c>
      <c r="Q1038" s="154">
        <f t="shared" si="97"/>
        <v>0</v>
      </c>
      <c r="R1038" s="153">
        <f t="shared" si="98"/>
        <v>0</v>
      </c>
      <c r="S1038" s="154">
        <f t="shared" si="99"/>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hidden="1" customHeight="1">
      <c r="A1039" s="157"/>
      <c r="B1039" s="158"/>
      <c r="C1039" s="159"/>
      <c r="D1039" s="157"/>
      <c r="E1039" s="157"/>
      <c r="F1039" s="157"/>
      <c r="G1039" s="157"/>
      <c r="H1039" s="157"/>
      <c r="I1039" s="157"/>
      <c r="J1039" s="157"/>
      <c r="K1039" s="157"/>
      <c r="L1039" s="153">
        <f t="shared" si="95"/>
        <v>0</v>
      </c>
      <c r="M1039" s="154">
        <f t="shared" si="96"/>
        <v>0</v>
      </c>
      <c r="N1039" s="155">
        <f>+IF(OR($Q1039=Parametres!$G$2,$Q1039=Parametres!$G$3),I1039,C1039)</f>
        <v>0</v>
      </c>
      <c r="O1039" s="155">
        <f>+IF(OR($Q1039=Parametres!$G$2,$Q1039=Parametres!$G$3),J1039,D1039)</f>
        <v>0</v>
      </c>
      <c r="P1039" s="155">
        <f>+IF(OR($Q1039=Parametres!$G$2,$Q1039=Parametres!$G$3),K1039,E1039)</f>
        <v>0</v>
      </c>
      <c r="Q1039" s="154">
        <f t="shared" si="97"/>
        <v>0</v>
      </c>
      <c r="R1039" s="153">
        <f t="shared" si="98"/>
        <v>0</v>
      </c>
      <c r="S1039" s="154">
        <f t="shared" si="99"/>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hidden="1" customHeight="1">
      <c r="A1040" s="157"/>
      <c r="B1040" s="158"/>
      <c r="C1040" s="159"/>
      <c r="D1040" s="157"/>
      <c r="E1040" s="157"/>
      <c r="F1040" s="157"/>
      <c r="G1040" s="157"/>
      <c r="H1040" s="157"/>
      <c r="I1040" s="157"/>
      <c r="J1040" s="157"/>
      <c r="K1040" s="157"/>
      <c r="L1040" s="153">
        <f t="shared" si="95"/>
        <v>0</v>
      </c>
      <c r="M1040" s="154">
        <f t="shared" si="96"/>
        <v>0</v>
      </c>
      <c r="N1040" s="155">
        <f>+IF(OR($Q1040=Parametres!$G$2,$Q1040=Parametres!$G$3),I1040,C1040)</f>
        <v>0</v>
      </c>
      <c r="O1040" s="155">
        <f>+IF(OR($Q1040=Parametres!$G$2,$Q1040=Parametres!$G$3),J1040,D1040)</f>
        <v>0</v>
      </c>
      <c r="P1040" s="155">
        <f>+IF(OR($Q1040=Parametres!$G$2,$Q1040=Parametres!$G$3),K1040,E1040)</f>
        <v>0</v>
      </c>
      <c r="Q1040" s="154">
        <f t="shared" si="97"/>
        <v>0</v>
      </c>
      <c r="R1040" s="153">
        <f t="shared" si="98"/>
        <v>0</v>
      </c>
      <c r="S1040" s="154">
        <f t="shared" si="99"/>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hidden="1" customHeight="1">
      <c r="A1041" s="157"/>
      <c r="B1041" s="158"/>
      <c r="C1041" s="159"/>
      <c r="D1041" s="157"/>
      <c r="E1041" s="157"/>
      <c r="F1041" s="157"/>
      <c r="G1041" s="157"/>
      <c r="H1041" s="157"/>
      <c r="I1041" s="157"/>
      <c r="J1041" s="157"/>
      <c r="K1041" s="157"/>
      <c r="L1041" s="153">
        <f t="shared" si="95"/>
        <v>0</v>
      </c>
      <c r="M1041" s="154">
        <f t="shared" si="96"/>
        <v>0</v>
      </c>
      <c r="N1041" s="155">
        <f>+IF(OR($Q1041=Parametres!$G$2,$Q1041=Parametres!$G$3),I1041,C1041)</f>
        <v>0</v>
      </c>
      <c r="O1041" s="155">
        <f>+IF(OR($Q1041=Parametres!$G$2,$Q1041=Parametres!$G$3),J1041,D1041)</f>
        <v>0</v>
      </c>
      <c r="P1041" s="155">
        <f>+IF(OR($Q1041=Parametres!$G$2,$Q1041=Parametres!$G$3),K1041,E1041)</f>
        <v>0</v>
      </c>
      <c r="Q1041" s="154">
        <f t="shared" si="97"/>
        <v>0</v>
      </c>
      <c r="R1041" s="153">
        <f t="shared" si="98"/>
        <v>0</v>
      </c>
      <c r="S1041" s="154">
        <f t="shared" si="99"/>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hidden="1" customHeight="1">
      <c r="A1042" s="157"/>
      <c r="B1042" s="158"/>
      <c r="C1042" s="159"/>
      <c r="D1042" s="157"/>
      <c r="E1042" s="157"/>
      <c r="F1042" s="157"/>
      <c r="G1042" s="157"/>
      <c r="H1042" s="157"/>
      <c r="I1042" s="157"/>
      <c r="J1042" s="157"/>
      <c r="K1042" s="157"/>
      <c r="L1042" s="153">
        <f t="shared" si="95"/>
        <v>0</v>
      </c>
      <c r="M1042" s="154">
        <f t="shared" si="96"/>
        <v>0</v>
      </c>
      <c r="N1042" s="155">
        <f>+IF(OR($Q1042=Parametres!$G$2,$Q1042=Parametres!$G$3),I1042,C1042)</f>
        <v>0</v>
      </c>
      <c r="O1042" s="155">
        <f>+IF(OR($Q1042=Parametres!$G$2,$Q1042=Parametres!$G$3),J1042,D1042)</f>
        <v>0</v>
      </c>
      <c r="P1042" s="155">
        <f>+IF(OR($Q1042=Parametres!$G$2,$Q1042=Parametres!$G$3),K1042,E1042)</f>
        <v>0</v>
      </c>
      <c r="Q1042" s="154">
        <f t="shared" si="97"/>
        <v>0</v>
      </c>
      <c r="R1042" s="153">
        <f t="shared" si="98"/>
        <v>0</v>
      </c>
      <c r="S1042" s="154">
        <f t="shared" si="99"/>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hidden="1" customHeight="1">
      <c r="A1043" s="157"/>
      <c r="B1043" s="158"/>
      <c r="C1043" s="159"/>
      <c r="D1043" s="157"/>
      <c r="E1043" s="157"/>
      <c r="F1043" s="157"/>
      <c r="G1043" s="157"/>
      <c r="H1043" s="157"/>
      <c r="I1043" s="157"/>
      <c r="J1043" s="157"/>
      <c r="K1043" s="157"/>
      <c r="L1043" s="153">
        <f t="shared" si="95"/>
        <v>0</v>
      </c>
      <c r="M1043" s="154">
        <f t="shared" si="96"/>
        <v>0</v>
      </c>
      <c r="N1043" s="155">
        <f>+IF(OR($Q1043=Parametres!$G$2,$Q1043=Parametres!$G$3),I1043,C1043)</f>
        <v>0</v>
      </c>
      <c r="O1043" s="155">
        <f>+IF(OR($Q1043=Parametres!$G$2,$Q1043=Parametres!$G$3),J1043,D1043)</f>
        <v>0</v>
      </c>
      <c r="P1043" s="155">
        <f>+IF(OR($Q1043=Parametres!$G$2,$Q1043=Parametres!$G$3),K1043,E1043)</f>
        <v>0</v>
      </c>
      <c r="Q1043" s="154">
        <f t="shared" si="97"/>
        <v>0</v>
      </c>
      <c r="R1043" s="153">
        <f t="shared" si="98"/>
        <v>0</v>
      </c>
      <c r="S1043" s="154">
        <f t="shared" si="99"/>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hidden="1" customHeight="1">
      <c r="A1044" s="157"/>
      <c r="B1044" s="158"/>
      <c r="C1044" s="159"/>
      <c r="D1044" s="157"/>
      <c r="E1044" s="157"/>
      <c r="F1044" s="157"/>
      <c r="G1044" s="157"/>
      <c r="H1044" s="157"/>
      <c r="I1044" s="157"/>
      <c r="J1044" s="157"/>
      <c r="K1044" s="157"/>
      <c r="L1044" s="153">
        <f t="shared" si="95"/>
        <v>0</v>
      </c>
      <c r="M1044" s="154">
        <f t="shared" si="96"/>
        <v>0</v>
      </c>
      <c r="N1044" s="155">
        <f>+IF(OR($Q1044=Parametres!$G$2,$Q1044=Parametres!$G$3),I1044,C1044)</f>
        <v>0</v>
      </c>
      <c r="O1044" s="155">
        <f>+IF(OR($Q1044=Parametres!$G$2,$Q1044=Parametres!$G$3),J1044,D1044)</f>
        <v>0</v>
      </c>
      <c r="P1044" s="155">
        <f>+IF(OR($Q1044=Parametres!$G$2,$Q1044=Parametres!$G$3),K1044,E1044)</f>
        <v>0</v>
      </c>
      <c r="Q1044" s="154">
        <f t="shared" si="97"/>
        <v>0</v>
      </c>
      <c r="R1044" s="153">
        <f t="shared" si="98"/>
        <v>0</v>
      </c>
      <c r="S1044" s="154">
        <f t="shared" si="99"/>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hidden="1" customHeight="1">
      <c r="A1045" s="157"/>
      <c r="B1045" s="158"/>
      <c r="C1045" s="159"/>
      <c r="D1045" s="157"/>
      <c r="E1045" s="157"/>
      <c r="F1045" s="157"/>
      <c r="G1045" s="157"/>
      <c r="H1045" s="157"/>
      <c r="I1045" s="157"/>
      <c r="J1045" s="157"/>
      <c r="K1045" s="157"/>
      <c r="L1045" s="153">
        <f t="shared" si="95"/>
        <v>0</v>
      </c>
      <c r="M1045" s="154">
        <f t="shared" si="96"/>
        <v>0</v>
      </c>
      <c r="N1045" s="155">
        <f>+IF(OR($Q1045=Parametres!$G$2,$Q1045=Parametres!$G$3),I1045,C1045)</f>
        <v>0</v>
      </c>
      <c r="O1045" s="155">
        <f>+IF(OR($Q1045=Parametres!$G$2,$Q1045=Parametres!$G$3),J1045,D1045)</f>
        <v>0</v>
      </c>
      <c r="P1045" s="155">
        <f>+IF(OR($Q1045=Parametres!$G$2,$Q1045=Parametres!$G$3),K1045,E1045)</f>
        <v>0</v>
      </c>
      <c r="Q1045" s="154">
        <f t="shared" si="97"/>
        <v>0</v>
      </c>
      <c r="R1045" s="153">
        <f t="shared" si="98"/>
        <v>0</v>
      </c>
      <c r="S1045" s="154">
        <f t="shared" si="99"/>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hidden="1" customHeight="1">
      <c r="A1046" s="157"/>
      <c r="B1046" s="158"/>
      <c r="C1046" s="159"/>
      <c r="D1046" s="157"/>
      <c r="E1046" s="157"/>
      <c r="F1046" s="157"/>
      <c r="G1046" s="157"/>
      <c r="H1046" s="157"/>
      <c r="I1046" s="157"/>
      <c r="J1046" s="157"/>
      <c r="K1046" s="157"/>
      <c r="L1046" s="153">
        <f t="shared" si="95"/>
        <v>0</v>
      </c>
      <c r="M1046" s="154">
        <f t="shared" si="96"/>
        <v>0</v>
      </c>
      <c r="N1046" s="155">
        <f>+IF(OR($Q1046=Parametres!$G$2,$Q1046=Parametres!$G$3),I1046,C1046)</f>
        <v>0</v>
      </c>
      <c r="O1046" s="155">
        <f>+IF(OR($Q1046=Parametres!$G$2,$Q1046=Parametres!$G$3),J1046,D1046)</f>
        <v>0</v>
      </c>
      <c r="P1046" s="155">
        <f>+IF(OR($Q1046=Parametres!$G$2,$Q1046=Parametres!$G$3),K1046,E1046)</f>
        <v>0</v>
      </c>
      <c r="Q1046" s="154">
        <f t="shared" si="97"/>
        <v>0</v>
      </c>
      <c r="R1046" s="153">
        <f t="shared" si="98"/>
        <v>0</v>
      </c>
      <c r="S1046" s="154">
        <f t="shared" si="99"/>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hidden="1" customHeight="1">
      <c r="A1047" s="157"/>
      <c r="B1047" s="158"/>
      <c r="C1047" s="159"/>
      <c r="D1047" s="157"/>
      <c r="E1047" s="157"/>
      <c r="F1047" s="157"/>
      <c r="G1047" s="157"/>
      <c r="H1047" s="157"/>
      <c r="I1047" s="157"/>
      <c r="J1047" s="157"/>
      <c r="K1047" s="157"/>
      <c r="L1047" s="153">
        <f t="shared" si="95"/>
        <v>0</v>
      </c>
      <c r="M1047" s="154">
        <f t="shared" si="96"/>
        <v>0</v>
      </c>
      <c r="N1047" s="155">
        <f>+IF(OR($Q1047=Parametres!$G$2,$Q1047=Parametres!$G$3),I1047,C1047)</f>
        <v>0</v>
      </c>
      <c r="O1047" s="155">
        <f>+IF(OR($Q1047=Parametres!$G$2,$Q1047=Parametres!$G$3),J1047,D1047)</f>
        <v>0</v>
      </c>
      <c r="P1047" s="155">
        <f>+IF(OR($Q1047=Parametres!$G$2,$Q1047=Parametres!$G$3),K1047,E1047)</f>
        <v>0</v>
      </c>
      <c r="Q1047" s="154">
        <f t="shared" si="97"/>
        <v>0</v>
      </c>
      <c r="R1047" s="153">
        <f t="shared" si="98"/>
        <v>0</v>
      </c>
      <c r="S1047" s="154">
        <f t="shared" si="99"/>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hidden="1" customHeight="1">
      <c r="A1048" s="157"/>
      <c r="B1048" s="158"/>
      <c r="C1048" s="159"/>
      <c r="D1048" s="157"/>
      <c r="E1048" s="157"/>
      <c r="F1048" s="157"/>
      <c r="G1048" s="157"/>
      <c r="H1048" s="157"/>
      <c r="I1048" s="157"/>
      <c r="J1048" s="157"/>
      <c r="K1048" s="157"/>
      <c r="L1048" s="153">
        <f t="shared" si="95"/>
        <v>0</v>
      </c>
      <c r="M1048" s="154">
        <f t="shared" si="96"/>
        <v>0</v>
      </c>
      <c r="N1048" s="155">
        <f>+IF(OR($Q1048=Parametres!$G$2,$Q1048=Parametres!$G$3),I1048,C1048)</f>
        <v>0</v>
      </c>
      <c r="O1048" s="155">
        <f>+IF(OR($Q1048=Parametres!$G$2,$Q1048=Parametres!$G$3),J1048,D1048)</f>
        <v>0</v>
      </c>
      <c r="P1048" s="155">
        <f>+IF(OR($Q1048=Parametres!$G$2,$Q1048=Parametres!$G$3),K1048,E1048)</f>
        <v>0</v>
      </c>
      <c r="Q1048" s="154">
        <f t="shared" si="97"/>
        <v>0</v>
      </c>
      <c r="R1048" s="153">
        <f t="shared" si="98"/>
        <v>0</v>
      </c>
      <c r="S1048" s="154">
        <f t="shared" si="99"/>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hidden="1" customHeight="1">
      <c r="A1049" s="157"/>
      <c r="B1049" s="158"/>
      <c r="C1049" s="159"/>
      <c r="D1049" s="157"/>
      <c r="E1049" s="157"/>
      <c r="F1049" s="157"/>
      <c r="G1049" s="157"/>
      <c r="H1049" s="157"/>
      <c r="I1049" s="157"/>
      <c r="J1049" s="157"/>
      <c r="K1049" s="157"/>
      <c r="L1049" s="153">
        <f t="shared" si="95"/>
        <v>0</v>
      </c>
      <c r="M1049" s="154">
        <f t="shared" si="96"/>
        <v>0</v>
      </c>
      <c r="N1049" s="155">
        <f>+IF(OR($Q1049=Parametres!$G$2,$Q1049=Parametres!$G$3),I1049,C1049)</f>
        <v>0</v>
      </c>
      <c r="O1049" s="155">
        <f>+IF(OR($Q1049=Parametres!$G$2,$Q1049=Parametres!$G$3),J1049,D1049)</f>
        <v>0</v>
      </c>
      <c r="P1049" s="155">
        <f>+IF(OR($Q1049=Parametres!$G$2,$Q1049=Parametres!$G$3),K1049,E1049)</f>
        <v>0</v>
      </c>
      <c r="Q1049" s="154">
        <f t="shared" si="97"/>
        <v>0</v>
      </c>
      <c r="R1049" s="153">
        <f t="shared" si="98"/>
        <v>0</v>
      </c>
      <c r="S1049" s="154">
        <f t="shared" si="99"/>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hidden="1" customHeight="1">
      <c r="A1050" s="157"/>
      <c r="B1050" s="158"/>
      <c r="C1050" s="159"/>
      <c r="D1050" s="157"/>
      <c r="E1050" s="157"/>
      <c r="F1050" s="157"/>
      <c r="G1050" s="157"/>
      <c r="H1050" s="157"/>
      <c r="I1050" s="157"/>
      <c r="J1050" s="157"/>
      <c r="K1050" s="157"/>
      <c r="L1050" s="153">
        <f t="shared" si="95"/>
        <v>0</v>
      </c>
      <c r="M1050" s="154">
        <f t="shared" si="96"/>
        <v>0</v>
      </c>
      <c r="N1050" s="155">
        <f>+IF(OR($Q1050=Parametres!$G$2,$Q1050=Parametres!$G$3),I1050,C1050)</f>
        <v>0</v>
      </c>
      <c r="O1050" s="155">
        <f>+IF(OR($Q1050=Parametres!$G$2,$Q1050=Parametres!$G$3),J1050,D1050)</f>
        <v>0</v>
      </c>
      <c r="P1050" s="155">
        <f>+IF(OR($Q1050=Parametres!$G$2,$Q1050=Parametres!$G$3),K1050,E1050)</f>
        <v>0</v>
      </c>
      <c r="Q1050" s="154">
        <f t="shared" si="97"/>
        <v>0</v>
      </c>
      <c r="R1050" s="153">
        <f t="shared" si="98"/>
        <v>0</v>
      </c>
      <c r="S1050" s="154">
        <f t="shared" si="99"/>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hidden="1" customHeight="1">
      <c r="A1051" s="157"/>
      <c r="B1051" s="158"/>
      <c r="C1051" s="159"/>
      <c r="D1051" s="157"/>
      <c r="E1051" s="157"/>
      <c r="F1051" s="157"/>
      <c r="G1051" s="157"/>
      <c r="H1051" s="157"/>
      <c r="I1051" s="157"/>
      <c r="J1051" s="157"/>
      <c r="K1051" s="157"/>
      <c r="L1051" s="153">
        <f t="shared" si="95"/>
        <v>0</v>
      </c>
      <c r="M1051" s="154">
        <f t="shared" si="96"/>
        <v>0</v>
      </c>
      <c r="N1051" s="155">
        <f>+IF(OR($Q1051=Parametres!$G$2,$Q1051=Parametres!$G$3),I1051,C1051)</f>
        <v>0</v>
      </c>
      <c r="O1051" s="155">
        <f>+IF(OR($Q1051=Parametres!$G$2,$Q1051=Parametres!$G$3),J1051,D1051)</f>
        <v>0</v>
      </c>
      <c r="P1051" s="155">
        <f>+IF(OR($Q1051=Parametres!$G$2,$Q1051=Parametres!$G$3),K1051,E1051)</f>
        <v>0</v>
      </c>
      <c r="Q1051" s="154">
        <f t="shared" si="97"/>
        <v>0</v>
      </c>
      <c r="R1051" s="153">
        <f t="shared" si="98"/>
        <v>0</v>
      </c>
      <c r="S1051" s="154">
        <f t="shared" si="99"/>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hidden="1" customHeight="1">
      <c r="A1052" s="157"/>
      <c r="B1052" s="158"/>
      <c r="C1052" s="159"/>
      <c r="D1052" s="157"/>
      <c r="E1052" s="157"/>
      <c r="F1052" s="157"/>
      <c r="G1052" s="157"/>
      <c r="H1052" s="157"/>
      <c r="I1052" s="157"/>
      <c r="J1052" s="157"/>
      <c r="K1052" s="157"/>
      <c r="L1052" s="153">
        <f t="shared" si="95"/>
        <v>0</v>
      </c>
      <c r="M1052" s="154">
        <f t="shared" si="96"/>
        <v>0</v>
      </c>
      <c r="N1052" s="155">
        <f>+IF(OR($Q1052=Parametres!$G$2,$Q1052=Parametres!$G$3),I1052,C1052)</f>
        <v>0</v>
      </c>
      <c r="O1052" s="155">
        <f>+IF(OR($Q1052=Parametres!$G$2,$Q1052=Parametres!$G$3),J1052,D1052)</f>
        <v>0</v>
      </c>
      <c r="P1052" s="155">
        <f>+IF(OR($Q1052=Parametres!$G$2,$Q1052=Parametres!$G$3),K1052,E1052)</f>
        <v>0</v>
      </c>
      <c r="Q1052" s="154">
        <f t="shared" si="97"/>
        <v>0</v>
      </c>
      <c r="R1052" s="153">
        <f t="shared" si="98"/>
        <v>0</v>
      </c>
      <c r="S1052" s="154">
        <f t="shared" si="99"/>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hidden="1" customHeight="1">
      <c r="A1053" s="157"/>
      <c r="B1053" s="158"/>
      <c r="C1053" s="159"/>
      <c r="D1053" s="157"/>
      <c r="E1053" s="157"/>
      <c r="F1053" s="157"/>
      <c r="G1053" s="157"/>
      <c r="H1053" s="157"/>
      <c r="I1053" s="157"/>
      <c r="J1053" s="157"/>
      <c r="K1053" s="157"/>
      <c r="L1053" s="153">
        <f t="shared" si="95"/>
        <v>0</v>
      </c>
      <c r="M1053" s="154">
        <f t="shared" si="96"/>
        <v>0</v>
      </c>
      <c r="N1053" s="155">
        <f>+IF(OR($Q1053=Parametres!$G$2,$Q1053=Parametres!$G$3),I1053,C1053)</f>
        <v>0</v>
      </c>
      <c r="O1053" s="155">
        <f>+IF(OR($Q1053=Parametres!$G$2,$Q1053=Parametres!$G$3),J1053,D1053)</f>
        <v>0</v>
      </c>
      <c r="P1053" s="155">
        <f>+IF(OR($Q1053=Parametres!$G$2,$Q1053=Parametres!$G$3),K1053,E1053)</f>
        <v>0</v>
      </c>
      <c r="Q1053" s="154">
        <f t="shared" si="97"/>
        <v>0</v>
      </c>
      <c r="R1053" s="153">
        <f t="shared" si="98"/>
        <v>0</v>
      </c>
      <c r="S1053" s="154">
        <f t="shared" si="99"/>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hidden="1" customHeight="1">
      <c r="A1054" s="157"/>
      <c r="B1054" s="158"/>
      <c r="C1054" s="159"/>
      <c r="D1054" s="157"/>
      <c r="E1054" s="157"/>
      <c r="F1054" s="157"/>
      <c r="G1054" s="157"/>
      <c r="H1054" s="157"/>
      <c r="I1054" s="157"/>
      <c r="J1054" s="157"/>
      <c r="K1054" s="157"/>
      <c r="L1054" s="153">
        <f t="shared" si="95"/>
        <v>0</v>
      </c>
      <c r="M1054" s="154">
        <f t="shared" si="96"/>
        <v>0</v>
      </c>
      <c r="N1054" s="155">
        <f>+IF(OR($Q1054=Parametres!$G$2,$Q1054=Parametres!$G$3),I1054,C1054)</f>
        <v>0</v>
      </c>
      <c r="O1054" s="155">
        <f>+IF(OR($Q1054=Parametres!$G$2,$Q1054=Parametres!$G$3),J1054,D1054)</f>
        <v>0</v>
      </c>
      <c r="P1054" s="155">
        <f>+IF(OR($Q1054=Parametres!$G$2,$Q1054=Parametres!$G$3),K1054,E1054)</f>
        <v>0</v>
      </c>
      <c r="Q1054" s="154">
        <f t="shared" si="97"/>
        <v>0</v>
      </c>
      <c r="R1054" s="153">
        <f t="shared" si="98"/>
        <v>0</v>
      </c>
      <c r="S1054" s="154">
        <f t="shared" si="99"/>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5" spans="1:24" ht="15.75" hidden="1" customHeight="1">
      <c r="A1055" s="157"/>
      <c r="B1055" s="158"/>
      <c r="C1055" s="159"/>
      <c r="D1055" s="157"/>
      <c r="E1055" s="157"/>
      <c r="F1055" s="157"/>
      <c r="G1055" s="157"/>
      <c r="H1055" s="157"/>
      <c r="I1055" s="157"/>
      <c r="J1055" s="157"/>
      <c r="K1055" s="157"/>
      <c r="L1055" s="153">
        <f t="shared" si="95"/>
        <v>0</v>
      </c>
      <c r="M1055" s="154">
        <f t="shared" si="96"/>
        <v>0</v>
      </c>
      <c r="N1055" s="155">
        <f>+IF(OR($Q1055=Parametres!$G$2,$Q1055=Parametres!$G$3),I1055,C1055)</f>
        <v>0</v>
      </c>
      <c r="O1055" s="155">
        <f>+IF(OR($Q1055=Parametres!$G$2,$Q1055=Parametres!$G$3),J1055,D1055)</f>
        <v>0</v>
      </c>
      <c r="P1055" s="155">
        <f>+IF(OR($Q1055=Parametres!$G$2,$Q1055=Parametres!$G$3),K1055,E1055)</f>
        <v>0</v>
      </c>
      <c r="Q1055" s="154">
        <f t="shared" si="97"/>
        <v>0</v>
      </c>
      <c r="R1055" s="153">
        <f t="shared" si="98"/>
        <v>0</v>
      </c>
      <c r="S1055" s="154">
        <f t="shared" si="99"/>
        <v>0</v>
      </c>
      <c r="T1055" s="156" t="e">
        <f>+VLOOKUP($L1055,Data_Validation!$A:$D,1,0)</f>
        <v>#N/A</v>
      </c>
      <c r="U1055" s="156" t="e">
        <f>+VLOOKUP($L1055,Data_Validation!$A:$D,3,0)</f>
        <v>#N/A</v>
      </c>
      <c r="V1055" s="156" t="e">
        <f>+VLOOKUP($L1055,Data_Validation!$A:$D,4,0)</f>
        <v>#N/A</v>
      </c>
      <c r="W1055" s="156" t="e">
        <f>+VLOOKUP($L1055,Data_Validation!$A:$E,5,0)</f>
        <v>#N/A</v>
      </c>
      <c r="X1055" s="156" t="e">
        <f>+VLOOKUP($L1055,Data_Validation!$A:$F,6,0)</f>
        <v>#N/A</v>
      </c>
    </row>
  </sheetData>
  <autoFilter ref="A1:X1055" xr:uid="{00000000-0009-0000-0000-000007000000}">
    <filterColumn colId="21">
      <filters>
        <filter val="Service gratuit 1"/>
        <filter val="Service gratuit 2"/>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topLeftCell="M1" workbookViewId="0">
      <pane ySplit="1" topLeftCell="A2" activePane="bottomLeft" state="frozen"/>
      <selection pane="bottomLeft" activeCell="V1" sqref="V1"/>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9933</v>
      </c>
      <c r="J2" s="1015">
        <v>0</v>
      </c>
      <c r="K2" s="1015">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3" t="s">
        <v>2208</v>
      </c>
      <c r="B3" s="1013" t="s">
        <v>2209</v>
      </c>
      <c r="C3" s="1014"/>
      <c r="D3" s="1014"/>
      <c r="E3" s="1014"/>
      <c r="F3" s="1013" t="s">
        <v>1</v>
      </c>
      <c r="G3" s="1013" t="s">
        <v>2207</v>
      </c>
      <c r="H3" s="1014"/>
      <c r="I3" s="1015">
        <v>-43919</v>
      </c>
      <c r="J3" s="1015">
        <v>0</v>
      </c>
      <c r="K3" s="1015">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2210</v>
      </c>
      <c r="B4" s="1013" t="s">
        <v>2211</v>
      </c>
      <c r="C4" s="1014"/>
      <c r="D4" s="1014"/>
      <c r="E4" s="1014"/>
      <c r="F4" s="1013" t="s">
        <v>1</v>
      </c>
      <c r="G4" s="1013" t="s">
        <v>2207</v>
      </c>
      <c r="H4" s="1014"/>
      <c r="I4" s="1015">
        <v>0</v>
      </c>
      <c r="J4" s="1015">
        <v>2859</v>
      </c>
      <c r="K4" s="1015">
        <v>2859</v>
      </c>
      <c r="L4" s="153" t="str">
        <f t="shared" si="0"/>
        <v>30</v>
      </c>
      <c r="M4" s="154" t="str">
        <f t="shared" si="1"/>
        <v>PROFIT/PERTES MARS</v>
      </c>
      <c r="N4" s="155">
        <f>+IF(OR($Q4=Parametres!$G$2,$Q4=Parametres!$G$3),I4,C4)</f>
        <v>0</v>
      </c>
      <c r="O4" s="575">
        <f>+IF(OR($Q4=Parametres!$G$2,$Q4=Parametres!$G$3),J4,D4)</f>
        <v>2859</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3" t="s">
        <v>2228</v>
      </c>
      <c r="B5" s="1013" t="s">
        <v>2229</v>
      </c>
      <c r="C5" s="1014"/>
      <c r="D5" s="1014"/>
      <c r="E5" s="1014"/>
      <c r="F5" s="1013" t="s">
        <v>1</v>
      </c>
      <c r="G5" s="1013" t="s">
        <v>2230</v>
      </c>
      <c r="H5" s="1014"/>
      <c r="I5" s="1015">
        <v>2.0699999999999998</v>
      </c>
      <c r="J5" s="1015">
        <v>2.3199999999999998</v>
      </c>
      <c r="K5" s="1015">
        <v>4.3899999999999997</v>
      </c>
      <c r="L5" s="153" t="str">
        <f t="shared" si="0"/>
        <v>229</v>
      </c>
      <c r="M5" s="154" t="str">
        <f t="shared" si="1"/>
        <v>CUMUL. VIS. CARR. VW</v>
      </c>
      <c r="N5" s="155">
        <f>+IF(OR($Q5=Parametres!$G$2,$Q5=Parametres!$G$3),I5,C5)</f>
        <v>2.0699999999999998</v>
      </c>
      <c r="O5" s="575">
        <f>+IF(OR($Q5=Parametres!$G$2,$Q5=Parametres!$G$3),J5,D5)</f>
        <v>2.3199999999999998</v>
      </c>
      <c r="P5" s="155">
        <f>+IF(OR($Q5=Parametres!$G$2,$Q5=Parametres!$G$3),K5,E5)</f>
        <v>4.3899999999999997</v>
      </c>
      <c r="Q5" s="154" t="str">
        <f t="shared" si="2"/>
        <v>1-Mémo</v>
      </c>
      <c r="R5" s="153" t="str">
        <f t="shared" si="2"/>
        <v>23</v>
      </c>
      <c r="S5" s="154">
        <f t="shared" si="2"/>
        <v>0</v>
      </c>
      <c r="T5" s="156" t="str">
        <f>+VLOOKUP($L5,Data_Validation!$A:$D,1,0)</f>
        <v>229</v>
      </c>
      <c r="U5" s="156">
        <f>+VLOOKUP($L5,Data_Validation!$A:$D,3,0)</f>
        <v>0</v>
      </c>
      <c r="V5" s="156">
        <f>+VLOOKUP($L5,Data_Validation!$A:$D,4,0)</f>
        <v>0</v>
      </c>
      <c r="W5" s="156">
        <f>+VLOOKUP($L5,Data_Validation!$A:$E,5,0)</f>
        <v>0</v>
      </c>
      <c r="X5" s="156">
        <f>+VLOOKUP($L5,Data_Validation!$A:$F,6,0)</f>
        <v>0</v>
      </c>
    </row>
    <row r="6" spans="1:24" ht="15.75" hidden="1" customHeight="1">
      <c r="A6" s="1013" t="s">
        <v>2231</v>
      </c>
      <c r="B6" s="1013" t="s">
        <v>2232</v>
      </c>
      <c r="C6" s="1014"/>
      <c r="D6" s="1014"/>
      <c r="E6" s="1014"/>
      <c r="F6" s="1013" t="s">
        <v>1</v>
      </c>
      <c r="G6" s="1013" t="s">
        <v>2230</v>
      </c>
      <c r="H6" s="1014"/>
      <c r="I6" s="1015">
        <v>23.83</v>
      </c>
      <c r="J6" s="1015">
        <v>24.03</v>
      </c>
      <c r="K6" s="1015">
        <v>47.86</v>
      </c>
      <c r="L6" s="153" t="str">
        <f t="shared" si="0"/>
        <v>230</v>
      </c>
      <c r="M6" s="154" t="str">
        <f t="shared" si="1"/>
        <v>CUMUL. VIS. VEH. SERV. VW</v>
      </c>
      <c r="N6" s="155">
        <f>+IF(OR($Q6=Parametres!$G$2,$Q6=Parametres!$G$3),I6,C6)</f>
        <v>23.83</v>
      </c>
      <c r="O6" s="155">
        <f>+IF(OR($Q6=Parametres!$G$2,$Q6=Parametres!$G$3),J6,D6)</f>
        <v>24.03</v>
      </c>
      <c r="P6" s="155">
        <f>+IF(OR($Q6=Parametres!$G$2,$Q6=Parametres!$G$3),K6,E6)</f>
        <v>47.86</v>
      </c>
      <c r="Q6" s="154" t="str">
        <f t="shared" si="2"/>
        <v>1-Mémo</v>
      </c>
      <c r="R6" s="153" t="str">
        <f t="shared" si="2"/>
        <v>23</v>
      </c>
      <c r="S6" s="154">
        <f t="shared" si="2"/>
        <v>0</v>
      </c>
      <c r="T6" s="156" t="str">
        <f>+VLOOKUP($L6,Data_Validation!$A:$D,1,0)</f>
        <v>230</v>
      </c>
      <c r="U6" s="156">
        <f>+VLOOKUP($L6,Data_Validation!$A:$D,3,0)</f>
        <v>0</v>
      </c>
      <c r="V6" s="156">
        <f>+VLOOKUP($L6,Data_Validation!$A:$D,4,0)</f>
        <v>0</v>
      </c>
      <c r="W6" s="156" t="str">
        <f>+VLOOKUP($L6,Data_Validation!$A:$E,5,0)</f>
        <v>$</v>
      </c>
      <c r="X6" s="156">
        <f>+VLOOKUP($L6,Data_Validation!$A:$F,6,0)</f>
        <v>0</v>
      </c>
    </row>
    <row r="7" spans="1:24" ht="15" hidden="1" customHeight="1">
      <c r="A7" s="1013" t="s">
        <v>2233</v>
      </c>
      <c r="B7" s="1013" t="s">
        <v>2234</v>
      </c>
      <c r="C7" s="1014"/>
      <c r="D7" s="1014"/>
      <c r="E7" s="1014"/>
      <c r="F7" s="1013" t="s">
        <v>1</v>
      </c>
      <c r="G7" s="1013" t="s">
        <v>2230</v>
      </c>
      <c r="H7" s="1014"/>
      <c r="I7" s="1015">
        <v>46.78</v>
      </c>
      <c r="J7" s="1015">
        <v>21.42</v>
      </c>
      <c r="K7" s="1015">
        <v>68.2</v>
      </c>
      <c r="L7" s="153" t="str">
        <f t="shared" si="0"/>
        <v>234</v>
      </c>
      <c r="M7" s="154" t="str">
        <f t="shared" si="1"/>
        <v>TOTAL HRES PROD. SERVICE</v>
      </c>
      <c r="N7" s="155">
        <f>+IF(OR($Q7=Parametres!$G$2,$Q7=Parametres!$G$3),I7,C7)</f>
        <v>46.78</v>
      </c>
      <c r="O7" s="575">
        <f>+IF(OR($Q7=Parametres!$G$2,$Q7=Parametres!$G$3),J7,D7)</f>
        <v>21.42</v>
      </c>
      <c r="P7" s="155">
        <f>+IF(OR($Q7=Parametres!$G$2,$Q7=Parametres!$G$3),K7,E7)</f>
        <v>68.2</v>
      </c>
      <c r="Q7" s="154" t="str">
        <f t="shared" si="2"/>
        <v>1-Mémo</v>
      </c>
      <c r="R7" s="153" t="str">
        <f t="shared" si="2"/>
        <v>23</v>
      </c>
      <c r="S7" s="154">
        <f t="shared" si="2"/>
        <v>0</v>
      </c>
      <c r="T7" s="156" t="str">
        <f>+VLOOKUP($L7,Data_Validation!$A:$D,1,0)</f>
        <v>234</v>
      </c>
      <c r="U7" s="156">
        <f>+VLOOKUP($L7,Data_Validation!$A:$D,3,0)</f>
        <v>0</v>
      </c>
      <c r="V7" s="156">
        <f>+VLOOKUP($L7,Data_Validation!$A:$D,4,0)</f>
        <v>0</v>
      </c>
      <c r="W7" s="156">
        <f>+VLOOKUP($L7,Data_Validation!$A:$E,5,0)</f>
        <v>0</v>
      </c>
      <c r="X7" s="156">
        <f>+VLOOKUP($L7,Data_Validation!$A:$F,6,0)</f>
        <v>0</v>
      </c>
    </row>
    <row r="8" spans="1:24" ht="15" hidden="1" customHeight="1">
      <c r="A8" s="1013" t="s">
        <v>2235</v>
      </c>
      <c r="B8" s="1013" t="s">
        <v>2236</v>
      </c>
      <c r="C8" s="1014"/>
      <c r="D8" s="1014"/>
      <c r="E8" s="1014"/>
      <c r="F8" s="1013" t="s">
        <v>1</v>
      </c>
      <c r="G8" s="1013" t="s">
        <v>2230</v>
      </c>
      <c r="H8" s="1014"/>
      <c r="I8" s="1015">
        <v>29.71</v>
      </c>
      <c r="J8" s="1015">
        <v>16.07</v>
      </c>
      <c r="K8" s="1015">
        <v>45.78</v>
      </c>
      <c r="L8" s="153" t="str">
        <f t="shared" si="0"/>
        <v>236</v>
      </c>
      <c r="M8" s="154" t="str">
        <f t="shared" si="1"/>
        <v>HEURES VENDU VW - SERVICE</v>
      </c>
      <c r="N8" s="155">
        <f>+IF(OR($Q8=Parametres!$G$2,$Q8=Parametres!$G$3),I8,C8)</f>
        <v>29.71</v>
      </c>
      <c r="O8" s="575">
        <f>+IF(OR($Q8=Parametres!$G$2,$Q8=Parametres!$G$3),J8,D8)</f>
        <v>16.07</v>
      </c>
      <c r="P8" s="155">
        <f>+IF(OR($Q8=Parametres!$G$2,$Q8=Parametres!$G$3),K8,E8)</f>
        <v>45.78</v>
      </c>
      <c r="Q8" s="154" t="str">
        <f t="shared" si="2"/>
        <v>1-Mémo</v>
      </c>
      <c r="R8" s="153" t="str">
        <f t="shared" si="2"/>
        <v>23</v>
      </c>
      <c r="S8" s="154">
        <f t="shared" si="2"/>
        <v>0</v>
      </c>
      <c r="T8" s="156" t="str">
        <f>+VLOOKUP($L8,Data_Validation!$A:$D,1,0)</f>
        <v>236</v>
      </c>
      <c r="U8" s="156">
        <f>+VLOOKUP($L8,Data_Validation!$A:$D,3,0)</f>
        <v>0</v>
      </c>
      <c r="V8" s="156">
        <f>+VLOOKUP($L8,Data_Validation!$A:$D,4,0)</f>
        <v>0</v>
      </c>
      <c r="W8" s="156">
        <f>+VLOOKUP($L8,Data_Validation!$A:$E,5,0)</f>
        <v>0</v>
      </c>
      <c r="X8" s="156">
        <f>+VLOOKUP($L8,Data_Validation!$A:$F,6,0)</f>
        <v>0</v>
      </c>
    </row>
    <row r="9" spans="1:24" ht="15" hidden="1" customHeight="1">
      <c r="A9" s="1013" t="s">
        <v>2237</v>
      </c>
      <c r="B9" s="1013" t="s">
        <v>2238</v>
      </c>
      <c r="C9" s="1014"/>
      <c r="D9" s="1014"/>
      <c r="E9" s="1014"/>
      <c r="F9" s="1013" t="s">
        <v>1</v>
      </c>
      <c r="G9" s="1013" t="s">
        <v>2230</v>
      </c>
      <c r="H9" s="1014"/>
      <c r="I9" s="1015">
        <v>55.04</v>
      </c>
      <c r="J9" s="1015">
        <v>25.2</v>
      </c>
      <c r="K9" s="1015">
        <v>80.239999999999995</v>
      </c>
      <c r="L9" s="153" t="str">
        <f t="shared" si="0"/>
        <v>238</v>
      </c>
      <c r="M9" s="154" t="str">
        <f t="shared" si="1"/>
        <v>TOT. HEURES DISP. SERVICE</v>
      </c>
      <c r="N9" s="155">
        <f>+IF(OR($Q9=Parametres!$G$2,$Q9=Parametres!$G$3),I9,C9)</f>
        <v>55.04</v>
      </c>
      <c r="O9" s="575">
        <f>+IF(OR($Q9=Parametres!$G$2,$Q9=Parametres!$G$3),J9,D9)</f>
        <v>25.2</v>
      </c>
      <c r="P9" s="155">
        <f>+IF(OR($Q9=Parametres!$G$2,$Q9=Parametres!$G$3),K9,E9)</f>
        <v>80.239999999999995</v>
      </c>
      <c r="Q9" s="154" t="str">
        <f t="shared" si="2"/>
        <v>1-Mémo</v>
      </c>
      <c r="R9" s="153" t="str">
        <f t="shared" si="2"/>
        <v>23</v>
      </c>
      <c r="S9" s="154">
        <f t="shared" si="2"/>
        <v>0</v>
      </c>
      <c r="T9" s="156" t="str">
        <f>+VLOOKUP($L9,Data_Validation!$A:$D,1,0)</f>
        <v>238</v>
      </c>
      <c r="U9" s="156">
        <f>+VLOOKUP($L9,Data_Validation!$A:$D,3,0)</f>
        <v>0</v>
      </c>
      <c r="V9" s="156">
        <f>+VLOOKUP($L9,Data_Validation!$A:$D,4,0)</f>
        <v>0</v>
      </c>
      <c r="W9" s="156">
        <f>+VLOOKUP($L9,Data_Validation!$A:$E,5,0)</f>
        <v>0</v>
      </c>
      <c r="X9" s="156">
        <f>+VLOOKUP($L9,Data_Validation!$A:$F,6,0)</f>
        <v>0</v>
      </c>
    </row>
    <row r="10" spans="1:24" ht="15" hidden="1" customHeight="1">
      <c r="A10" s="1013" t="s">
        <v>2239</v>
      </c>
      <c r="B10" s="1013" t="s">
        <v>2240</v>
      </c>
      <c r="C10" s="1014"/>
      <c r="D10" s="1014"/>
      <c r="E10" s="1014"/>
      <c r="F10" s="1013" t="s">
        <v>1</v>
      </c>
      <c r="G10" s="1013" t="s">
        <v>2241</v>
      </c>
      <c r="H10" s="1014"/>
      <c r="I10" s="1015">
        <v>125</v>
      </c>
      <c r="J10" s="1015">
        <v>0</v>
      </c>
      <c r="K10" s="1015">
        <v>125</v>
      </c>
      <c r="L10" s="153" t="str">
        <f t="shared" si="0"/>
        <v>243</v>
      </c>
      <c r="M10" s="154" t="str">
        <f t="shared" si="1"/>
        <v>TAUX M/O CLIENT VW</v>
      </c>
      <c r="N10" s="155">
        <f>+IF(OR($Q10=Parametres!$G$2,$Q10=Parametres!$G$3),I10,C10)</f>
        <v>125</v>
      </c>
      <c r="O10" s="576">
        <f>+IF(OR($Q10=Parametres!$G$2,$Q10=Parametres!$G$3),J10,D10)</f>
        <v>0</v>
      </c>
      <c r="P10" s="155">
        <f>+IF(OR($Q10=Parametres!$G$2,$Q10=Parametres!$G$3),K10,E10)</f>
        <v>125</v>
      </c>
      <c r="Q10" s="154" t="str">
        <f t="shared" si="2"/>
        <v>1-Mémo</v>
      </c>
      <c r="R10" s="153" t="str">
        <f t="shared" si="2"/>
        <v>24</v>
      </c>
      <c r="S10" s="154">
        <f t="shared" si="2"/>
        <v>0</v>
      </c>
      <c r="T10" s="156" t="str">
        <f>+VLOOKUP($L10,Data_Validation!$A:$D,1,0)</f>
        <v>243</v>
      </c>
      <c r="U10" s="156">
        <f>+VLOOKUP($L10,Data_Validation!$A:$D,3,0)</f>
        <v>0</v>
      </c>
      <c r="V10" s="156">
        <f>+VLOOKUP($L10,Data_Validation!$A:$D,4,0)</f>
        <v>0</v>
      </c>
      <c r="W10" s="156">
        <f>+VLOOKUP($L10,Data_Validation!$A:$E,5,0)</f>
        <v>0</v>
      </c>
      <c r="X10" s="156">
        <f>+VLOOKUP($L10,Data_Validation!$A:$F,6,0)</f>
        <v>0</v>
      </c>
    </row>
    <row r="11" spans="1:24" ht="15" hidden="1" customHeight="1">
      <c r="A11" s="1013" t="s">
        <v>2242</v>
      </c>
      <c r="B11" s="1013" t="s">
        <v>2243</v>
      </c>
      <c r="C11" s="1014"/>
      <c r="D11" s="1014"/>
      <c r="E11" s="1014"/>
      <c r="F11" s="1013" t="s">
        <v>1</v>
      </c>
      <c r="G11" s="1013" t="s">
        <v>2241</v>
      </c>
      <c r="H11" s="1014"/>
      <c r="I11" s="1015">
        <v>115.09</v>
      </c>
      <c r="J11" s="1015">
        <v>0</v>
      </c>
      <c r="K11" s="1015">
        <v>115.09</v>
      </c>
      <c r="L11" s="153" t="str">
        <f t="shared" si="0"/>
        <v>244</v>
      </c>
      <c r="M11" s="154" t="str">
        <f t="shared" si="1"/>
        <v>TAUX M/O GARANTIE VW</v>
      </c>
      <c r="N11" s="155">
        <f>+IF(OR($Q11=Parametres!$G$2,$Q11=Parametres!$G$3),I11,C11)</f>
        <v>115.09</v>
      </c>
      <c r="O11" s="155">
        <f>+IF(OR($Q11=Parametres!$G$2,$Q11=Parametres!$G$3),J11,D11)</f>
        <v>0</v>
      </c>
      <c r="P11" s="155">
        <f>+IF(OR($Q11=Parametres!$G$2,$Q11=Parametres!$G$3),K11,E11)</f>
        <v>115.09</v>
      </c>
      <c r="Q11" s="154" t="str">
        <f t="shared" si="2"/>
        <v>1-Mémo</v>
      </c>
      <c r="R11" s="153" t="str">
        <f t="shared" si="2"/>
        <v>24</v>
      </c>
      <c r="S11" s="154">
        <f t="shared" si="2"/>
        <v>0</v>
      </c>
      <c r="T11" s="156" t="str">
        <f>+VLOOKUP($L11,Data_Validation!$A:$D,1,0)</f>
        <v>244</v>
      </c>
      <c r="U11" s="156">
        <f>+VLOOKUP($L11,Data_Validation!$A:$D,3,0)</f>
        <v>0</v>
      </c>
      <c r="V11" s="156">
        <f>+VLOOKUP($L11,Data_Validation!$A:$D,4,0)</f>
        <v>0</v>
      </c>
      <c r="W11" s="156">
        <f>+VLOOKUP($L11,Data_Validation!$A:$E,5,0)</f>
        <v>0</v>
      </c>
      <c r="X11" s="156">
        <f>+VLOOKUP($L11,Data_Validation!$A:$F,6,0)</f>
        <v>0</v>
      </c>
    </row>
    <row r="12" spans="1:24" ht="15" hidden="1" customHeight="1">
      <c r="A12" s="1013" t="s">
        <v>2244</v>
      </c>
      <c r="B12" s="1013" t="s">
        <v>2245</v>
      </c>
      <c r="C12" s="1014"/>
      <c r="D12" s="1014"/>
      <c r="E12" s="1014"/>
      <c r="F12" s="1013" t="s">
        <v>1</v>
      </c>
      <c r="G12" s="1013" t="s">
        <v>2241</v>
      </c>
      <c r="H12" s="1014"/>
      <c r="I12" s="1015">
        <v>125</v>
      </c>
      <c r="J12" s="1015">
        <v>0</v>
      </c>
      <c r="K12" s="1015">
        <v>125</v>
      </c>
      <c r="L12" s="153" t="str">
        <f t="shared" si="0"/>
        <v>245</v>
      </c>
      <c r="M12" s="154" t="str">
        <f t="shared" si="1"/>
        <v>TAUX M/O INTERNE VW</v>
      </c>
      <c r="N12" s="155">
        <f>+IF(OR($Q12=Parametres!$G$2,$Q12=Parametres!$G$3),I12,C12)</f>
        <v>125</v>
      </c>
      <c r="O12" s="155">
        <f>+IF(OR($Q12=Parametres!$G$2,$Q12=Parametres!$G$3),J12,D12)</f>
        <v>0</v>
      </c>
      <c r="P12" s="155">
        <f>+IF(OR($Q12=Parametres!$G$2,$Q12=Parametres!$G$3),K12,E12)</f>
        <v>125</v>
      </c>
      <c r="Q12" s="154" t="str">
        <f t="shared" si="2"/>
        <v>1-Mémo</v>
      </c>
      <c r="R12" s="153" t="str">
        <f t="shared" si="2"/>
        <v>24</v>
      </c>
      <c r="S12" s="154">
        <f t="shared" si="2"/>
        <v>0</v>
      </c>
      <c r="T12" s="156" t="str">
        <f>+VLOOKUP($L12,Data_Validation!$A:$D,1,0)</f>
        <v>245</v>
      </c>
      <c r="U12" s="156">
        <f>+VLOOKUP($L12,Data_Validation!$A:$D,3,0)</f>
        <v>0</v>
      </c>
      <c r="V12" s="156">
        <f>+VLOOKUP($L12,Data_Validation!$A:$D,4,0)</f>
        <v>0</v>
      </c>
      <c r="W12" s="156">
        <f>+VLOOKUP($L12,Data_Validation!$A:$E,5,0)</f>
        <v>0</v>
      </c>
      <c r="X12" s="156">
        <f>+VLOOKUP($L12,Data_Validation!$A:$F,6,0)</f>
        <v>0</v>
      </c>
    </row>
    <row r="13" spans="1:24" ht="15" hidden="1" customHeight="1">
      <c r="A13" s="1013" t="s">
        <v>2246</v>
      </c>
      <c r="B13" s="1013" t="s">
        <v>2247</v>
      </c>
      <c r="C13" s="1014"/>
      <c r="D13" s="1014"/>
      <c r="E13" s="1014"/>
      <c r="F13" s="1013" t="s">
        <v>1</v>
      </c>
      <c r="G13" s="1013" t="s">
        <v>2241</v>
      </c>
      <c r="H13" s="1014"/>
      <c r="I13" s="1015">
        <v>60</v>
      </c>
      <c r="J13" s="1015">
        <v>0</v>
      </c>
      <c r="K13" s="1015">
        <v>60</v>
      </c>
      <c r="L13" s="153" t="str">
        <f t="shared" si="0"/>
        <v>246</v>
      </c>
      <c r="M13" s="154" t="str">
        <f t="shared" si="1"/>
        <v>TAUX M/O CARR. VW</v>
      </c>
      <c r="N13" s="155">
        <f>+IF(OR($Q13=Parametres!$G$2,$Q13=Parametres!$G$3),I13,C13)</f>
        <v>60</v>
      </c>
      <c r="O13" s="575">
        <f>+IF(OR($Q13=Parametres!$G$2,$Q13=Parametres!$G$3),J13,D13)</f>
        <v>0</v>
      </c>
      <c r="P13" s="155">
        <f>+IF(OR($Q13=Parametres!$G$2,$Q13=Parametres!$G$3),K13,E13)</f>
        <v>60</v>
      </c>
      <c r="Q13" s="154" t="str">
        <f t="shared" si="2"/>
        <v>1-Mémo</v>
      </c>
      <c r="R13" s="153" t="str">
        <f t="shared" si="2"/>
        <v>24</v>
      </c>
      <c r="S13" s="154">
        <f t="shared" si="2"/>
        <v>0</v>
      </c>
      <c r="T13" s="156" t="str">
        <f>+VLOOKUP($L13,Data_Validation!$A:$D,1,0)</f>
        <v>246</v>
      </c>
      <c r="U13" s="156">
        <f>+VLOOKUP($L13,Data_Validation!$A:$D,3,0)</f>
        <v>0</v>
      </c>
      <c r="V13" s="156">
        <f>+VLOOKUP($L13,Data_Validation!$A:$D,4,0)</f>
        <v>0</v>
      </c>
      <c r="W13" s="156">
        <f>+VLOOKUP($L13,Data_Validation!$A:$E,5,0)</f>
        <v>0</v>
      </c>
      <c r="X13" s="156">
        <f>+VLOOKUP($L13,Data_Validation!$A:$F,6,0)</f>
        <v>0</v>
      </c>
    </row>
    <row r="14" spans="1:24" ht="15" hidden="1" customHeight="1">
      <c r="A14" s="1013" t="s">
        <v>2248</v>
      </c>
      <c r="B14" s="1013" t="s">
        <v>2249</v>
      </c>
      <c r="C14" s="1014"/>
      <c r="D14" s="1014"/>
      <c r="E14" s="1014"/>
      <c r="F14" s="1013" t="s">
        <v>1</v>
      </c>
      <c r="G14" s="1013" t="s">
        <v>2249</v>
      </c>
      <c r="H14" s="1014"/>
      <c r="I14" s="1015">
        <v>0.08</v>
      </c>
      <c r="J14" s="1015">
        <v>0</v>
      </c>
      <c r="K14" s="1015">
        <v>0.08</v>
      </c>
      <c r="L14" s="153" t="str">
        <f t="shared" si="0"/>
        <v>255</v>
      </c>
      <c r="M14" s="154" t="str">
        <f t="shared" si="1"/>
        <v>BAIES TRAVAIL PRODUCTIVES - SERVICE VW</v>
      </c>
      <c r="N14" s="155">
        <f>+IF(OR($Q14=Parametres!$G$2,$Q14=Parametres!$G$3),I14,C14)</f>
        <v>0.08</v>
      </c>
      <c r="O14" s="575">
        <f>+IF(OR($Q14=Parametres!$G$2,$Q14=Parametres!$G$3),J14,D14)</f>
        <v>0</v>
      </c>
      <c r="P14" s="155">
        <f>+IF(OR($Q14=Parametres!$G$2,$Q14=Parametres!$G$3),K14,E14)</f>
        <v>0.08</v>
      </c>
      <c r="Q14" s="154" t="str">
        <f t="shared" si="2"/>
        <v>1-Mémo</v>
      </c>
      <c r="R14" s="153" t="str">
        <f t="shared" si="2"/>
        <v>255</v>
      </c>
      <c r="S14" s="154">
        <f t="shared" si="2"/>
        <v>0</v>
      </c>
      <c r="T14" s="156" t="str">
        <f>+VLOOKUP($L14,Data_Validation!$A:$D,1,0)</f>
        <v>255</v>
      </c>
      <c r="U14" s="156">
        <f>+VLOOKUP($L14,Data_Validation!$A:$D,3,0)</f>
        <v>0</v>
      </c>
      <c r="V14" s="156">
        <f>+VLOOKUP($L14,Data_Validation!$A:$D,4,0)</f>
        <v>0</v>
      </c>
      <c r="W14" s="156">
        <f>+VLOOKUP($L14,Data_Validation!$A:$E,5,0)</f>
        <v>0</v>
      </c>
      <c r="X14" s="156">
        <f>+VLOOKUP($L14,Data_Validation!$A:$F,6,0)</f>
        <v>0</v>
      </c>
    </row>
    <row r="15" spans="1:24" ht="15" hidden="1" customHeight="1">
      <c r="A15" s="1013" t="s">
        <v>2250</v>
      </c>
      <c r="B15" s="1013" t="s">
        <v>2251</v>
      </c>
      <c r="C15" s="1014"/>
      <c r="D15" s="1014"/>
      <c r="E15" s="1014"/>
      <c r="F15" s="1013" t="s">
        <v>1</v>
      </c>
      <c r="G15" s="1013" t="s">
        <v>2251</v>
      </c>
      <c r="H15" s="1014"/>
      <c r="I15" s="1015">
        <v>0</v>
      </c>
      <c r="J15" s="1015">
        <v>661</v>
      </c>
      <c r="K15" s="1015">
        <v>661</v>
      </c>
      <c r="L15" s="153" t="str">
        <f t="shared" si="0"/>
        <v>257</v>
      </c>
      <c r="M15" s="154" t="str">
        <f t="shared" si="1"/>
        <v>HEURES VENDUES - SERVICE - CLIENT VW</v>
      </c>
      <c r="N15" s="155">
        <f>+IF(OR($Q15=Parametres!$G$2,$Q15=Parametres!$G$3),I15,C15)</f>
        <v>0</v>
      </c>
      <c r="O15" s="575">
        <f>+IF(OR($Q15=Parametres!$G$2,$Q15=Parametres!$G$3),J15,D15)</f>
        <v>661</v>
      </c>
      <c r="P15" s="155">
        <f>+IF(OR($Q15=Parametres!$G$2,$Q15=Parametres!$G$3),K15,E15)</f>
        <v>661</v>
      </c>
      <c r="Q15" s="154" t="str">
        <f t="shared" si="2"/>
        <v>1-Mémo</v>
      </c>
      <c r="R15" s="153" t="str">
        <f t="shared" si="2"/>
        <v>257</v>
      </c>
      <c r="S15" s="154">
        <f t="shared" si="2"/>
        <v>0</v>
      </c>
      <c r="T15" s="156" t="str">
        <f>+VLOOKUP($L15,Data_Validation!$A:$D,1,0)</f>
        <v>257</v>
      </c>
      <c r="U15" s="156">
        <f>+VLOOKUP($L15,Data_Validation!$A:$D,3,0)</f>
        <v>0</v>
      </c>
      <c r="V15" s="156">
        <f>+VLOOKUP($L15,Data_Validation!$A:$D,4,0)</f>
        <v>0</v>
      </c>
      <c r="W15" s="156">
        <f>+VLOOKUP($L15,Data_Validation!$A:$E,5,0)</f>
        <v>0</v>
      </c>
      <c r="X15" s="156">
        <f>+VLOOKUP($L15,Data_Validation!$A:$F,6,0)</f>
        <v>0</v>
      </c>
    </row>
    <row r="16" spans="1:24" ht="15" hidden="1" customHeight="1">
      <c r="A16" s="1013" t="s">
        <v>2252</v>
      </c>
      <c r="B16" s="1013" t="s">
        <v>2253</v>
      </c>
      <c r="C16" s="1014"/>
      <c r="D16" s="1014"/>
      <c r="E16" s="1014"/>
      <c r="F16" s="1013" t="s">
        <v>1</v>
      </c>
      <c r="G16" s="1013" t="s">
        <v>2251</v>
      </c>
      <c r="H16" s="1014"/>
      <c r="I16" s="1015">
        <v>0</v>
      </c>
      <c r="J16" s="1015">
        <v>438</v>
      </c>
      <c r="K16" s="1015">
        <v>438</v>
      </c>
      <c r="L16" s="153" t="str">
        <f t="shared" si="0"/>
        <v>258</v>
      </c>
      <c r="M16" s="154" t="str">
        <f t="shared" si="1"/>
        <v>HEURES VENDUES - SERVICE - GARANTIE VW</v>
      </c>
      <c r="N16" s="155">
        <f>+IF(OR($Q16=Parametres!$G$2,$Q16=Parametres!$G$3),I16,C16)</f>
        <v>0</v>
      </c>
      <c r="O16" s="575">
        <f>+IF(OR($Q16=Parametres!$G$2,$Q16=Parametres!$G$3),J16,D16)</f>
        <v>438</v>
      </c>
      <c r="P16" s="155">
        <f>+IF(OR($Q16=Parametres!$G$2,$Q16=Parametres!$G$3),K16,E16)</f>
        <v>438</v>
      </c>
      <c r="Q16" s="154" t="str">
        <f t="shared" si="2"/>
        <v>1-Mémo</v>
      </c>
      <c r="R16" s="153" t="str">
        <f t="shared" si="2"/>
        <v>257</v>
      </c>
      <c r="S16" s="154">
        <f t="shared" si="2"/>
        <v>0</v>
      </c>
      <c r="T16" s="156" t="str">
        <f>+VLOOKUP($L16,Data_Validation!$A:$D,1,0)</f>
        <v>258</v>
      </c>
      <c r="U16" s="156">
        <f>+VLOOKUP($L16,Data_Validation!$A:$D,3,0)</f>
        <v>0</v>
      </c>
      <c r="V16" s="156">
        <f>+VLOOKUP($L16,Data_Validation!$A:$D,4,0)</f>
        <v>0</v>
      </c>
      <c r="W16" s="156">
        <f>+VLOOKUP($L16,Data_Validation!$A:$E,5,0)</f>
        <v>0</v>
      </c>
      <c r="X16" s="156">
        <f>+VLOOKUP($L16,Data_Validation!$A:$F,6,0)</f>
        <v>0</v>
      </c>
    </row>
    <row r="17" spans="1:24" ht="15" hidden="1" customHeight="1">
      <c r="A17" s="1013" t="s">
        <v>2254</v>
      </c>
      <c r="B17" s="1013" t="s">
        <v>2255</v>
      </c>
      <c r="C17" s="1014"/>
      <c r="D17" s="1014"/>
      <c r="E17" s="1014"/>
      <c r="F17" s="1013" t="s">
        <v>1</v>
      </c>
      <c r="G17" s="1013" t="s">
        <v>2251</v>
      </c>
      <c r="H17" s="1014"/>
      <c r="I17" s="1015">
        <v>0</v>
      </c>
      <c r="J17" s="1015">
        <v>507</v>
      </c>
      <c r="K17" s="1015">
        <v>507</v>
      </c>
      <c r="L17" s="153" t="str">
        <f t="shared" si="0"/>
        <v>259</v>
      </c>
      <c r="M17" s="154" t="str">
        <f t="shared" si="1"/>
        <v>HEURES VENDUES - SERVICE - INTERNE VW</v>
      </c>
      <c r="N17" s="155">
        <f>+IF(OR($Q17=Parametres!$G$2,$Q17=Parametres!$G$3),I17,C17)</f>
        <v>0</v>
      </c>
      <c r="O17" s="575">
        <f>+IF(OR($Q17=Parametres!$G$2,$Q17=Parametres!$G$3),J17,D17)</f>
        <v>507</v>
      </c>
      <c r="P17" s="155">
        <f>+IF(OR($Q17=Parametres!$G$2,$Q17=Parametres!$G$3),K17,E17)</f>
        <v>507</v>
      </c>
      <c r="Q17" s="154" t="str">
        <f t="shared" si="2"/>
        <v>1-Mémo</v>
      </c>
      <c r="R17" s="153" t="str">
        <f t="shared" si="2"/>
        <v>257</v>
      </c>
      <c r="S17" s="154">
        <f t="shared" si="2"/>
        <v>0</v>
      </c>
      <c r="T17" s="156" t="str">
        <f>+VLOOKUP($L17,Data_Validation!$A:$D,1,0)</f>
        <v>259</v>
      </c>
      <c r="U17" s="156">
        <f>+VLOOKUP($L17,Data_Validation!$A:$D,3,0)</f>
        <v>0</v>
      </c>
      <c r="V17" s="156">
        <f>+VLOOKUP($L17,Data_Validation!$A:$D,4,0)</f>
        <v>0</v>
      </c>
      <c r="W17" s="156">
        <f>+VLOOKUP($L17,Data_Validation!$A:$E,5,0)</f>
        <v>0</v>
      </c>
      <c r="X17" s="156">
        <f>+VLOOKUP($L17,Data_Validation!$A:$F,6,0)</f>
        <v>0</v>
      </c>
    </row>
    <row r="18" spans="1:24" ht="15" hidden="1" customHeight="1">
      <c r="A18" s="1013" t="s">
        <v>2256</v>
      </c>
      <c r="B18" s="1013" t="s">
        <v>2257</v>
      </c>
      <c r="C18" s="1014"/>
      <c r="D18" s="1014"/>
      <c r="E18" s="1014"/>
      <c r="F18" s="1013" t="s">
        <v>1</v>
      </c>
      <c r="G18" s="1013" t="s">
        <v>2211</v>
      </c>
      <c r="H18" s="1014"/>
      <c r="I18" s="1015">
        <v>195.95</v>
      </c>
      <c r="J18" s="1015">
        <v>0</v>
      </c>
      <c r="K18" s="1015">
        <v>195.95</v>
      </c>
      <c r="L18" s="153" t="str">
        <f t="shared" si="0"/>
        <v>300</v>
      </c>
      <c r="M18" s="154" t="str">
        <f t="shared" si="1"/>
        <v>REC VEH PASSE DU 30-60</v>
      </c>
      <c r="N18" s="155">
        <f>+IF(OR($Q18=Parametres!$G$2,$Q18=Parametres!$G$3),I18,C18)</f>
        <v>195.95</v>
      </c>
      <c r="O18" s="155">
        <f>+IF(OR($Q18=Parametres!$G$2,$Q18=Parametres!$G$3),J18,D18)</f>
        <v>0</v>
      </c>
      <c r="P18" s="155">
        <f>+IF(OR($Q18=Parametres!$G$2,$Q18=Parametres!$G$3),K18,E18)</f>
        <v>195.95</v>
      </c>
      <c r="Q18" s="154" t="str">
        <f t="shared" ref="Q18:S33" si="3">+F18</f>
        <v>1-Mémo</v>
      </c>
      <c r="R18" s="153" t="str">
        <f t="shared" si="3"/>
        <v>30</v>
      </c>
      <c r="S18" s="154">
        <f t="shared" si="3"/>
        <v>0</v>
      </c>
      <c r="T18" s="156" t="str">
        <f>+VLOOKUP($L18,Data_Validation!$A:$D,1,0)</f>
        <v>300</v>
      </c>
      <c r="U18" s="156">
        <f>+VLOOKUP($L18,Data_Validation!$A:$D,3,0)</f>
        <v>0</v>
      </c>
      <c r="V18" s="156">
        <f>+VLOOKUP($L18,Data_Validation!$A:$D,4,0)</f>
        <v>0</v>
      </c>
      <c r="W18" s="156">
        <f>+VLOOKUP($L18,Data_Validation!$A:$E,5,0)</f>
        <v>0</v>
      </c>
      <c r="X18" s="156">
        <f>+VLOOKUP($L18,Data_Validation!$A:$F,6,0)</f>
        <v>0</v>
      </c>
    </row>
    <row r="19" spans="1:24" ht="15" hidden="1" customHeight="1">
      <c r="A19" s="1013" t="s">
        <v>2258</v>
      </c>
      <c r="B19" s="1013" t="s">
        <v>2259</v>
      </c>
      <c r="C19" s="1014"/>
      <c r="D19" s="1014"/>
      <c r="E19" s="1014"/>
      <c r="F19" s="1013" t="s">
        <v>1</v>
      </c>
      <c r="G19" s="1013" t="s">
        <v>2211</v>
      </c>
      <c r="H19" s="1014"/>
      <c r="I19" s="1015">
        <v>77256.479999999996</v>
      </c>
      <c r="J19" s="1015">
        <v>31988.98</v>
      </c>
      <c r="K19" s="1015">
        <v>109245.46</v>
      </c>
      <c r="L19" s="153" t="str">
        <f t="shared" si="0"/>
        <v>301</v>
      </c>
      <c r="M19" s="154" t="str">
        <f t="shared" si="1"/>
        <v>CLIENT S P ET A PASSE DU 30-60</v>
      </c>
      <c r="N19" s="155">
        <f>+IF(OR($Q19=Parametres!$G$2,$Q19=Parametres!$G$3),I19,C19)</f>
        <v>77256.479999999996</v>
      </c>
      <c r="O19" s="575">
        <f>+IF(OR($Q19=Parametres!$G$2,$Q19=Parametres!$G$3),J19,D19)</f>
        <v>31988.98</v>
      </c>
      <c r="P19" s="155">
        <f>+IF(OR($Q19=Parametres!$G$2,$Q19=Parametres!$G$3),K19,E19)</f>
        <v>109245.46</v>
      </c>
      <c r="Q19" s="154" t="str">
        <f t="shared" si="3"/>
        <v>1-Mémo</v>
      </c>
      <c r="R19" s="153" t="str">
        <f t="shared" si="3"/>
        <v>30</v>
      </c>
      <c r="S19" s="154">
        <f t="shared" si="3"/>
        <v>0</v>
      </c>
      <c r="T19" s="156" t="str">
        <f>+VLOOKUP($L19,Data_Validation!$A:$D,1,0)</f>
        <v>301</v>
      </c>
      <c r="U19" s="156">
        <f>+VLOOKUP($L19,Data_Validation!$A:$D,3,0)</f>
        <v>0</v>
      </c>
      <c r="V19" s="156">
        <f>+VLOOKUP($L19,Data_Validation!$A:$D,4,0)</f>
        <v>0</v>
      </c>
      <c r="W19" s="156">
        <f>+VLOOKUP($L19,Data_Validation!$A:$E,5,0)</f>
        <v>0</v>
      </c>
      <c r="X19" s="156">
        <f>+VLOOKUP($L19,Data_Validation!$A:$F,6,0)</f>
        <v>0</v>
      </c>
    </row>
    <row r="20" spans="1:24" ht="15" hidden="1" customHeight="1">
      <c r="A20" s="1013" t="s">
        <v>2260</v>
      </c>
      <c r="B20" s="1013" t="s">
        <v>2261</v>
      </c>
      <c r="C20" s="1014"/>
      <c r="D20" s="1014"/>
      <c r="E20" s="1014"/>
      <c r="F20" s="1013" t="s">
        <v>1</v>
      </c>
      <c r="G20" s="1013" t="s">
        <v>2211</v>
      </c>
      <c r="H20" s="1014"/>
      <c r="I20" s="1015">
        <v>36770.67</v>
      </c>
      <c r="J20" s="1015">
        <v>16488.52</v>
      </c>
      <c r="K20" s="1015">
        <v>53259.19</v>
      </c>
      <c r="L20" s="153" t="str">
        <f t="shared" si="0"/>
        <v>302</v>
      </c>
      <c r="M20" s="154" t="str">
        <f t="shared" si="1"/>
        <v>RECLAM GARANTIE VW PASSE DU 30-60</v>
      </c>
      <c r="N20" s="155">
        <f>+IF(OR($Q20=Parametres!$G$2,$Q20=Parametres!$G$3),I20,C20)</f>
        <v>36770.67</v>
      </c>
      <c r="O20" s="575">
        <f>+IF(OR($Q20=Parametres!$G$2,$Q20=Parametres!$G$3),J20,D20)</f>
        <v>16488.52</v>
      </c>
      <c r="P20" s="155">
        <f>+IF(OR($Q20=Parametres!$G$2,$Q20=Parametres!$G$3),K20,E20)</f>
        <v>53259.19</v>
      </c>
      <c r="Q20" s="154" t="str">
        <f t="shared" si="3"/>
        <v>1-Mémo</v>
      </c>
      <c r="R20" s="153" t="str">
        <f t="shared" si="3"/>
        <v>30</v>
      </c>
      <c r="S20" s="154">
        <f t="shared" si="3"/>
        <v>0</v>
      </c>
      <c r="T20" s="156" t="str">
        <f>+VLOOKUP($L20,Data_Validation!$A:$D,1,0)</f>
        <v>302</v>
      </c>
      <c r="U20" s="156">
        <f>+VLOOKUP($L20,Data_Validation!$A:$D,3,0)</f>
        <v>0</v>
      </c>
      <c r="V20" s="156">
        <f>+VLOOKUP($L20,Data_Validation!$A:$D,4,0)</f>
        <v>0</v>
      </c>
      <c r="W20" s="156">
        <f>+VLOOKUP($L20,Data_Validation!$A:$E,5,0)</f>
        <v>0</v>
      </c>
      <c r="X20" s="156">
        <f>+VLOOKUP($L20,Data_Validation!$A:$F,6,0)</f>
        <v>0</v>
      </c>
    </row>
    <row r="21" spans="1:24" ht="15" hidden="1" customHeight="1">
      <c r="A21" s="1013" t="s">
        <v>2262</v>
      </c>
      <c r="B21" s="1013" t="s">
        <v>2263</v>
      </c>
      <c r="C21" s="1014"/>
      <c r="D21" s="1014"/>
      <c r="E21" s="1014"/>
      <c r="F21" s="1013" t="s">
        <v>1</v>
      </c>
      <c r="G21" s="1013" t="s">
        <v>2211</v>
      </c>
      <c r="H21" s="1014"/>
      <c r="I21" s="1015">
        <v>129412.43</v>
      </c>
      <c r="J21" s="1015">
        <v>0</v>
      </c>
      <c r="K21" s="1015">
        <v>129412.43</v>
      </c>
      <c r="L21" s="153" t="str">
        <f t="shared" si="0"/>
        <v>307</v>
      </c>
      <c r="M21" s="154" t="str">
        <f t="shared" si="1"/>
        <v>AUTRE REC MANUFACTURIER VW PASSE DU 30-60</v>
      </c>
      <c r="N21" s="155">
        <f>+IF(OR($Q21=Parametres!$G$2,$Q21=Parametres!$G$3),I21,C21)</f>
        <v>129412.43</v>
      </c>
      <c r="O21" s="155">
        <f>+IF(OR($Q21=Parametres!$G$2,$Q21=Parametres!$G$3),J21,D21)</f>
        <v>0</v>
      </c>
      <c r="P21" s="155">
        <f>+IF(OR($Q21=Parametres!$G$2,$Q21=Parametres!$G$3),K21,E21)</f>
        <v>129412.43</v>
      </c>
      <c r="Q21" s="154" t="str">
        <f t="shared" si="3"/>
        <v>1-Mémo</v>
      </c>
      <c r="R21" s="153" t="str">
        <f t="shared" si="3"/>
        <v>30</v>
      </c>
      <c r="S21" s="154">
        <f t="shared" si="3"/>
        <v>0</v>
      </c>
      <c r="T21" s="156" t="str">
        <f>+VLOOKUP($L21,Data_Validation!$A:$D,1,0)</f>
        <v>307</v>
      </c>
      <c r="U21" s="156">
        <f>+VLOOKUP($L21,Data_Validation!$A:$D,3,0)</f>
        <v>0</v>
      </c>
      <c r="V21" s="156">
        <f>+VLOOKUP($L21,Data_Validation!$A:$D,4,0)</f>
        <v>0</v>
      </c>
      <c r="W21" s="156">
        <f>+VLOOKUP($L21,Data_Validation!$A:$E,5,0)</f>
        <v>0</v>
      </c>
      <c r="X21" s="156">
        <f>+VLOOKUP($L21,Data_Validation!$A:$F,6,0)</f>
        <v>0</v>
      </c>
    </row>
    <row r="22" spans="1:24" ht="15" hidden="1" customHeight="1">
      <c r="A22" s="1013" t="s">
        <v>2264</v>
      </c>
      <c r="B22" s="1013" t="s">
        <v>2265</v>
      </c>
      <c r="C22" s="1014"/>
      <c r="D22" s="1014"/>
      <c r="E22" s="1014"/>
      <c r="F22" s="1013" t="s">
        <v>1</v>
      </c>
      <c r="G22" s="1013" t="s">
        <v>2266</v>
      </c>
      <c r="H22" s="1014"/>
      <c r="I22" s="1015">
        <v>27348.59</v>
      </c>
      <c r="J22" s="1015">
        <v>16534.62</v>
      </c>
      <c r="K22" s="1015">
        <v>43883.21</v>
      </c>
      <c r="L22" s="153" t="str">
        <f t="shared" si="0"/>
        <v>311</v>
      </c>
      <c r="M22" s="154" t="str">
        <f t="shared" si="1"/>
        <v>CLIENT VEH PLUS DE 60</v>
      </c>
      <c r="N22" s="155">
        <f>+IF(OR($Q22=Parametres!$G$2,$Q22=Parametres!$G$3),I22,C22)</f>
        <v>27348.59</v>
      </c>
      <c r="O22" s="575">
        <f>+IF(OR($Q22=Parametres!$G$2,$Q22=Parametres!$G$3),J22,D22)</f>
        <v>16534.62</v>
      </c>
      <c r="P22" s="155">
        <f>+IF(OR($Q22=Parametres!$G$2,$Q22=Parametres!$G$3),K22,E22)</f>
        <v>43883.21</v>
      </c>
      <c r="Q22" s="154" t="str">
        <f t="shared" si="3"/>
        <v>1-Mémo</v>
      </c>
      <c r="R22" s="153" t="str">
        <f t="shared" si="3"/>
        <v>31</v>
      </c>
      <c r="S22" s="154">
        <f t="shared" si="3"/>
        <v>0</v>
      </c>
      <c r="T22" s="156" t="str">
        <f>+VLOOKUP($L22,Data_Validation!$A:$D,1,0)</f>
        <v>311</v>
      </c>
      <c r="U22" s="156">
        <f>+VLOOKUP($L22,Data_Validation!$A:$D,3,0)</f>
        <v>0</v>
      </c>
      <c r="V22" s="156">
        <f>+VLOOKUP($L22,Data_Validation!$A:$D,4,0)</f>
        <v>0</v>
      </c>
      <c r="W22" s="156">
        <f>+VLOOKUP($L22,Data_Validation!$A:$E,5,0)</f>
        <v>0</v>
      </c>
      <c r="X22" s="156">
        <f>+VLOOKUP($L22,Data_Validation!$A:$F,6,0)</f>
        <v>0</v>
      </c>
    </row>
    <row r="23" spans="1:24" ht="15" hidden="1" customHeight="1">
      <c r="A23" s="1013" t="s">
        <v>2267</v>
      </c>
      <c r="B23" s="1013" t="s">
        <v>2268</v>
      </c>
      <c r="C23" s="1014"/>
      <c r="D23" s="1014"/>
      <c r="E23" s="1014"/>
      <c r="F23" s="1013" t="s">
        <v>1</v>
      </c>
      <c r="G23" s="1013" t="s">
        <v>2266</v>
      </c>
      <c r="H23" s="1014"/>
      <c r="I23" s="1015">
        <v>10885.18</v>
      </c>
      <c r="J23" s="1015">
        <v>30184.32</v>
      </c>
      <c r="K23" s="1015">
        <v>41069.5</v>
      </c>
      <c r="L23" s="153" t="str">
        <f t="shared" si="0"/>
        <v>312</v>
      </c>
      <c r="M23" s="154" t="str">
        <f t="shared" si="1"/>
        <v>CLIENT S P ET A PLUS DE 60</v>
      </c>
      <c r="N23" s="155">
        <f>+IF(OR($Q23=Parametres!$G$2,$Q23=Parametres!$G$3),I23,C23)</f>
        <v>10885.18</v>
      </c>
      <c r="O23" s="575">
        <f>+IF(OR($Q23=Parametres!$G$2,$Q23=Parametres!$G$3),J23,D23)</f>
        <v>30184.32</v>
      </c>
      <c r="P23" s="155">
        <f>+IF(OR($Q23=Parametres!$G$2,$Q23=Parametres!$G$3),K23,E23)</f>
        <v>41069.5</v>
      </c>
      <c r="Q23" s="154" t="str">
        <f t="shared" si="3"/>
        <v>1-Mémo</v>
      </c>
      <c r="R23" s="153" t="str">
        <f t="shared" si="3"/>
        <v>31</v>
      </c>
      <c r="S23" s="154">
        <f t="shared" si="3"/>
        <v>0</v>
      </c>
      <c r="T23" s="156" t="str">
        <f>+VLOOKUP($L23,Data_Validation!$A:$D,1,0)</f>
        <v>312</v>
      </c>
      <c r="U23" s="156">
        <f>+VLOOKUP($L23,Data_Validation!$A:$D,3,0)</f>
        <v>0</v>
      </c>
      <c r="V23" s="156">
        <f>+VLOOKUP($L23,Data_Validation!$A:$D,4,0)</f>
        <v>0</v>
      </c>
      <c r="W23" s="156">
        <f>+VLOOKUP($L23,Data_Validation!$A:$E,5,0)</f>
        <v>0</v>
      </c>
      <c r="X23" s="156">
        <f>+VLOOKUP($L23,Data_Validation!$A:$F,6,0)</f>
        <v>0</v>
      </c>
    </row>
    <row r="24" spans="1:24" ht="15" hidden="1" customHeight="1">
      <c r="A24" s="1013" t="s">
        <v>2269</v>
      </c>
      <c r="B24" s="1013" t="s">
        <v>2270</v>
      </c>
      <c r="C24" s="1014"/>
      <c r="D24" s="1014"/>
      <c r="E24" s="1014"/>
      <c r="F24" s="1013" t="s">
        <v>1</v>
      </c>
      <c r="G24" s="1013" t="s">
        <v>2266</v>
      </c>
      <c r="H24" s="1014"/>
      <c r="I24" s="1015">
        <v>88496.68</v>
      </c>
      <c r="J24" s="1015">
        <v>51410.28</v>
      </c>
      <c r="K24" s="1015">
        <v>139906.96</v>
      </c>
      <c r="L24" s="153" t="str">
        <f t="shared" si="0"/>
        <v>313</v>
      </c>
      <c r="M24" s="154" t="str">
        <f t="shared" si="1"/>
        <v>RECLAMATIONS DE GARATIE VW PLUS DE 60</v>
      </c>
      <c r="N24" s="155">
        <f>+IF(OR($Q24=Parametres!$G$2,$Q24=Parametres!$G$3),I24,C24)</f>
        <v>88496.68</v>
      </c>
      <c r="O24" s="575">
        <f>+IF(OR($Q24=Parametres!$G$2,$Q24=Parametres!$G$3),J24,D24)</f>
        <v>51410.28</v>
      </c>
      <c r="P24" s="155">
        <f>+IF(OR($Q24=Parametres!$G$2,$Q24=Parametres!$G$3),K24,E24)</f>
        <v>139906.96</v>
      </c>
      <c r="Q24" s="154" t="str">
        <f t="shared" si="3"/>
        <v>1-Mémo</v>
      </c>
      <c r="R24" s="153" t="str">
        <f t="shared" si="3"/>
        <v>31</v>
      </c>
      <c r="S24" s="154">
        <f t="shared" si="3"/>
        <v>0</v>
      </c>
      <c r="T24" s="156" t="str">
        <f>+VLOOKUP($L24,Data_Validation!$A:$D,1,0)</f>
        <v>313</v>
      </c>
      <c r="U24" s="156">
        <f>+VLOOKUP($L24,Data_Validation!$A:$D,3,0)</f>
        <v>0</v>
      </c>
      <c r="V24" s="156">
        <f>+VLOOKUP($L24,Data_Validation!$A:$D,4,0)</f>
        <v>0</v>
      </c>
      <c r="W24" s="156">
        <f>+VLOOKUP($L24,Data_Validation!$A:$E,5,0)</f>
        <v>0</v>
      </c>
      <c r="X24" s="156">
        <f>+VLOOKUP($L24,Data_Validation!$A:$F,6,0)</f>
        <v>0</v>
      </c>
    </row>
    <row r="25" spans="1:24" ht="15" hidden="1" customHeight="1">
      <c r="A25" s="1013" t="s">
        <v>2271</v>
      </c>
      <c r="B25" s="1013" t="s">
        <v>2272</v>
      </c>
      <c r="C25" s="1014"/>
      <c r="D25" s="1014"/>
      <c r="E25" s="1014"/>
      <c r="F25" s="1013" t="s">
        <v>1</v>
      </c>
      <c r="G25" s="1013" t="s">
        <v>2266</v>
      </c>
      <c r="H25" s="1014"/>
      <c r="I25" s="1015">
        <v>78088.05</v>
      </c>
      <c r="J25" s="1015">
        <v>45171.81</v>
      </c>
      <c r="K25" s="1015">
        <v>123259.86</v>
      </c>
      <c r="L25" s="153" t="str">
        <f t="shared" si="0"/>
        <v>316</v>
      </c>
      <c r="M25" s="154" t="str">
        <f t="shared" si="1"/>
        <v>AUTRE REC MANUFACTURIER VW PLUS DE 60</v>
      </c>
      <c r="N25" s="155">
        <f>+IF(OR($Q25=Parametres!$G$2,$Q25=Parametres!$G$3),I25,C25)</f>
        <v>78088.05</v>
      </c>
      <c r="O25" s="575">
        <f>+IF(OR($Q25=Parametres!$G$2,$Q25=Parametres!$G$3),J25,D25)</f>
        <v>45171.81</v>
      </c>
      <c r="P25" s="155">
        <f>+IF(OR($Q25=Parametres!$G$2,$Q25=Parametres!$G$3),K25,E25)</f>
        <v>123259.86</v>
      </c>
      <c r="Q25" s="154" t="str">
        <f t="shared" si="3"/>
        <v>1-Mémo</v>
      </c>
      <c r="R25" s="153" t="str">
        <f t="shared" si="3"/>
        <v>31</v>
      </c>
      <c r="S25" s="154">
        <f t="shared" si="3"/>
        <v>0</v>
      </c>
      <c r="T25" s="156" t="str">
        <f>+VLOOKUP($L25,Data_Validation!$A:$D,1,0)</f>
        <v>316</v>
      </c>
      <c r="U25" s="156">
        <f>+VLOOKUP($L25,Data_Validation!$A:$D,3,0)</f>
        <v>0</v>
      </c>
      <c r="V25" s="156">
        <f>+VLOOKUP($L25,Data_Validation!$A:$D,4,0)</f>
        <v>0</v>
      </c>
      <c r="W25" s="156">
        <f>+VLOOKUP($L25,Data_Validation!$A:$E,5,0)</f>
        <v>0</v>
      </c>
      <c r="X25" s="156">
        <f>+VLOOKUP($L25,Data_Validation!$A:$F,6,0)</f>
        <v>0</v>
      </c>
    </row>
    <row r="26" spans="1:24" ht="15.75" hidden="1" customHeight="1">
      <c r="A26" s="1013" t="s">
        <v>2931</v>
      </c>
      <c r="B26" s="1013" t="s">
        <v>2932</v>
      </c>
      <c r="C26" s="1014"/>
      <c r="D26" s="1014"/>
      <c r="E26" s="1014"/>
      <c r="F26" s="1013" t="s">
        <v>1</v>
      </c>
      <c r="G26" s="1013" t="s">
        <v>2933</v>
      </c>
      <c r="H26" s="1014"/>
      <c r="I26" s="1015">
        <v>0</v>
      </c>
      <c r="J26" s="1015">
        <v>1474130</v>
      </c>
      <c r="K26" s="1015">
        <v>1474130</v>
      </c>
      <c r="L26" s="153" t="str">
        <f t="shared" si="0"/>
        <v>320</v>
      </c>
      <c r="M26" s="154" t="str">
        <f t="shared" si="1"/>
        <v>UNITES NEUVES-VW EN INV.</v>
      </c>
      <c r="N26" s="155">
        <f>+IF(OR($Q26=Parametres!$G$2,$Q26=Parametres!$G$3),I26,C26)</f>
        <v>0</v>
      </c>
      <c r="O26" s="575">
        <f>+IF(OR($Q26=Parametres!$G$2,$Q26=Parametres!$G$3),J26,D26)</f>
        <v>1474130</v>
      </c>
      <c r="P26" s="155">
        <f>+IF(OR($Q26=Parametres!$G$2,$Q26=Parametres!$G$3),K26,E26)</f>
        <v>1474130</v>
      </c>
      <c r="Q26" s="154" t="str">
        <f t="shared" si="3"/>
        <v>1-Mémo</v>
      </c>
      <c r="R26" s="153" t="str">
        <f t="shared" si="3"/>
        <v>32</v>
      </c>
      <c r="S26" s="154">
        <f t="shared" si="3"/>
        <v>0</v>
      </c>
      <c r="T26" s="156" t="e">
        <f>+VLOOKUP($L26,Data_Validation!$A:$D,1,0)</f>
        <v>#N/A</v>
      </c>
      <c r="U26" s="156" t="e">
        <f>+VLOOKUP($L26,Data_Validation!$A:$D,3,0)</f>
        <v>#N/A</v>
      </c>
      <c r="V26" s="156" t="e">
        <f>+VLOOKUP($L26,Data_Validation!$A:$D,4,0)</f>
        <v>#N/A</v>
      </c>
      <c r="W26" s="156" t="e">
        <f>+VLOOKUP($L26,Data_Validation!$A:$E,5,0)</f>
        <v>#N/A</v>
      </c>
      <c r="X26" s="156" t="e">
        <f>+VLOOKUP($L26,Data_Validation!$A:$F,6,0)</f>
        <v>#N/A</v>
      </c>
    </row>
    <row r="27" spans="1:24" ht="15" hidden="1" customHeight="1">
      <c r="A27" s="1013" t="s">
        <v>2934</v>
      </c>
      <c r="B27" s="1013" t="s">
        <v>2935</v>
      </c>
      <c r="C27" s="1014"/>
      <c r="D27" s="1014"/>
      <c r="E27" s="1014"/>
      <c r="F27" s="1013" t="s">
        <v>1</v>
      </c>
      <c r="G27" s="1013" t="s">
        <v>2933</v>
      </c>
      <c r="H27" s="1014"/>
      <c r="I27" s="1015">
        <v>0</v>
      </c>
      <c r="J27" s="1015">
        <v>0.47</v>
      </c>
      <c r="K27" s="1015">
        <v>0.47</v>
      </c>
      <c r="L27" s="153" t="str">
        <f t="shared" si="0"/>
        <v>329</v>
      </c>
      <c r="M27" s="154" t="str">
        <f t="shared" si="1"/>
        <v>UNITES NEUVES-A.M. EN INV.</v>
      </c>
      <c r="N27" s="155">
        <f>+IF(OR($Q27=Parametres!$G$2,$Q27=Parametres!$G$3),I27,C27)</f>
        <v>0</v>
      </c>
      <c r="O27" s="575">
        <f>+IF(OR($Q27=Parametres!$G$2,$Q27=Parametres!$G$3),J27,D27)</f>
        <v>0.47</v>
      </c>
      <c r="P27" s="155">
        <f>+IF(OR($Q27=Parametres!$G$2,$Q27=Parametres!$G$3),K27,E27)</f>
        <v>0.47</v>
      </c>
      <c r="Q27" s="154" t="str">
        <f t="shared" si="3"/>
        <v>1-Mémo</v>
      </c>
      <c r="R27" s="153" t="str">
        <f t="shared" si="3"/>
        <v>32</v>
      </c>
      <c r="S27" s="154">
        <f t="shared" si="3"/>
        <v>0</v>
      </c>
      <c r="T27" s="156" t="e">
        <f>+VLOOKUP($L27,Data_Validation!$A:$D,1,0)</f>
        <v>#N/A</v>
      </c>
      <c r="U27" s="156" t="e">
        <f>+VLOOKUP($L27,Data_Validation!$A:$D,3,0)</f>
        <v>#N/A</v>
      </c>
      <c r="V27" s="156" t="e">
        <f>+VLOOKUP($L27,Data_Validation!$A:$D,4,0)</f>
        <v>#N/A</v>
      </c>
      <c r="W27" s="156" t="e">
        <f>+VLOOKUP($L27,Data_Validation!$A:$E,5,0)</f>
        <v>#N/A</v>
      </c>
      <c r="X27" s="156" t="e">
        <f>+VLOOKUP($L27,Data_Validation!$A:$F,6,0)</f>
        <v>#N/A</v>
      </c>
    </row>
    <row r="28" spans="1:24" ht="15" hidden="1" customHeight="1">
      <c r="A28" s="1013" t="s">
        <v>2273</v>
      </c>
      <c r="B28" s="1013" t="s">
        <v>2274</v>
      </c>
      <c r="C28" s="1014"/>
      <c r="D28" s="1014"/>
      <c r="E28" s="1014"/>
      <c r="F28" s="1013" t="s">
        <v>1</v>
      </c>
      <c r="G28" s="1013" t="s">
        <v>2275</v>
      </c>
      <c r="H28" s="1014"/>
      <c r="I28" s="1015">
        <v>0.88</v>
      </c>
      <c r="J28" s="1015">
        <v>0.06</v>
      </c>
      <c r="K28" s="1015">
        <v>0.94</v>
      </c>
      <c r="L28" s="153" t="str">
        <f t="shared" si="0"/>
        <v>350</v>
      </c>
      <c r="M28" s="154" t="str">
        <f t="shared" si="1"/>
        <v>UNITES USAGES +30JRS</v>
      </c>
      <c r="N28" s="155">
        <f>+IF(OR($Q28=Parametres!$G$2,$Q28=Parametres!$G$3),I28,C28)</f>
        <v>0.88</v>
      </c>
      <c r="O28" s="576">
        <f>+IF(OR($Q28=Parametres!$G$2,$Q28=Parametres!$G$3),J28,D28)</f>
        <v>0.06</v>
      </c>
      <c r="P28" s="155">
        <f>+IF(OR($Q28=Parametres!$G$2,$Q28=Parametres!$G$3),K28,E28)</f>
        <v>0.94</v>
      </c>
      <c r="Q28" s="154" t="str">
        <f t="shared" si="3"/>
        <v>1-Mémo</v>
      </c>
      <c r="R28" s="153" t="str">
        <f t="shared" si="3"/>
        <v>35</v>
      </c>
      <c r="S28" s="154">
        <f t="shared" si="3"/>
        <v>0</v>
      </c>
      <c r="T28" s="156" t="str">
        <f>+VLOOKUP($L28,Data_Validation!$A:$D,1,0)</f>
        <v>350</v>
      </c>
      <c r="U28" s="156">
        <f>+VLOOKUP($L28,Data_Validation!$A:$D,3,0)</f>
        <v>0</v>
      </c>
      <c r="V28" s="156">
        <f>+VLOOKUP($L28,Data_Validation!$A:$D,4,0)</f>
        <v>0</v>
      </c>
      <c r="W28" s="156">
        <f>+VLOOKUP($L28,Data_Validation!$A:$E,5,0)</f>
        <v>0</v>
      </c>
      <c r="X28" s="156">
        <f>+VLOOKUP($L28,Data_Validation!$A:$F,6,0)</f>
        <v>0</v>
      </c>
    </row>
    <row r="29" spans="1:24" ht="15" hidden="1" customHeight="1">
      <c r="A29" s="1013" t="s">
        <v>2276</v>
      </c>
      <c r="B29" s="1013" t="s">
        <v>2277</v>
      </c>
      <c r="C29" s="1014"/>
      <c r="D29" s="1014"/>
      <c r="E29" s="1014"/>
      <c r="F29" s="1013" t="s">
        <v>1</v>
      </c>
      <c r="G29" s="1013" t="s">
        <v>2278</v>
      </c>
      <c r="H29" s="1014"/>
      <c r="I29" s="1015">
        <v>607579.24</v>
      </c>
      <c r="J29" s="1015">
        <v>121169.52</v>
      </c>
      <c r="K29" s="1015">
        <v>728748.76</v>
      </c>
      <c r="L29" s="153" t="str">
        <f t="shared" si="0"/>
        <v>360</v>
      </c>
      <c r="M29" s="154" t="str">
        <f t="shared" si="1"/>
        <v>OCCASION VW + 60 JRS</v>
      </c>
      <c r="N29" s="155">
        <f>+IF(OR($Q29=Parametres!$G$2,$Q29=Parametres!$G$3),I29,C29)</f>
        <v>607579.24</v>
      </c>
      <c r="O29" s="576">
        <f>+IF(OR($Q29=Parametres!$G$2,$Q29=Parametres!$G$3),J29,D29)</f>
        <v>121169.52</v>
      </c>
      <c r="P29" s="155">
        <f>+IF(OR($Q29=Parametres!$G$2,$Q29=Parametres!$G$3),K29,E29)</f>
        <v>728748.76</v>
      </c>
      <c r="Q29" s="154" t="str">
        <f t="shared" si="3"/>
        <v>1-Mémo</v>
      </c>
      <c r="R29" s="153" t="str">
        <f t="shared" si="3"/>
        <v>36</v>
      </c>
      <c r="S29" s="154">
        <f t="shared" si="3"/>
        <v>0</v>
      </c>
      <c r="T29" s="156" t="str">
        <f>+VLOOKUP($L29,Data_Validation!$A:$D,1,0)</f>
        <v>360</v>
      </c>
      <c r="U29" s="156">
        <f>+VLOOKUP($L29,Data_Validation!$A:$D,3,0)</f>
        <v>0</v>
      </c>
      <c r="V29" s="156">
        <f>+VLOOKUP($L29,Data_Validation!$A:$D,4,0)</f>
        <v>0</v>
      </c>
      <c r="W29" s="156">
        <f>+VLOOKUP($L29,Data_Validation!$A:$E,5,0)</f>
        <v>0</v>
      </c>
      <c r="X29" s="156">
        <f>+VLOOKUP($L29,Data_Validation!$A:$F,6,0)</f>
        <v>0</v>
      </c>
    </row>
    <row r="30" spans="1:24" ht="15" hidden="1" customHeight="1">
      <c r="A30" s="1013" t="s">
        <v>2279</v>
      </c>
      <c r="B30" s="1013" t="s">
        <v>2280</v>
      </c>
      <c r="C30" s="1014"/>
      <c r="D30" s="1014"/>
      <c r="E30" s="1014"/>
      <c r="F30" s="1013" t="s">
        <v>1</v>
      </c>
      <c r="G30" s="1013" t="s">
        <v>2906</v>
      </c>
      <c r="H30" s="1014"/>
      <c r="I30" s="1015">
        <v>425000</v>
      </c>
      <c r="J30" s="1015">
        <v>0</v>
      </c>
      <c r="K30" s="1015">
        <v>425000</v>
      </c>
      <c r="L30" s="153" t="str">
        <f t="shared" si="0"/>
        <v>370</v>
      </c>
      <c r="M30" s="154" t="str">
        <f t="shared" si="1"/>
        <v>AVOIR DU PROP. MIM. REQUIS</v>
      </c>
      <c r="N30" s="155">
        <f>+IF(OR($Q30=Parametres!$G$2,$Q30=Parametres!$G$3),I30,C30)</f>
        <v>425000</v>
      </c>
      <c r="O30" s="575">
        <f>+IF(OR($Q30=Parametres!$G$2,$Q30=Parametres!$G$3),J30,D30)</f>
        <v>0</v>
      </c>
      <c r="P30" s="155">
        <f>+IF(OR($Q30=Parametres!$G$2,$Q30=Parametres!$G$3),K30,E30)</f>
        <v>425000</v>
      </c>
      <c r="Q30" s="154" t="str">
        <f t="shared" si="3"/>
        <v>1-Mémo</v>
      </c>
      <c r="R30" s="153" t="str">
        <f t="shared" si="3"/>
        <v>37</v>
      </c>
      <c r="S30" s="154">
        <f t="shared" si="3"/>
        <v>0</v>
      </c>
      <c r="T30" s="156" t="str">
        <f>+VLOOKUP($L30,Data_Validation!$A:$D,1,0)</f>
        <v>370</v>
      </c>
      <c r="U30" s="156">
        <f>+VLOOKUP($L30,Data_Validation!$A:$D,3,0)</f>
        <v>0</v>
      </c>
      <c r="V30" s="156">
        <f>+VLOOKUP($L30,Data_Validation!$A:$D,4,0)</f>
        <v>0</v>
      </c>
      <c r="W30" s="156">
        <f>+VLOOKUP($L30,Data_Validation!$A:$E,5,0)</f>
        <v>0</v>
      </c>
      <c r="X30" s="156">
        <f>+VLOOKUP($L30,Data_Validation!$A:$F,6,0)</f>
        <v>0</v>
      </c>
    </row>
    <row r="31" spans="1:24" ht="15" hidden="1" customHeight="1">
      <c r="A31" s="1013" t="s">
        <v>2281</v>
      </c>
      <c r="B31" s="1013" t="s">
        <v>2282</v>
      </c>
      <c r="C31" s="1014"/>
      <c r="D31" s="1014"/>
      <c r="E31" s="1014"/>
      <c r="F31" s="1013" t="s">
        <v>1</v>
      </c>
      <c r="G31" s="1013" t="s">
        <v>2906</v>
      </c>
      <c r="H31" s="1014"/>
      <c r="I31" s="1015">
        <v>737500</v>
      </c>
      <c r="J31" s="1015">
        <v>0</v>
      </c>
      <c r="K31" s="1015">
        <v>737500</v>
      </c>
      <c r="L31" s="153" t="str">
        <f t="shared" si="0"/>
        <v>372</v>
      </c>
      <c r="M31" s="154" t="str">
        <f t="shared" si="1"/>
        <v>FONDS DE ROULEMENT/MIN. REQUIS</v>
      </c>
      <c r="N31" s="155">
        <f>+IF(OR($Q31=Parametres!$G$2,$Q31=Parametres!$G$3),I31,C31)</f>
        <v>737500</v>
      </c>
      <c r="O31" s="155">
        <f>+IF(OR($Q31=Parametres!$G$2,$Q31=Parametres!$G$3),J31,D31)</f>
        <v>0</v>
      </c>
      <c r="P31" s="155">
        <f>+IF(OR($Q31=Parametres!$G$2,$Q31=Parametres!$G$3),K31,E31)</f>
        <v>737500</v>
      </c>
      <c r="Q31" s="154" t="str">
        <f t="shared" si="3"/>
        <v>1-Mémo</v>
      </c>
      <c r="R31" s="153" t="str">
        <f t="shared" si="3"/>
        <v>37</v>
      </c>
      <c r="S31" s="154">
        <f t="shared" si="3"/>
        <v>0</v>
      </c>
      <c r="T31" s="156" t="str">
        <f>+VLOOKUP($L31,Data_Validation!$A:$D,1,0)</f>
        <v>372</v>
      </c>
      <c r="U31" s="156">
        <f>+VLOOKUP($L31,Data_Validation!$A:$D,3,0)</f>
        <v>0</v>
      </c>
      <c r="V31" s="156">
        <f>+VLOOKUP($L31,Data_Validation!$A:$D,4,0)</f>
        <v>0</v>
      </c>
      <c r="W31" s="156">
        <f>+VLOOKUP($L31,Data_Validation!$A:$E,5,0)</f>
        <v>0</v>
      </c>
      <c r="X31" s="156">
        <f>+VLOOKUP($L31,Data_Validation!$A:$F,6,0)</f>
        <v>0</v>
      </c>
    </row>
    <row r="32" spans="1:24" ht="15" hidden="1" customHeight="1">
      <c r="A32" s="1013" t="s">
        <v>2283</v>
      </c>
      <c r="B32" s="1013" t="s">
        <v>2284</v>
      </c>
      <c r="C32" s="1014"/>
      <c r="D32" s="1014"/>
      <c r="E32" s="1014"/>
      <c r="F32" s="1013" t="s">
        <v>1</v>
      </c>
      <c r="G32" s="1013" t="s">
        <v>2213</v>
      </c>
      <c r="H32" s="1014"/>
      <c r="I32" s="1015">
        <v>0.66</v>
      </c>
      <c r="J32" s="1015">
        <v>0</v>
      </c>
      <c r="K32" s="1015">
        <v>0.66</v>
      </c>
      <c r="L32" s="153" t="str">
        <f t="shared" si="0"/>
        <v>401</v>
      </c>
      <c r="M32" s="154" t="str">
        <f t="shared" si="1"/>
        <v>UNITES NEUVES VENDUES JANVIER</v>
      </c>
      <c r="N32" s="155">
        <f>+IF(OR($Q32=Parametres!$G$2,$Q32=Parametres!$G$3),I32,C32)</f>
        <v>0.66</v>
      </c>
      <c r="O32" s="576">
        <f>+IF(OR($Q32=Parametres!$G$2,$Q32=Parametres!$G$3),J32,D32)</f>
        <v>0</v>
      </c>
      <c r="P32" s="155">
        <f>+IF(OR($Q32=Parametres!$G$2,$Q32=Parametres!$G$3),K32,E32)</f>
        <v>0.66</v>
      </c>
      <c r="Q32" s="154" t="str">
        <f t="shared" si="3"/>
        <v>1-Mémo</v>
      </c>
      <c r="R32" s="153" t="str">
        <f t="shared" si="3"/>
        <v>40</v>
      </c>
      <c r="S32" s="154">
        <f t="shared" si="3"/>
        <v>0</v>
      </c>
      <c r="T32" s="156" t="str">
        <f>+VLOOKUP($L32,Data_Validation!$A:$D,1,0)</f>
        <v>401</v>
      </c>
      <c r="U32" s="156">
        <f>+VLOOKUP($L32,Data_Validation!$A:$D,3,0)</f>
        <v>0</v>
      </c>
      <c r="V32" s="156">
        <f>+VLOOKUP($L32,Data_Validation!$A:$D,4,0)</f>
        <v>0</v>
      </c>
      <c r="W32" s="156">
        <f>+VLOOKUP($L32,Data_Validation!$A:$E,5,0)</f>
        <v>0</v>
      </c>
      <c r="X32" s="156">
        <f>+VLOOKUP($L32,Data_Validation!$A:$F,6,0)</f>
        <v>0</v>
      </c>
    </row>
    <row r="33" spans="1:24" ht="15" hidden="1" customHeight="1">
      <c r="A33" s="1013" t="s">
        <v>2285</v>
      </c>
      <c r="B33" s="1013" t="s">
        <v>2286</v>
      </c>
      <c r="C33" s="1014"/>
      <c r="D33" s="1014"/>
      <c r="E33" s="1014"/>
      <c r="F33" s="1013" t="s">
        <v>1</v>
      </c>
      <c r="G33" s="1013" t="s">
        <v>2213</v>
      </c>
      <c r="H33" s="1014"/>
      <c r="I33" s="1015">
        <v>0.5</v>
      </c>
      <c r="J33" s="1015">
        <v>0</v>
      </c>
      <c r="K33" s="1015">
        <v>0.5</v>
      </c>
      <c r="L33" s="153" t="str">
        <f t="shared" si="0"/>
        <v>402</v>
      </c>
      <c r="M33" s="154" t="str">
        <f t="shared" si="1"/>
        <v>UNITES NEUVES VENDUES FEVRIER</v>
      </c>
      <c r="N33" s="155">
        <f>+IF(OR($Q33=Parametres!$G$2,$Q33=Parametres!$G$3),I33,C33)</f>
        <v>0.5</v>
      </c>
      <c r="O33" s="576">
        <f>+IF(OR($Q33=Parametres!$G$2,$Q33=Parametres!$G$3),J33,D33)</f>
        <v>0</v>
      </c>
      <c r="P33" s="155">
        <f>+IF(OR($Q33=Parametres!$G$2,$Q33=Parametres!$G$3),K33,E33)</f>
        <v>0.5</v>
      </c>
      <c r="Q33" s="154" t="str">
        <f t="shared" si="3"/>
        <v>1-Mémo</v>
      </c>
      <c r="R33" s="153" t="str">
        <f t="shared" si="3"/>
        <v>40</v>
      </c>
      <c r="S33" s="154">
        <f t="shared" si="3"/>
        <v>0</v>
      </c>
      <c r="T33" s="156" t="str">
        <f>+VLOOKUP($L33,Data_Validation!$A:$D,1,0)</f>
        <v>402</v>
      </c>
      <c r="U33" s="156">
        <f>+VLOOKUP($L33,Data_Validation!$A:$D,3,0)</f>
        <v>0</v>
      </c>
      <c r="V33" s="156">
        <f>+VLOOKUP($L33,Data_Validation!$A:$D,4,0)</f>
        <v>0</v>
      </c>
      <c r="W33" s="156">
        <f>+VLOOKUP($L33,Data_Validation!$A:$E,5,0)</f>
        <v>0</v>
      </c>
      <c r="X33" s="156">
        <f>+VLOOKUP($L33,Data_Validation!$A:$F,6,0)</f>
        <v>0</v>
      </c>
    </row>
    <row r="34" spans="1:24" ht="15.75" hidden="1" customHeight="1">
      <c r="A34" s="1013" t="s">
        <v>2287</v>
      </c>
      <c r="B34" s="1013" t="s">
        <v>2288</v>
      </c>
      <c r="C34" s="1014"/>
      <c r="D34" s="1014"/>
      <c r="E34" s="1014"/>
      <c r="F34" s="1013" t="s">
        <v>1</v>
      </c>
      <c r="G34" s="1013" t="s">
        <v>2213</v>
      </c>
      <c r="H34" s="1014"/>
      <c r="I34" s="1015">
        <v>0</v>
      </c>
      <c r="J34" s="1015">
        <v>0.78</v>
      </c>
      <c r="K34" s="1015">
        <v>0.78</v>
      </c>
      <c r="L34" s="153" t="str">
        <f t="shared" si="0"/>
        <v>403</v>
      </c>
      <c r="M34" s="154" t="str">
        <f t="shared" si="1"/>
        <v>UNITES NEUVES VENDUES MARS</v>
      </c>
      <c r="N34" s="155">
        <f>+IF(OR($Q34=Parametres!$G$2,$Q34=Parametres!$G$3),I34,C34)</f>
        <v>0</v>
      </c>
      <c r="O34" s="575">
        <f>+IF(OR($Q34=Parametres!$G$2,$Q34=Parametres!$G$3),J34,D34)</f>
        <v>0.78</v>
      </c>
      <c r="P34" s="155">
        <f>+IF(OR($Q34=Parametres!$G$2,$Q34=Parametres!$G$3),K34,E34)</f>
        <v>0.78</v>
      </c>
      <c r="Q34" s="154" t="str">
        <f t="shared" ref="Q34:S49" si="4">+F34</f>
        <v>1-Mémo</v>
      </c>
      <c r="R34" s="153" t="str">
        <f t="shared" si="4"/>
        <v>40</v>
      </c>
      <c r="S34" s="154">
        <f t="shared" si="4"/>
        <v>0</v>
      </c>
      <c r="T34" s="156" t="str">
        <f>+VLOOKUP($L34,Data_Validation!$A:$D,1,0)</f>
        <v>403</v>
      </c>
      <c r="U34" s="156">
        <f>+VLOOKUP($L34,Data_Validation!$A:$D,3,0)</f>
        <v>0</v>
      </c>
      <c r="V34" s="156">
        <f>+VLOOKUP($L34,Data_Validation!$A:$D,4,0)</f>
        <v>0</v>
      </c>
      <c r="W34" s="156">
        <f>+VLOOKUP($L34,Data_Validation!$A:$E,5,0)</f>
        <v>0</v>
      </c>
      <c r="X34" s="156">
        <f>+VLOOKUP($L34,Data_Validation!$A:$F,6,0)</f>
        <v>0</v>
      </c>
    </row>
    <row r="35" spans="1:24" ht="15" hidden="1" customHeight="1">
      <c r="A35" s="1013" t="s">
        <v>2304</v>
      </c>
      <c r="B35" s="1013" t="s">
        <v>2305</v>
      </c>
      <c r="C35" s="1014"/>
      <c r="D35" s="1014"/>
      <c r="E35" s="1014"/>
      <c r="F35" s="1013" t="s">
        <v>1</v>
      </c>
      <c r="G35" s="1013" t="s">
        <v>2306</v>
      </c>
      <c r="H35" s="1014"/>
      <c r="I35" s="1015">
        <v>0.18</v>
      </c>
      <c r="J35" s="1015">
        <v>0</v>
      </c>
      <c r="K35" s="1015">
        <v>0.18</v>
      </c>
      <c r="L35" s="153" t="str">
        <f t="shared" si="0"/>
        <v>421</v>
      </c>
      <c r="M35" s="154" t="str">
        <f t="shared" si="1"/>
        <v>UNITES USAGES DET./ JANV.</v>
      </c>
      <c r="N35" s="155">
        <f>+IF(OR($Q35=Parametres!$G$2,$Q35=Parametres!$G$3),I35,C35)</f>
        <v>0.18</v>
      </c>
      <c r="O35" s="155">
        <f>+IF(OR($Q35=Parametres!$G$2,$Q35=Parametres!$G$3),J35,D35)</f>
        <v>0</v>
      </c>
      <c r="P35" s="155">
        <f>+IF(OR($Q35=Parametres!$G$2,$Q35=Parametres!$G$3),K35,E35)</f>
        <v>0.18</v>
      </c>
      <c r="Q35" s="154" t="str">
        <f t="shared" si="4"/>
        <v>1-Mémo</v>
      </c>
      <c r="R35" s="153" t="str">
        <f t="shared" si="4"/>
        <v>42</v>
      </c>
      <c r="S35" s="154">
        <f t="shared" si="4"/>
        <v>0</v>
      </c>
      <c r="T35" s="156" t="str">
        <f>+VLOOKUP($L35,Data_Validation!$A:$D,1,0)</f>
        <v>421</v>
      </c>
      <c r="U35" s="156">
        <f>+VLOOKUP($L35,Data_Validation!$A:$D,3,0)</f>
        <v>0</v>
      </c>
      <c r="V35" s="156">
        <f>+VLOOKUP($L35,Data_Validation!$A:$D,4,0)</f>
        <v>0</v>
      </c>
      <c r="W35" s="156">
        <f>+VLOOKUP($L35,Data_Validation!$A:$E,5,0)</f>
        <v>0</v>
      </c>
      <c r="X35" s="156">
        <f>+VLOOKUP($L35,Data_Validation!$A:$F,6,0)</f>
        <v>0</v>
      </c>
    </row>
    <row r="36" spans="1:24" ht="15" hidden="1" customHeight="1">
      <c r="A36" s="1013" t="s">
        <v>2307</v>
      </c>
      <c r="B36" s="1013" t="s">
        <v>2308</v>
      </c>
      <c r="C36" s="1014"/>
      <c r="D36" s="1014"/>
      <c r="E36" s="1014"/>
      <c r="F36" s="1013" t="s">
        <v>1</v>
      </c>
      <c r="G36" s="1013" t="s">
        <v>2306</v>
      </c>
      <c r="H36" s="1014"/>
      <c r="I36" s="1015">
        <v>0.28000000000000003</v>
      </c>
      <c r="J36" s="1015">
        <v>0</v>
      </c>
      <c r="K36" s="1015">
        <v>0.28000000000000003</v>
      </c>
      <c r="L36" s="153" t="str">
        <f t="shared" si="0"/>
        <v>422</v>
      </c>
      <c r="M36" s="154" t="str">
        <f t="shared" si="1"/>
        <v>UNITES USAGES DET./ FEVR.</v>
      </c>
      <c r="N36" s="155">
        <f>+IF(OR($Q36=Parametres!$G$2,$Q36=Parametres!$G$3),I36,C36)</f>
        <v>0.28000000000000003</v>
      </c>
      <c r="O36" s="575">
        <f>+IF(OR($Q36=Parametres!$G$2,$Q36=Parametres!$G$3),J36,D36)</f>
        <v>0</v>
      </c>
      <c r="P36" s="155">
        <f>+IF(OR($Q36=Parametres!$G$2,$Q36=Parametres!$G$3),K36,E36)</f>
        <v>0.28000000000000003</v>
      </c>
      <c r="Q36" s="154" t="str">
        <f t="shared" si="4"/>
        <v>1-Mémo</v>
      </c>
      <c r="R36" s="153" t="str">
        <f t="shared" si="4"/>
        <v>42</v>
      </c>
      <c r="S36" s="154">
        <f t="shared" si="4"/>
        <v>0</v>
      </c>
      <c r="T36" s="156" t="str">
        <f>+VLOOKUP($L36,Data_Validation!$A:$D,1,0)</f>
        <v>422</v>
      </c>
      <c r="U36" s="156">
        <f>+VLOOKUP($L36,Data_Validation!$A:$D,3,0)</f>
        <v>0</v>
      </c>
      <c r="V36" s="156">
        <f>+VLOOKUP($L36,Data_Validation!$A:$D,4,0)</f>
        <v>0</v>
      </c>
      <c r="W36" s="156">
        <f>+VLOOKUP($L36,Data_Validation!$A:$E,5,0)</f>
        <v>0</v>
      </c>
      <c r="X36" s="156">
        <f>+VLOOKUP($L36,Data_Validation!$A:$F,6,0)</f>
        <v>0</v>
      </c>
    </row>
    <row r="37" spans="1:24" ht="15" hidden="1" customHeight="1">
      <c r="A37" s="1013" t="s">
        <v>2309</v>
      </c>
      <c r="B37" s="1013" t="s">
        <v>2310</v>
      </c>
      <c r="C37" s="1014"/>
      <c r="D37" s="1014"/>
      <c r="E37" s="1014"/>
      <c r="F37" s="1013" t="s">
        <v>1</v>
      </c>
      <c r="G37" s="1013" t="s">
        <v>2306</v>
      </c>
      <c r="H37" s="1014"/>
      <c r="I37" s="1015">
        <v>0</v>
      </c>
      <c r="J37" s="1015">
        <v>0.33</v>
      </c>
      <c r="K37" s="1015">
        <v>0.33</v>
      </c>
      <c r="L37" s="153" t="str">
        <f t="shared" si="0"/>
        <v>423</v>
      </c>
      <c r="M37" s="154" t="str">
        <f t="shared" si="1"/>
        <v>UNITES USAGES DET./ MARS</v>
      </c>
      <c r="N37" s="155">
        <f>+IF(OR($Q37=Parametres!$G$2,$Q37=Parametres!$G$3),I37,C37)</f>
        <v>0</v>
      </c>
      <c r="O37" s="155">
        <f>+IF(OR($Q37=Parametres!$G$2,$Q37=Parametres!$G$3),J37,D37)</f>
        <v>0.33</v>
      </c>
      <c r="P37" s="155">
        <f>+IF(OR($Q37=Parametres!$G$2,$Q37=Parametres!$G$3),K37,E37)</f>
        <v>0.33</v>
      </c>
      <c r="Q37" s="154" t="str">
        <f t="shared" si="4"/>
        <v>1-Mémo</v>
      </c>
      <c r="R37" s="153" t="str">
        <f t="shared" si="4"/>
        <v>42</v>
      </c>
      <c r="S37" s="154">
        <f t="shared" si="4"/>
        <v>0</v>
      </c>
      <c r="T37" s="156" t="str">
        <f>+VLOOKUP($L37,Data_Validation!$A:$D,1,0)</f>
        <v>423</v>
      </c>
      <c r="U37" s="156">
        <f>+VLOOKUP($L37,Data_Validation!$A:$D,3,0)</f>
        <v>0</v>
      </c>
      <c r="V37" s="156">
        <f>+VLOOKUP($L37,Data_Validation!$A:$D,4,0)</f>
        <v>0</v>
      </c>
      <c r="W37" s="156">
        <f>+VLOOKUP($L37,Data_Validation!$A:$E,5,0)</f>
        <v>0</v>
      </c>
      <c r="X37" s="156">
        <f>+VLOOKUP($L37,Data_Validation!$A:$F,6,0)</f>
        <v>0</v>
      </c>
    </row>
    <row r="38" spans="1:24" ht="15" hidden="1" customHeight="1">
      <c r="A38" s="1013" t="s">
        <v>2327</v>
      </c>
      <c r="B38" s="1013" t="s">
        <v>2328</v>
      </c>
      <c r="C38" s="1014"/>
      <c r="D38" s="1014"/>
      <c r="E38" s="1014"/>
      <c r="F38" s="1013" t="s">
        <v>1</v>
      </c>
      <c r="G38" s="1013" t="s">
        <v>2215</v>
      </c>
      <c r="H38" s="1014"/>
      <c r="I38" s="1015">
        <v>1</v>
      </c>
      <c r="J38" s="1015">
        <v>0</v>
      </c>
      <c r="K38" s="1015">
        <v>1</v>
      </c>
      <c r="L38" s="153" t="str">
        <f t="shared" si="0"/>
        <v>500</v>
      </c>
      <c r="M38" s="154" t="str">
        <f t="shared" si="1"/>
        <v>PROPRIETAIRES</v>
      </c>
      <c r="N38" s="155">
        <f>+IF(OR($Q38=Parametres!$G$2,$Q38=Parametres!$G$3),I38,C38)</f>
        <v>1</v>
      </c>
      <c r="O38" s="575">
        <f>+IF(OR($Q38=Parametres!$G$2,$Q38=Parametres!$G$3),J38,D38)</f>
        <v>0</v>
      </c>
      <c r="P38" s="155">
        <f>+IF(OR($Q38=Parametres!$G$2,$Q38=Parametres!$G$3),K38,E38)</f>
        <v>1</v>
      </c>
      <c r="Q38" s="154" t="str">
        <f t="shared" si="4"/>
        <v>1-Mémo</v>
      </c>
      <c r="R38" s="153" t="str">
        <f t="shared" si="4"/>
        <v>50</v>
      </c>
      <c r="S38" s="154">
        <f t="shared" si="4"/>
        <v>0</v>
      </c>
      <c r="T38" s="156" t="str">
        <f>+VLOOKUP($L38,Data_Validation!$A:$D,1,0)</f>
        <v>500</v>
      </c>
      <c r="U38" s="156">
        <f>+VLOOKUP($L38,Data_Validation!$A:$D,3,0)</f>
        <v>0</v>
      </c>
      <c r="V38" s="156">
        <f>+VLOOKUP($L38,Data_Validation!$A:$D,4,0)</f>
        <v>0</v>
      </c>
      <c r="W38" s="156" t="str">
        <f>+VLOOKUP($L38,Data_Validation!$A:$E,5,0)</f>
        <v>$</v>
      </c>
      <c r="X38" s="156">
        <f>+VLOOKUP($L38,Data_Validation!$A:$F,6,0)</f>
        <v>0</v>
      </c>
    </row>
    <row r="39" spans="1:24" ht="15" hidden="1" customHeight="1">
      <c r="A39" s="1013" t="s">
        <v>2329</v>
      </c>
      <c r="B39" s="1013" t="s">
        <v>1526</v>
      </c>
      <c r="C39" s="1014"/>
      <c r="D39" s="1014"/>
      <c r="E39" s="1014"/>
      <c r="F39" s="1013" t="s">
        <v>1</v>
      </c>
      <c r="G39" s="1013" t="s">
        <v>2215</v>
      </c>
      <c r="H39" s="1014"/>
      <c r="I39" s="1015">
        <v>0.2</v>
      </c>
      <c r="J39" s="1015">
        <v>0</v>
      </c>
      <c r="K39" s="1015">
        <v>0.2</v>
      </c>
      <c r="L39" s="153" t="str">
        <f t="shared" si="0"/>
        <v>511</v>
      </c>
      <c r="M39" s="154" t="str">
        <f t="shared" si="1"/>
        <v>DIR. GENERAL NEUFS</v>
      </c>
      <c r="N39" s="155">
        <f>+IF(OR($Q39=Parametres!$G$2,$Q39=Parametres!$G$3),I39,C39)</f>
        <v>0.2</v>
      </c>
      <c r="O39" s="577">
        <f>+IF(OR($Q39=Parametres!$G$2,$Q39=Parametres!$G$3),J39,D39)</f>
        <v>0</v>
      </c>
      <c r="P39" s="155">
        <f>+IF(OR($Q39=Parametres!$G$2,$Q39=Parametres!$G$3),K39,E39)</f>
        <v>0.2</v>
      </c>
      <c r="Q39" s="154" t="str">
        <f t="shared" si="4"/>
        <v>1-Mémo</v>
      </c>
      <c r="R39" s="153" t="str">
        <f t="shared" si="4"/>
        <v>50</v>
      </c>
      <c r="S39" s="154">
        <f t="shared" si="4"/>
        <v>0</v>
      </c>
      <c r="T39" s="156" t="str">
        <f>+VLOOKUP($L39,Data_Validation!$A:$D,1,0)</f>
        <v>511</v>
      </c>
      <c r="U39" s="156">
        <f>+VLOOKUP($L39,Data_Validation!$A:$D,3,0)</f>
        <v>0</v>
      </c>
      <c r="V39" s="156">
        <f>+VLOOKUP($L39,Data_Validation!$A:$D,4,0)</f>
        <v>0</v>
      </c>
      <c r="W39" s="156" t="str">
        <f>+VLOOKUP($L39,Data_Validation!$A:$E,5,0)</f>
        <v>$</v>
      </c>
      <c r="X39" s="156">
        <f>+VLOOKUP($L39,Data_Validation!$A:$F,6,0)</f>
        <v>0</v>
      </c>
    </row>
    <row r="40" spans="1:24" ht="15.75" hidden="1" customHeight="1">
      <c r="A40" s="1013" t="s">
        <v>2330</v>
      </c>
      <c r="B40" s="1013" t="s">
        <v>884</v>
      </c>
      <c r="C40" s="1014"/>
      <c r="D40" s="1014"/>
      <c r="E40" s="1014"/>
      <c r="F40" s="1013" t="s">
        <v>1</v>
      </c>
      <c r="G40" s="1013" t="s">
        <v>2215</v>
      </c>
      <c r="H40" s="1014"/>
      <c r="I40" s="1015">
        <v>0.2</v>
      </c>
      <c r="J40" s="1015">
        <v>0</v>
      </c>
      <c r="K40" s="1015">
        <v>0.2</v>
      </c>
      <c r="L40" s="153" t="str">
        <f t="shared" si="0"/>
        <v>512</v>
      </c>
      <c r="M40" s="154" t="str">
        <f t="shared" si="1"/>
        <v>DIR. GENERAL USAGES</v>
      </c>
      <c r="N40" s="155">
        <f>+IF(OR($Q40=Parametres!$G$2,$Q40=Parametres!$G$3),I40,C40)</f>
        <v>0.2</v>
      </c>
      <c r="O40" s="576">
        <f>+IF(OR($Q40=Parametres!$G$2,$Q40=Parametres!$G$3),J40,D40)</f>
        <v>0</v>
      </c>
      <c r="P40" s="155">
        <f>+IF(OR($Q40=Parametres!$G$2,$Q40=Parametres!$G$3),K40,E40)</f>
        <v>0.2</v>
      </c>
      <c r="Q40" s="154" t="str">
        <f t="shared" si="4"/>
        <v>1-Mémo</v>
      </c>
      <c r="R40" s="153" t="str">
        <f t="shared" si="4"/>
        <v>50</v>
      </c>
      <c r="S40" s="154">
        <f t="shared" si="4"/>
        <v>0</v>
      </c>
      <c r="T40" s="156" t="str">
        <f>+VLOOKUP($L40,Data_Validation!$A:$D,1,0)</f>
        <v>512</v>
      </c>
      <c r="U40" s="156">
        <f>+VLOOKUP($L40,Data_Validation!$A:$D,3,0)</f>
        <v>0</v>
      </c>
      <c r="V40" s="156">
        <f>+VLOOKUP($L40,Data_Validation!$A:$D,4,0)</f>
        <v>0</v>
      </c>
      <c r="W40" s="156" t="str">
        <f>+VLOOKUP($L40,Data_Validation!$A:$E,5,0)</f>
        <v>$</v>
      </c>
      <c r="X40" s="156">
        <f>+VLOOKUP($L40,Data_Validation!$A:$F,6,0)</f>
        <v>0</v>
      </c>
    </row>
    <row r="41" spans="1:24" ht="15" hidden="1" customHeight="1">
      <c r="A41" s="1013" t="s">
        <v>2331</v>
      </c>
      <c r="B41" s="1013" t="s">
        <v>2332</v>
      </c>
      <c r="C41" s="1014"/>
      <c r="D41" s="1014"/>
      <c r="E41" s="1014"/>
      <c r="F41" s="1013" t="s">
        <v>1</v>
      </c>
      <c r="G41" s="1013" t="s">
        <v>2215</v>
      </c>
      <c r="H41" s="1014"/>
      <c r="I41" s="1015">
        <v>0.2</v>
      </c>
      <c r="J41" s="1015">
        <v>0</v>
      </c>
      <c r="K41" s="1015">
        <v>0.2</v>
      </c>
      <c r="L41" s="153" t="str">
        <f t="shared" si="0"/>
        <v>514</v>
      </c>
      <c r="M41" s="154" t="str">
        <f t="shared" si="1"/>
        <v>DIR. GENERAL SERVICE</v>
      </c>
      <c r="N41" s="155">
        <f>+IF(OR($Q41=Parametres!$G$2,$Q41=Parametres!$G$3),I41,C41)</f>
        <v>0.2</v>
      </c>
      <c r="O41" s="575">
        <f>+IF(OR($Q41=Parametres!$G$2,$Q41=Parametres!$G$3),J41,D41)</f>
        <v>0</v>
      </c>
      <c r="P41" s="155">
        <f>+IF(OR($Q41=Parametres!$G$2,$Q41=Parametres!$G$3),K41,E41)</f>
        <v>0.2</v>
      </c>
      <c r="Q41" s="154" t="str">
        <f t="shared" si="4"/>
        <v>1-Mémo</v>
      </c>
      <c r="R41" s="153" t="str">
        <f t="shared" si="4"/>
        <v>50</v>
      </c>
      <c r="S41" s="154">
        <f t="shared" si="4"/>
        <v>0</v>
      </c>
      <c r="T41" s="156" t="str">
        <f>+VLOOKUP($L41,Data_Validation!$A:$D,1,0)</f>
        <v>514</v>
      </c>
      <c r="U41" s="156">
        <f>+VLOOKUP($L41,Data_Validation!$A:$D,3,0)</f>
        <v>0</v>
      </c>
      <c r="V41" s="156">
        <f>+VLOOKUP($L41,Data_Validation!$A:$D,4,0)</f>
        <v>0</v>
      </c>
      <c r="W41" s="156" t="str">
        <f>+VLOOKUP($L41,Data_Validation!$A:$E,5,0)</f>
        <v>$</v>
      </c>
      <c r="X41" s="156">
        <f>+VLOOKUP($L41,Data_Validation!$A:$F,6,0)</f>
        <v>0</v>
      </c>
    </row>
    <row r="42" spans="1:24" ht="15" hidden="1" customHeight="1">
      <c r="A42" s="1013" t="s">
        <v>2333</v>
      </c>
      <c r="B42" s="1013" t="s">
        <v>2334</v>
      </c>
      <c r="C42" s="1014"/>
      <c r="D42" s="1014"/>
      <c r="E42" s="1014"/>
      <c r="F42" s="1013" t="s">
        <v>1</v>
      </c>
      <c r="G42" s="1013" t="s">
        <v>2215</v>
      </c>
      <c r="H42" s="1014"/>
      <c r="I42" s="1015">
        <v>0.2</v>
      </c>
      <c r="J42" s="1015">
        <v>0</v>
      </c>
      <c r="K42" s="1015">
        <v>0.2</v>
      </c>
      <c r="L42" s="153" t="str">
        <f t="shared" si="0"/>
        <v>515</v>
      </c>
      <c r="M42" s="154" t="str">
        <f t="shared" si="1"/>
        <v>DIR. GENERAL CARROSS.</v>
      </c>
      <c r="N42" s="155">
        <f>+IF(OR($Q42=Parametres!$G$2,$Q42=Parametres!$G$3),I42,C42)</f>
        <v>0.2</v>
      </c>
      <c r="O42" s="576">
        <f>+IF(OR($Q42=Parametres!$G$2,$Q42=Parametres!$G$3),J42,D42)</f>
        <v>0</v>
      </c>
      <c r="P42" s="155">
        <f>+IF(OR($Q42=Parametres!$G$2,$Q42=Parametres!$G$3),K42,E42)</f>
        <v>0.2</v>
      </c>
      <c r="Q42" s="154" t="str">
        <f t="shared" si="4"/>
        <v>1-Mémo</v>
      </c>
      <c r="R42" s="153" t="str">
        <f t="shared" si="4"/>
        <v>50</v>
      </c>
      <c r="S42" s="154">
        <f t="shared" si="4"/>
        <v>0</v>
      </c>
      <c r="T42" s="156" t="str">
        <f>+VLOOKUP($L42,Data_Validation!$A:$D,1,0)</f>
        <v>515</v>
      </c>
      <c r="U42" s="156">
        <f>+VLOOKUP($L42,Data_Validation!$A:$D,3,0)</f>
        <v>0</v>
      </c>
      <c r="V42" s="156">
        <f>+VLOOKUP($L42,Data_Validation!$A:$D,4,0)</f>
        <v>0</v>
      </c>
      <c r="W42" s="156" t="str">
        <f>+VLOOKUP($L42,Data_Validation!$A:$E,5,0)</f>
        <v>$</v>
      </c>
      <c r="X42" s="156">
        <f>+VLOOKUP($L42,Data_Validation!$A:$F,6,0)</f>
        <v>0</v>
      </c>
    </row>
    <row r="43" spans="1:24" ht="15" hidden="1" customHeight="1">
      <c r="A43" s="1013" t="s">
        <v>2335</v>
      </c>
      <c r="B43" s="1013" t="s">
        <v>2336</v>
      </c>
      <c r="C43" s="1014"/>
      <c r="D43" s="1014"/>
      <c r="E43" s="1014"/>
      <c r="F43" s="1013" t="s">
        <v>1</v>
      </c>
      <c r="G43" s="1013" t="s">
        <v>2215</v>
      </c>
      <c r="H43" s="1014"/>
      <c r="I43" s="1015">
        <v>0.2</v>
      </c>
      <c r="J43" s="1015">
        <v>0</v>
      </c>
      <c r="K43" s="1015">
        <v>0.2</v>
      </c>
      <c r="L43" s="153" t="str">
        <f t="shared" si="0"/>
        <v>517</v>
      </c>
      <c r="M43" s="154" t="str">
        <f t="shared" si="1"/>
        <v>DIR. GENERAL PIECES</v>
      </c>
      <c r="N43" s="155">
        <f>+IF(OR($Q43=Parametres!$G$2,$Q43=Parametres!$G$3),I43,C43)</f>
        <v>0.2</v>
      </c>
      <c r="O43" s="576">
        <f>+IF(OR($Q43=Parametres!$G$2,$Q43=Parametres!$G$3),J43,D43)</f>
        <v>0</v>
      </c>
      <c r="P43" s="155">
        <f>+IF(OR($Q43=Parametres!$G$2,$Q43=Parametres!$G$3),K43,E43)</f>
        <v>0.2</v>
      </c>
      <c r="Q43" s="154" t="str">
        <f t="shared" si="4"/>
        <v>1-Mémo</v>
      </c>
      <c r="R43" s="153" t="str">
        <f t="shared" si="4"/>
        <v>50</v>
      </c>
      <c r="S43" s="154">
        <f t="shared" si="4"/>
        <v>0</v>
      </c>
      <c r="T43" s="156" t="str">
        <f>+VLOOKUP($L43,Data_Validation!$A:$D,1,0)</f>
        <v>517</v>
      </c>
      <c r="U43" s="156">
        <f>+VLOOKUP($L43,Data_Validation!$A:$D,3,0)</f>
        <v>0</v>
      </c>
      <c r="V43" s="156">
        <f>+VLOOKUP($L43,Data_Validation!$A:$D,4,0)</f>
        <v>0</v>
      </c>
      <c r="W43" s="156" t="str">
        <f>+VLOOKUP($L43,Data_Validation!$A:$E,5,0)</f>
        <v>$</v>
      </c>
      <c r="X43" s="156">
        <f>+VLOOKUP($L43,Data_Validation!$A:$F,6,0)</f>
        <v>0</v>
      </c>
    </row>
    <row r="44" spans="1:24" ht="15.75" hidden="1" customHeight="1">
      <c r="A44" s="1013" t="s">
        <v>2337</v>
      </c>
      <c r="B44" s="1013" t="s">
        <v>2338</v>
      </c>
      <c r="C44" s="1014"/>
      <c r="D44" s="1014"/>
      <c r="E44" s="1014"/>
      <c r="F44" s="1013" t="s">
        <v>1</v>
      </c>
      <c r="G44" s="1013" t="s">
        <v>2215</v>
      </c>
      <c r="H44" s="1014"/>
      <c r="I44" s="1015">
        <v>2</v>
      </c>
      <c r="J44" s="1015">
        <v>0</v>
      </c>
      <c r="K44" s="1015">
        <v>2</v>
      </c>
      <c r="L44" s="153" t="str">
        <f t="shared" si="0"/>
        <v>521</v>
      </c>
      <c r="M44" s="154" t="str">
        <f t="shared" si="1"/>
        <v>DIR. SERVICE NEUFS</v>
      </c>
      <c r="N44" s="155">
        <f>+IF(OR($Q44=Parametres!$G$2,$Q44=Parametres!$G$3),I44,C44)</f>
        <v>2</v>
      </c>
      <c r="O44" s="576">
        <f>+IF(OR($Q44=Parametres!$G$2,$Q44=Parametres!$G$3),J44,D44)</f>
        <v>0</v>
      </c>
      <c r="P44" s="155">
        <f>+IF(OR($Q44=Parametres!$G$2,$Q44=Parametres!$G$3),K44,E44)</f>
        <v>2</v>
      </c>
      <c r="Q44" s="154" t="str">
        <f t="shared" si="4"/>
        <v>1-Mémo</v>
      </c>
      <c r="R44" s="153" t="str">
        <f t="shared" si="4"/>
        <v>50</v>
      </c>
      <c r="S44" s="154">
        <f t="shared" si="4"/>
        <v>0</v>
      </c>
      <c r="T44" s="156" t="str">
        <f>+VLOOKUP($L44,Data_Validation!$A:$D,1,0)</f>
        <v>521</v>
      </c>
      <c r="U44" s="156">
        <f>+VLOOKUP($L44,Data_Validation!$A:$D,3,0)</f>
        <v>0</v>
      </c>
      <c r="V44" s="156">
        <f>+VLOOKUP($L44,Data_Validation!$A:$D,4,0)</f>
        <v>0</v>
      </c>
      <c r="W44" s="156" t="str">
        <f>+VLOOKUP($L44,Data_Validation!$A:$E,5,0)</f>
        <v>$</v>
      </c>
      <c r="X44" s="156">
        <f>+VLOOKUP($L44,Data_Validation!$A:$F,6,0)</f>
        <v>0</v>
      </c>
    </row>
    <row r="45" spans="1:24" ht="15" hidden="1" customHeight="1">
      <c r="A45" s="1013" t="s">
        <v>2339</v>
      </c>
      <c r="B45" s="1013" t="s">
        <v>2340</v>
      </c>
      <c r="C45" s="1014"/>
      <c r="D45" s="1014"/>
      <c r="E45" s="1014"/>
      <c r="F45" s="1013" t="s">
        <v>1</v>
      </c>
      <c r="G45" s="1013" t="s">
        <v>2215</v>
      </c>
      <c r="H45" s="1014"/>
      <c r="I45" s="1015">
        <v>1</v>
      </c>
      <c r="J45" s="1015">
        <v>0</v>
      </c>
      <c r="K45" s="1015">
        <v>1</v>
      </c>
      <c r="L45" s="153" t="str">
        <f t="shared" si="0"/>
        <v>522</v>
      </c>
      <c r="M45" s="154" t="str">
        <f t="shared" si="1"/>
        <v>DIR. SERVICE USAGES</v>
      </c>
      <c r="N45" s="155">
        <f>+IF(OR($Q45=Parametres!$G$2,$Q45=Parametres!$G$3),I45,C45)</f>
        <v>1</v>
      </c>
      <c r="O45" s="576">
        <f>+IF(OR($Q45=Parametres!$G$2,$Q45=Parametres!$G$3),J45,D45)</f>
        <v>0</v>
      </c>
      <c r="P45" s="155">
        <f>+IF(OR($Q45=Parametres!$G$2,$Q45=Parametres!$G$3),K45,E45)</f>
        <v>1</v>
      </c>
      <c r="Q45" s="154" t="str">
        <f t="shared" si="4"/>
        <v>1-Mémo</v>
      </c>
      <c r="R45" s="153" t="str">
        <f t="shared" si="4"/>
        <v>50</v>
      </c>
      <c r="S45" s="154">
        <f t="shared" si="4"/>
        <v>0</v>
      </c>
      <c r="T45" s="156" t="str">
        <f>+VLOOKUP($L45,Data_Validation!$A:$D,1,0)</f>
        <v>522</v>
      </c>
      <c r="U45" s="156">
        <f>+VLOOKUP($L45,Data_Validation!$A:$D,3,0)</f>
        <v>0</v>
      </c>
      <c r="V45" s="156">
        <f>+VLOOKUP($L45,Data_Validation!$A:$D,4,0)</f>
        <v>0</v>
      </c>
      <c r="W45" s="156" t="str">
        <f>+VLOOKUP($L45,Data_Validation!$A:$E,5,0)</f>
        <v>$</v>
      </c>
      <c r="X45" s="156">
        <f>+VLOOKUP($L45,Data_Validation!$A:$F,6,0)</f>
        <v>0</v>
      </c>
    </row>
    <row r="46" spans="1:24" ht="15" hidden="1" customHeight="1">
      <c r="A46" s="1013" t="s">
        <v>2341</v>
      </c>
      <c r="B46" s="1013" t="s">
        <v>2342</v>
      </c>
      <c r="C46" s="1014"/>
      <c r="D46" s="1014"/>
      <c r="E46" s="1014"/>
      <c r="F46" s="1013" t="s">
        <v>1</v>
      </c>
      <c r="G46" s="1013" t="s">
        <v>2215</v>
      </c>
      <c r="H46" s="1014"/>
      <c r="I46" s="1015">
        <v>1</v>
      </c>
      <c r="J46" s="1015">
        <v>0</v>
      </c>
      <c r="K46" s="1015">
        <v>1</v>
      </c>
      <c r="L46" s="153" t="str">
        <f t="shared" si="0"/>
        <v>524</v>
      </c>
      <c r="M46" s="154" t="str">
        <f t="shared" si="1"/>
        <v>DIR. SERVICE SERVICE</v>
      </c>
      <c r="N46" s="155">
        <f>+IF(OR($Q46=Parametres!$G$2,$Q46=Parametres!$G$3),I46,C46)</f>
        <v>1</v>
      </c>
      <c r="O46" s="576">
        <f>+IF(OR($Q46=Parametres!$G$2,$Q46=Parametres!$G$3),J46,D46)</f>
        <v>0</v>
      </c>
      <c r="P46" s="155">
        <f>+IF(OR($Q46=Parametres!$G$2,$Q46=Parametres!$G$3),K46,E46)</f>
        <v>1</v>
      </c>
      <c r="Q46" s="154" t="str">
        <f t="shared" si="4"/>
        <v>1-Mémo</v>
      </c>
      <c r="R46" s="153" t="str">
        <f t="shared" si="4"/>
        <v>50</v>
      </c>
      <c r="S46" s="154">
        <f t="shared" si="4"/>
        <v>0</v>
      </c>
      <c r="T46" s="156" t="str">
        <f>+VLOOKUP($L46,Data_Validation!$A:$D,1,0)</f>
        <v>524</v>
      </c>
      <c r="U46" s="156">
        <f>+VLOOKUP($L46,Data_Validation!$A:$D,3,0)</f>
        <v>0</v>
      </c>
      <c r="V46" s="156">
        <f>+VLOOKUP($L46,Data_Validation!$A:$D,4,0)</f>
        <v>0</v>
      </c>
      <c r="W46" s="156" t="str">
        <f>+VLOOKUP($L46,Data_Validation!$A:$E,5,0)</f>
        <v>$</v>
      </c>
      <c r="X46" s="156">
        <f>+VLOOKUP($L46,Data_Validation!$A:$F,6,0)</f>
        <v>0</v>
      </c>
    </row>
    <row r="47" spans="1:24" ht="15" hidden="1" customHeight="1">
      <c r="A47" s="1013" t="s">
        <v>2343</v>
      </c>
      <c r="B47" s="1013" t="s">
        <v>2344</v>
      </c>
      <c r="C47" s="1014"/>
      <c r="D47" s="1014"/>
      <c r="E47" s="1014"/>
      <c r="F47" s="1013" t="s">
        <v>1</v>
      </c>
      <c r="G47" s="1013" t="s">
        <v>2215</v>
      </c>
      <c r="H47" s="1014"/>
      <c r="I47" s="1015">
        <v>1</v>
      </c>
      <c r="J47" s="1015">
        <v>0</v>
      </c>
      <c r="K47" s="1015">
        <v>1</v>
      </c>
      <c r="L47" s="153" t="str">
        <f t="shared" si="0"/>
        <v>527</v>
      </c>
      <c r="M47" s="154" t="str">
        <f t="shared" si="1"/>
        <v>DIR. SERVICE PIECES</v>
      </c>
      <c r="N47" s="155">
        <f>+IF(OR($Q47=Parametres!$G$2,$Q47=Parametres!$G$3),I47,C47)</f>
        <v>1</v>
      </c>
      <c r="O47" s="155">
        <f>+IF(OR($Q47=Parametres!$G$2,$Q47=Parametres!$G$3),J47,D47)</f>
        <v>0</v>
      </c>
      <c r="P47" s="155">
        <f>+IF(OR($Q47=Parametres!$G$2,$Q47=Parametres!$G$3),K47,E47)</f>
        <v>1</v>
      </c>
      <c r="Q47" s="154" t="str">
        <f t="shared" si="4"/>
        <v>1-Mémo</v>
      </c>
      <c r="R47" s="153" t="str">
        <f t="shared" si="4"/>
        <v>50</v>
      </c>
      <c r="S47" s="154">
        <f t="shared" si="4"/>
        <v>0</v>
      </c>
      <c r="T47" s="156" t="str">
        <f>+VLOOKUP($L47,Data_Validation!$A:$D,1,0)</f>
        <v>527</v>
      </c>
      <c r="U47" s="156">
        <f>+VLOOKUP($L47,Data_Validation!$A:$D,3,0)</f>
        <v>0</v>
      </c>
      <c r="V47" s="156">
        <f>+VLOOKUP($L47,Data_Validation!$A:$D,4,0)</f>
        <v>0</v>
      </c>
      <c r="W47" s="156" t="str">
        <f>+VLOOKUP($L47,Data_Validation!$A:$E,5,0)</f>
        <v>$</v>
      </c>
      <c r="X47" s="156">
        <f>+VLOOKUP($L47,Data_Validation!$A:$F,6,0)</f>
        <v>0</v>
      </c>
    </row>
    <row r="48" spans="1:24" ht="15.75" hidden="1" customHeight="1">
      <c r="A48" s="1013" t="s">
        <v>2345</v>
      </c>
      <c r="B48" s="1013" t="s">
        <v>2346</v>
      </c>
      <c r="C48" s="1014"/>
      <c r="D48" s="1014"/>
      <c r="E48" s="1014"/>
      <c r="F48" s="1013" t="s">
        <v>1</v>
      </c>
      <c r="G48" s="1013" t="s">
        <v>2347</v>
      </c>
      <c r="H48" s="1014"/>
      <c r="I48" s="1015">
        <v>8</v>
      </c>
      <c r="J48" s="1015">
        <v>0</v>
      </c>
      <c r="K48" s="1015">
        <v>8</v>
      </c>
      <c r="L48" s="153" t="str">
        <f t="shared" si="0"/>
        <v>541</v>
      </c>
      <c r="M48" s="154" t="str">
        <f t="shared" si="1"/>
        <v>VW REP. DES VENTES - NEUF</v>
      </c>
      <c r="N48" s="155">
        <f>+IF(OR($Q48=Parametres!$G$2,$Q48=Parametres!$G$3),I48,C48)</f>
        <v>8</v>
      </c>
      <c r="O48" s="155">
        <f>+IF(OR($Q48=Parametres!$G$2,$Q48=Parametres!$G$3),J48,D48)</f>
        <v>0</v>
      </c>
      <c r="P48" s="155">
        <f>+IF(OR($Q48=Parametres!$G$2,$Q48=Parametres!$G$3),K48,E48)</f>
        <v>8</v>
      </c>
      <c r="Q48" s="154" t="str">
        <f t="shared" si="4"/>
        <v>1-Mémo</v>
      </c>
      <c r="R48" s="153" t="str">
        <f t="shared" si="4"/>
        <v>54</v>
      </c>
      <c r="S48" s="154">
        <f t="shared" si="4"/>
        <v>0</v>
      </c>
      <c r="T48" s="156" t="str">
        <f>+VLOOKUP($L48,Data_Validation!$A:$D,1,0)</f>
        <v>541</v>
      </c>
      <c r="U48" s="156">
        <f>+VLOOKUP($L48,Data_Validation!$A:$D,3,0)</f>
        <v>0</v>
      </c>
      <c r="V48" s="156">
        <f>+VLOOKUP($L48,Data_Validation!$A:$D,4,0)</f>
        <v>0</v>
      </c>
      <c r="W48" s="156" t="str">
        <f>+VLOOKUP($L48,Data_Validation!$A:$E,5,0)</f>
        <v>$</v>
      </c>
      <c r="X48" s="156">
        <f>+VLOOKUP($L48,Data_Validation!$A:$F,6,0)</f>
        <v>0</v>
      </c>
    </row>
    <row r="49" spans="1:24" ht="15" hidden="1" customHeight="1">
      <c r="A49" s="1013" t="s">
        <v>2348</v>
      </c>
      <c r="B49" s="1013" t="s">
        <v>2349</v>
      </c>
      <c r="C49" s="1014"/>
      <c r="D49" s="1014"/>
      <c r="E49" s="1014"/>
      <c r="F49" s="1013" t="s">
        <v>1</v>
      </c>
      <c r="G49" s="1013" t="s">
        <v>2215</v>
      </c>
      <c r="H49" s="1014"/>
      <c r="I49" s="1015">
        <v>3</v>
      </c>
      <c r="J49" s="1015">
        <v>0</v>
      </c>
      <c r="K49" s="1015">
        <v>3</v>
      </c>
      <c r="L49" s="153" t="str">
        <f t="shared" si="0"/>
        <v>542</v>
      </c>
      <c r="M49" s="154" t="str">
        <f t="shared" si="1"/>
        <v>VW REP. DES VENTES - OCC.</v>
      </c>
      <c r="N49" s="155">
        <f>+IF(OR($Q49=Parametres!$G$2,$Q49=Parametres!$G$3),I49,C49)</f>
        <v>3</v>
      </c>
      <c r="O49" s="575">
        <f>+IF(OR($Q49=Parametres!$G$2,$Q49=Parametres!$G$3),J49,D49)</f>
        <v>0</v>
      </c>
      <c r="P49" s="155">
        <f>+IF(OR($Q49=Parametres!$G$2,$Q49=Parametres!$G$3),K49,E49)</f>
        <v>3</v>
      </c>
      <c r="Q49" s="154" t="str">
        <f t="shared" si="4"/>
        <v>1-Mémo</v>
      </c>
      <c r="R49" s="153" t="str">
        <f t="shared" si="4"/>
        <v>50</v>
      </c>
      <c r="S49" s="154">
        <f t="shared" si="4"/>
        <v>0</v>
      </c>
      <c r="T49" s="156" t="str">
        <f>+VLOOKUP($L49,Data_Validation!$A:$D,1,0)</f>
        <v>542</v>
      </c>
      <c r="U49" s="156">
        <f>+VLOOKUP($L49,Data_Validation!$A:$D,3,0)</f>
        <v>0</v>
      </c>
      <c r="V49" s="156">
        <f>+VLOOKUP($L49,Data_Validation!$A:$D,4,0)</f>
        <v>0</v>
      </c>
      <c r="W49" s="156" t="str">
        <f>+VLOOKUP($L49,Data_Validation!$A:$E,5,0)</f>
        <v>$</v>
      </c>
      <c r="X49" s="156">
        <f>+VLOOKUP($L49,Data_Validation!$A:$F,6,0)</f>
        <v>0</v>
      </c>
    </row>
    <row r="50" spans="1:24" ht="15" hidden="1" customHeight="1">
      <c r="A50" s="1013" t="s">
        <v>2350</v>
      </c>
      <c r="B50" s="1013" t="s">
        <v>2351</v>
      </c>
      <c r="C50" s="1014"/>
      <c r="D50" s="1014"/>
      <c r="E50" s="1014"/>
      <c r="F50" s="1013" t="s">
        <v>1</v>
      </c>
      <c r="G50" s="1013" t="s">
        <v>2215</v>
      </c>
      <c r="H50" s="1014"/>
      <c r="I50" s="1015">
        <v>1.5</v>
      </c>
      <c r="J50" s="1015">
        <v>0</v>
      </c>
      <c r="K50" s="1015">
        <v>1.5</v>
      </c>
      <c r="L50" s="153" t="str">
        <f t="shared" si="0"/>
        <v>551</v>
      </c>
      <c r="M50" s="154" t="str">
        <f t="shared" si="1"/>
        <v>DIR. COMMERCIAL NEUFS</v>
      </c>
      <c r="N50" s="155">
        <f>+IF(OR($Q50=Parametres!$G$2,$Q50=Parametres!$G$3),I50,C50)</f>
        <v>1.5</v>
      </c>
      <c r="O50" s="576">
        <f>+IF(OR($Q50=Parametres!$G$2,$Q50=Parametres!$G$3),J50,D50)</f>
        <v>0</v>
      </c>
      <c r="P50" s="155">
        <f>+IF(OR($Q50=Parametres!$G$2,$Q50=Parametres!$G$3),K50,E50)</f>
        <v>1.5</v>
      </c>
      <c r="Q50" s="154" t="str">
        <f t="shared" ref="Q50:S65" si="5">+F50</f>
        <v>1-Mémo</v>
      </c>
      <c r="R50" s="153" t="str">
        <f t="shared" si="5"/>
        <v>50</v>
      </c>
      <c r="S50" s="154">
        <f t="shared" si="5"/>
        <v>0</v>
      </c>
      <c r="T50" s="156" t="str">
        <f>+VLOOKUP($L50,Data_Validation!$A:$D,1,0)</f>
        <v>551</v>
      </c>
      <c r="U50" s="156">
        <f>+VLOOKUP($L50,Data_Validation!$A:$D,3,0)</f>
        <v>0</v>
      </c>
      <c r="V50" s="156">
        <f>+VLOOKUP($L50,Data_Validation!$A:$D,4,0)</f>
        <v>0</v>
      </c>
      <c r="W50" s="156" t="str">
        <f>+VLOOKUP($L50,Data_Validation!$A:$E,5,0)</f>
        <v>$</v>
      </c>
      <c r="X50" s="156">
        <f>+VLOOKUP($L50,Data_Validation!$A:$F,6,0)</f>
        <v>0</v>
      </c>
    </row>
    <row r="51" spans="1:24" ht="15" hidden="1" customHeight="1">
      <c r="A51" s="1013" t="s">
        <v>2352</v>
      </c>
      <c r="B51" s="1013" t="s">
        <v>2353</v>
      </c>
      <c r="C51" s="1014"/>
      <c r="D51" s="1014"/>
      <c r="E51" s="1014"/>
      <c r="F51" s="1013" t="s">
        <v>1</v>
      </c>
      <c r="G51" s="1013" t="s">
        <v>2215</v>
      </c>
      <c r="H51" s="1014"/>
      <c r="I51" s="1015">
        <v>1.5</v>
      </c>
      <c r="J51" s="1015">
        <v>0</v>
      </c>
      <c r="K51" s="1015">
        <v>1.5</v>
      </c>
      <c r="L51" s="153" t="str">
        <f t="shared" si="0"/>
        <v>552</v>
      </c>
      <c r="M51" s="154" t="str">
        <f t="shared" si="1"/>
        <v>DIR. COMMERCIAL USAGES</v>
      </c>
      <c r="N51" s="155">
        <f>+IF(OR($Q51=Parametres!$G$2,$Q51=Parametres!$G$3),I51,C51)</f>
        <v>1.5</v>
      </c>
      <c r="O51" s="576">
        <f>+IF(OR($Q51=Parametres!$G$2,$Q51=Parametres!$G$3),J51,D51)</f>
        <v>0</v>
      </c>
      <c r="P51" s="155">
        <f>+IF(OR($Q51=Parametres!$G$2,$Q51=Parametres!$G$3),K51,E51)</f>
        <v>1.5</v>
      </c>
      <c r="Q51" s="154" t="str">
        <f t="shared" si="5"/>
        <v>1-Mémo</v>
      </c>
      <c r="R51" s="153" t="str">
        <f t="shared" si="5"/>
        <v>50</v>
      </c>
      <c r="S51" s="154">
        <f t="shared" si="5"/>
        <v>0</v>
      </c>
      <c r="T51" s="156" t="str">
        <f>+VLOOKUP($L51,Data_Validation!$A:$D,1,0)</f>
        <v>552</v>
      </c>
      <c r="U51" s="156">
        <f>+VLOOKUP($L51,Data_Validation!$A:$D,3,0)</f>
        <v>0</v>
      </c>
      <c r="V51" s="156">
        <f>+VLOOKUP($L51,Data_Validation!$A:$D,4,0)</f>
        <v>0</v>
      </c>
      <c r="W51" s="156" t="str">
        <f>+VLOOKUP($L51,Data_Validation!$A:$E,5,0)</f>
        <v>$</v>
      </c>
      <c r="X51" s="156">
        <f>+VLOOKUP($L51,Data_Validation!$A:$F,6,0)</f>
        <v>0</v>
      </c>
    </row>
    <row r="52" spans="1:24" ht="15.75" hidden="1" customHeight="1">
      <c r="A52" s="1013" t="s">
        <v>2354</v>
      </c>
      <c r="B52" s="1013" t="s">
        <v>2355</v>
      </c>
      <c r="C52" s="1014"/>
      <c r="D52" s="1014"/>
      <c r="E52" s="1014"/>
      <c r="F52" s="1013" t="s">
        <v>1</v>
      </c>
      <c r="G52" s="1013" t="s">
        <v>2356</v>
      </c>
      <c r="H52" s="1014"/>
      <c r="I52" s="1015">
        <v>4</v>
      </c>
      <c r="J52" s="1015">
        <v>0</v>
      </c>
      <c r="K52" s="1015">
        <v>4</v>
      </c>
      <c r="L52" s="153" t="str">
        <f t="shared" si="0"/>
        <v>614</v>
      </c>
      <c r="M52" s="154" t="str">
        <f t="shared" si="1"/>
        <v>VW CONSEILLERS SERVICE -SERVICE</v>
      </c>
      <c r="N52" s="155">
        <f>+IF(OR($Q52=Parametres!$G$2,$Q52=Parametres!$G$3),I52,C52)</f>
        <v>4</v>
      </c>
      <c r="O52" s="155">
        <f>+IF(OR($Q52=Parametres!$G$2,$Q52=Parametres!$G$3),J52,D52)</f>
        <v>0</v>
      </c>
      <c r="P52" s="155">
        <f>+IF(OR($Q52=Parametres!$G$2,$Q52=Parametres!$G$3),K52,E52)</f>
        <v>4</v>
      </c>
      <c r="Q52" s="154" t="str">
        <f t="shared" si="5"/>
        <v>1-Mémo</v>
      </c>
      <c r="R52" s="153" t="str">
        <f t="shared" si="5"/>
        <v>61</v>
      </c>
      <c r="S52" s="154">
        <f t="shared" si="5"/>
        <v>0</v>
      </c>
      <c r="T52" s="156" t="str">
        <f>+VLOOKUP($L52,Data_Validation!$A:$D,1,0)</f>
        <v>614</v>
      </c>
      <c r="U52" s="156">
        <f>+VLOOKUP($L52,Data_Validation!$A:$D,3,0)</f>
        <v>0</v>
      </c>
      <c r="V52" s="156">
        <f>+VLOOKUP($L52,Data_Validation!$A:$D,4,0)</f>
        <v>0</v>
      </c>
      <c r="W52" s="156" t="str">
        <f>+VLOOKUP($L52,Data_Validation!$A:$E,5,0)</f>
        <v>$</v>
      </c>
      <c r="X52" s="156">
        <f>+VLOOKUP($L52,Data_Validation!$A:$F,6,0)</f>
        <v>0</v>
      </c>
    </row>
    <row r="53" spans="1:24" ht="15" hidden="1" customHeight="1">
      <c r="A53" s="1013" t="s">
        <v>2357</v>
      </c>
      <c r="B53" s="1013" t="s">
        <v>2358</v>
      </c>
      <c r="C53" s="1014"/>
      <c r="D53" s="1014"/>
      <c r="E53" s="1014"/>
      <c r="F53" s="1013" t="s">
        <v>1</v>
      </c>
      <c r="G53" s="1013" t="s">
        <v>2356</v>
      </c>
      <c r="H53" s="1014"/>
      <c r="I53" s="1015">
        <v>3</v>
      </c>
      <c r="J53" s="1015">
        <v>0</v>
      </c>
      <c r="K53" s="1015">
        <v>3</v>
      </c>
      <c r="L53" s="153" t="str">
        <f t="shared" si="0"/>
        <v>615</v>
      </c>
      <c r="M53" s="154" t="str">
        <f t="shared" si="1"/>
        <v>VW CONSEILLERS SERVICE - PIEC. &amp; CARR.&lt;</v>
      </c>
      <c r="N53" s="155">
        <f>+IF(OR($Q53=Parametres!$G$2,$Q53=Parametres!$G$3),I53,C53)</f>
        <v>3</v>
      </c>
      <c r="O53" s="575">
        <f>+IF(OR($Q53=Parametres!$G$2,$Q53=Parametres!$G$3),J53,D53)</f>
        <v>0</v>
      </c>
      <c r="P53" s="155">
        <f>+IF(OR($Q53=Parametres!$G$2,$Q53=Parametres!$G$3),K53,E53)</f>
        <v>3</v>
      </c>
      <c r="Q53" s="154" t="str">
        <f t="shared" si="5"/>
        <v>1-Mémo</v>
      </c>
      <c r="R53" s="153" t="str">
        <f t="shared" si="5"/>
        <v>61</v>
      </c>
      <c r="S53" s="154">
        <f t="shared" si="5"/>
        <v>0</v>
      </c>
      <c r="T53" s="156" t="str">
        <f>+VLOOKUP($L53,Data_Validation!$A:$D,1,0)</f>
        <v>615</v>
      </c>
      <c r="U53" s="156">
        <f>+VLOOKUP($L53,Data_Validation!$A:$D,3,0)</f>
        <v>0</v>
      </c>
      <c r="V53" s="156">
        <f>+VLOOKUP($L53,Data_Validation!$A:$D,4,0)</f>
        <v>0</v>
      </c>
      <c r="W53" s="156" t="str">
        <f>+VLOOKUP($L53,Data_Validation!$A:$E,5,0)</f>
        <v>$</v>
      </c>
      <c r="X53" s="156">
        <f>+VLOOKUP($L53,Data_Validation!$A:$F,6,0)</f>
        <v>0</v>
      </c>
    </row>
    <row r="54" spans="1:24" ht="15" hidden="1" customHeight="1">
      <c r="A54" s="1013" t="s">
        <v>2359</v>
      </c>
      <c r="B54" s="1013" t="s">
        <v>2360</v>
      </c>
      <c r="C54" s="1014"/>
      <c r="D54" s="1014"/>
      <c r="E54" s="1014"/>
      <c r="F54" s="1013" t="s">
        <v>1</v>
      </c>
      <c r="G54" s="1013" t="s">
        <v>2215</v>
      </c>
      <c r="H54" s="1014"/>
      <c r="I54" s="1015">
        <v>1</v>
      </c>
      <c r="J54" s="1015">
        <v>0</v>
      </c>
      <c r="K54" s="1015">
        <v>1</v>
      </c>
      <c r="L54" s="153" t="str">
        <f t="shared" si="0"/>
        <v>621</v>
      </c>
      <c r="M54" s="154" t="str">
        <f t="shared" si="1"/>
        <v>LAVEURS NEUFS</v>
      </c>
      <c r="N54" s="155">
        <f>+IF(OR($Q54=Parametres!$G$2,$Q54=Parametres!$G$3),I54,C54)</f>
        <v>1</v>
      </c>
      <c r="O54" s="155">
        <f>+IF(OR($Q54=Parametres!$G$2,$Q54=Parametres!$G$3),J54,D54)</f>
        <v>0</v>
      </c>
      <c r="P54" s="155">
        <f>+IF(OR($Q54=Parametres!$G$2,$Q54=Parametres!$G$3),K54,E54)</f>
        <v>1</v>
      </c>
      <c r="Q54" s="154" t="str">
        <f t="shared" si="5"/>
        <v>1-Mémo</v>
      </c>
      <c r="R54" s="153" t="str">
        <f t="shared" si="5"/>
        <v>50</v>
      </c>
      <c r="S54" s="154">
        <f t="shared" si="5"/>
        <v>0</v>
      </c>
      <c r="T54" s="156" t="str">
        <f>+VLOOKUP($L54,Data_Validation!$A:$D,1,0)</f>
        <v>621</v>
      </c>
      <c r="U54" s="156">
        <f>+VLOOKUP($L54,Data_Validation!$A:$D,3,0)</f>
        <v>0</v>
      </c>
      <c r="V54" s="156">
        <f>+VLOOKUP($L54,Data_Validation!$A:$D,4,0)</f>
        <v>0</v>
      </c>
      <c r="W54" s="156" t="str">
        <f>+VLOOKUP($L54,Data_Validation!$A:$E,5,0)</f>
        <v>$</v>
      </c>
      <c r="X54" s="156">
        <f>+VLOOKUP($L54,Data_Validation!$A:$F,6,0)</f>
        <v>0</v>
      </c>
    </row>
    <row r="55" spans="1:24" ht="15" hidden="1" customHeight="1">
      <c r="A55" s="1013" t="s">
        <v>2361</v>
      </c>
      <c r="B55" s="1013" t="s">
        <v>2362</v>
      </c>
      <c r="C55" s="1014"/>
      <c r="D55" s="1014"/>
      <c r="E55" s="1014"/>
      <c r="F55" s="1013" t="s">
        <v>1</v>
      </c>
      <c r="G55" s="1013" t="s">
        <v>2215</v>
      </c>
      <c r="H55" s="1014"/>
      <c r="I55" s="1015">
        <v>1</v>
      </c>
      <c r="J55" s="1015">
        <v>0</v>
      </c>
      <c r="K55" s="1015">
        <v>1</v>
      </c>
      <c r="L55" s="153" t="str">
        <f t="shared" si="0"/>
        <v>622</v>
      </c>
      <c r="M55" s="154" t="str">
        <f t="shared" si="1"/>
        <v>LAVEURS USAGES</v>
      </c>
      <c r="N55" s="155">
        <f>+IF(OR($Q55=Parametres!$G$2,$Q55=Parametres!$G$3),I55,C55)</f>
        <v>1</v>
      </c>
      <c r="O55" s="155">
        <f>+IF(OR($Q55=Parametres!$G$2,$Q55=Parametres!$G$3),J55,D55)</f>
        <v>0</v>
      </c>
      <c r="P55" s="155">
        <f>+IF(OR($Q55=Parametres!$G$2,$Q55=Parametres!$G$3),K55,E55)</f>
        <v>1</v>
      </c>
      <c r="Q55" s="154" t="str">
        <f t="shared" si="5"/>
        <v>1-Mémo</v>
      </c>
      <c r="R55" s="153" t="str">
        <f t="shared" si="5"/>
        <v>50</v>
      </c>
      <c r="S55" s="154">
        <f t="shared" si="5"/>
        <v>0</v>
      </c>
      <c r="T55" s="156" t="str">
        <f>+VLOOKUP($L55,Data_Validation!$A:$D,1,0)</f>
        <v>622</v>
      </c>
      <c r="U55" s="156">
        <f>+VLOOKUP($L55,Data_Validation!$A:$D,3,0)</f>
        <v>0</v>
      </c>
      <c r="V55" s="156">
        <f>+VLOOKUP($L55,Data_Validation!$A:$D,4,0)</f>
        <v>0</v>
      </c>
      <c r="W55" s="156" t="str">
        <f>+VLOOKUP($L55,Data_Validation!$A:$E,5,0)</f>
        <v>$</v>
      </c>
      <c r="X55" s="156">
        <f>+VLOOKUP($L55,Data_Validation!$A:$F,6,0)</f>
        <v>0</v>
      </c>
    </row>
    <row r="56" spans="1:24" ht="15.75" hidden="1" customHeight="1">
      <c r="A56" s="1013" t="s">
        <v>2363</v>
      </c>
      <c r="B56" s="1013" t="s">
        <v>2364</v>
      </c>
      <c r="C56" s="1014"/>
      <c r="D56" s="1014"/>
      <c r="E56" s="1014"/>
      <c r="F56" s="1013" t="s">
        <v>1</v>
      </c>
      <c r="G56" s="1013" t="s">
        <v>2215</v>
      </c>
      <c r="H56" s="1014"/>
      <c r="I56" s="1015">
        <v>3</v>
      </c>
      <c r="J56" s="1015">
        <v>0</v>
      </c>
      <c r="K56" s="1015">
        <v>3</v>
      </c>
      <c r="L56" s="153" t="str">
        <f t="shared" si="0"/>
        <v>624</v>
      </c>
      <c r="M56" s="154" t="str">
        <f t="shared" si="1"/>
        <v>LAVEURS SERVICE</v>
      </c>
      <c r="N56" s="155">
        <f>+IF(OR($Q56=Parametres!$G$2,$Q56=Parametres!$G$3),I56,C56)</f>
        <v>3</v>
      </c>
      <c r="O56" s="575">
        <f>+IF(OR($Q56=Parametres!$G$2,$Q56=Parametres!$G$3),J56,D56)</f>
        <v>0</v>
      </c>
      <c r="P56" s="155">
        <f>+IF(OR($Q56=Parametres!$G$2,$Q56=Parametres!$G$3),K56,E56)</f>
        <v>3</v>
      </c>
      <c r="Q56" s="154" t="str">
        <f t="shared" si="5"/>
        <v>1-Mémo</v>
      </c>
      <c r="R56" s="153" t="str">
        <f t="shared" si="5"/>
        <v>50</v>
      </c>
      <c r="S56" s="154">
        <f t="shared" si="5"/>
        <v>0</v>
      </c>
      <c r="T56" s="156" t="str">
        <f>+VLOOKUP($L56,Data_Validation!$A:$D,1,0)</f>
        <v>624</v>
      </c>
      <c r="U56" s="156">
        <f>+VLOOKUP($L56,Data_Validation!$A:$D,3,0)</f>
        <v>0</v>
      </c>
      <c r="V56" s="156">
        <f>+VLOOKUP($L56,Data_Validation!$A:$D,4,0)</f>
        <v>0</v>
      </c>
      <c r="W56" s="156" t="str">
        <f>+VLOOKUP($L56,Data_Validation!$A:$E,5,0)</f>
        <v>$</v>
      </c>
      <c r="X56" s="156">
        <f>+VLOOKUP($L56,Data_Validation!$A:$F,6,0)</f>
        <v>0</v>
      </c>
    </row>
    <row r="57" spans="1:24" ht="15" hidden="1" customHeight="1">
      <c r="A57" s="1013" t="s">
        <v>2365</v>
      </c>
      <c r="B57" s="1013" t="s">
        <v>2366</v>
      </c>
      <c r="C57" s="1014"/>
      <c r="D57" s="1014"/>
      <c r="E57" s="1014"/>
      <c r="F57" s="1013" t="s">
        <v>1</v>
      </c>
      <c r="G57" s="1013" t="s">
        <v>2367</v>
      </c>
      <c r="H57" s="1014"/>
      <c r="I57" s="1015">
        <v>13</v>
      </c>
      <c r="J57" s="1015">
        <v>0</v>
      </c>
      <c r="K57" s="1015">
        <v>13</v>
      </c>
      <c r="L57" s="153" t="str">
        <f t="shared" si="0"/>
        <v>644</v>
      </c>
      <c r="M57" s="154" t="str">
        <f t="shared" si="1"/>
        <v>VW TECHNICIENS - SERVICE</v>
      </c>
      <c r="N57" s="155">
        <f>+IF(OR($Q57=Parametres!$G$2,$Q57=Parametres!$G$3),I57,C57)</f>
        <v>13</v>
      </c>
      <c r="O57" s="155">
        <f>+IF(OR($Q57=Parametres!$G$2,$Q57=Parametres!$G$3),J57,D57)</f>
        <v>0</v>
      </c>
      <c r="P57" s="155">
        <f>+IF(OR($Q57=Parametres!$G$2,$Q57=Parametres!$G$3),K57,E57)</f>
        <v>13</v>
      </c>
      <c r="Q57" s="154" t="str">
        <f t="shared" si="5"/>
        <v>1-Mémo</v>
      </c>
      <c r="R57" s="153" t="str">
        <f t="shared" si="5"/>
        <v>64</v>
      </c>
      <c r="S57" s="154">
        <f t="shared" si="5"/>
        <v>0</v>
      </c>
      <c r="T57" s="156" t="str">
        <f>+VLOOKUP($L57,Data_Validation!$A:$D,1,0)</f>
        <v>644</v>
      </c>
      <c r="U57" s="156">
        <f>+VLOOKUP($L57,Data_Validation!$A:$D,3,0)</f>
        <v>0</v>
      </c>
      <c r="V57" s="156">
        <f>+VLOOKUP($L57,Data_Validation!$A:$D,4,0)</f>
        <v>0</v>
      </c>
      <c r="W57" s="156" t="str">
        <f>+VLOOKUP($L57,Data_Validation!$A:$E,5,0)</f>
        <v>$</v>
      </c>
      <c r="X57" s="156">
        <f>+VLOOKUP($L57,Data_Validation!$A:$F,6,0)</f>
        <v>0</v>
      </c>
    </row>
    <row r="58" spans="1:24" ht="15" hidden="1" customHeight="1">
      <c r="A58" s="1013" t="s">
        <v>2368</v>
      </c>
      <c r="B58" s="1013" t="s">
        <v>2369</v>
      </c>
      <c r="C58" s="1014"/>
      <c r="D58" s="1014"/>
      <c r="E58" s="1014"/>
      <c r="F58" s="1013" t="s">
        <v>1</v>
      </c>
      <c r="G58" s="1013" t="s">
        <v>2215</v>
      </c>
      <c r="H58" s="1014"/>
      <c r="I58" s="1015">
        <v>0.2</v>
      </c>
      <c r="J58" s="1015">
        <v>0</v>
      </c>
      <c r="K58" s="1015">
        <v>0.2</v>
      </c>
      <c r="L58" s="153" t="str">
        <f t="shared" si="0"/>
        <v>651</v>
      </c>
      <c r="M58" s="154" t="str">
        <f t="shared" si="1"/>
        <v>DIR. ADMINIS. NEUFS</v>
      </c>
      <c r="N58" s="155">
        <f>+IF(OR($Q58=Parametres!$G$2,$Q58=Parametres!$G$3),I58,C58)</f>
        <v>0.2</v>
      </c>
      <c r="O58" s="155">
        <f>+IF(OR($Q58=Parametres!$G$2,$Q58=Parametres!$G$3),J58,D58)</f>
        <v>0</v>
      </c>
      <c r="P58" s="155">
        <f>+IF(OR($Q58=Parametres!$G$2,$Q58=Parametres!$G$3),K58,E58)</f>
        <v>0.2</v>
      </c>
      <c r="Q58" s="154" t="str">
        <f t="shared" si="5"/>
        <v>1-Mémo</v>
      </c>
      <c r="R58" s="153" t="str">
        <f t="shared" si="5"/>
        <v>50</v>
      </c>
      <c r="S58" s="154">
        <f t="shared" si="5"/>
        <v>0</v>
      </c>
      <c r="T58" s="156" t="str">
        <f>+VLOOKUP($L58,Data_Validation!$A:$D,1,0)</f>
        <v>651</v>
      </c>
      <c r="U58" s="156">
        <f>+VLOOKUP($L58,Data_Validation!$A:$D,3,0)</f>
        <v>0</v>
      </c>
      <c r="V58" s="156">
        <f>+VLOOKUP($L58,Data_Validation!$A:$D,4,0)</f>
        <v>0</v>
      </c>
      <c r="W58" s="156" t="str">
        <f>+VLOOKUP($L58,Data_Validation!$A:$E,5,0)</f>
        <v>$</v>
      </c>
      <c r="X58" s="156">
        <f>+VLOOKUP($L58,Data_Validation!$A:$F,6,0)</f>
        <v>0</v>
      </c>
    </row>
    <row r="59" spans="1:24" ht="15" hidden="1" customHeight="1">
      <c r="A59" s="1013" t="s">
        <v>2370</v>
      </c>
      <c r="B59" s="1013" t="s">
        <v>2371</v>
      </c>
      <c r="C59" s="1014"/>
      <c r="D59" s="1014"/>
      <c r="E59" s="1014"/>
      <c r="F59" s="1013" t="s">
        <v>1</v>
      </c>
      <c r="G59" s="1013" t="s">
        <v>2215</v>
      </c>
      <c r="H59" s="1014"/>
      <c r="I59" s="1015">
        <v>0.2</v>
      </c>
      <c r="J59" s="1015">
        <v>0</v>
      </c>
      <c r="K59" s="1015">
        <v>0.2</v>
      </c>
      <c r="L59" s="153" t="str">
        <f t="shared" si="0"/>
        <v>652</v>
      </c>
      <c r="M59" s="154" t="str">
        <f t="shared" si="1"/>
        <v>DIR. ADMINIS. USAGES</v>
      </c>
      <c r="N59" s="155">
        <f>+IF(OR($Q59=Parametres!$G$2,$Q59=Parametres!$G$3),I59,C59)</f>
        <v>0.2</v>
      </c>
      <c r="O59" s="155">
        <f>+IF(OR($Q59=Parametres!$G$2,$Q59=Parametres!$G$3),J59,D59)</f>
        <v>0</v>
      </c>
      <c r="P59" s="155">
        <f>+IF(OR($Q59=Parametres!$G$2,$Q59=Parametres!$G$3),K59,E59)</f>
        <v>0.2</v>
      </c>
      <c r="Q59" s="154" t="str">
        <f t="shared" si="5"/>
        <v>1-Mémo</v>
      </c>
      <c r="R59" s="153" t="str">
        <f t="shared" si="5"/>
        <v>50</v>
      </c>
      <c r="S59" s="154">
        <f t="shared" si="5"/>
        <v>0</v>
      </c>
      <c r="T59" s="156" t="str">
        <f>+VLOOKUP($L59,Data_Validation!$A:$D,1,0)</f>
        <v>652</v>
      </c>
      <c r="U59" s="156">
        <f>+VLOOKUP($L59,Data_Validation!$A:$D,3,0)</f>
        <v>0</v>
      </c>
      <c r="V59" s="156">
        <f>+VLOOKUP($L59,Data_Validation!$A:$D,4,0)</f>
        <v>0</v>
      </c>
      <c r="W59" s="156" t="str">
        <f>+VLOOKUP($L59,Data_Validation!$A:$E,5,0)</f>
        <v>$</v>
      </c>
      <c r="X59" s="156">
        <f>+VLOOKUP($L59,Data_Validation!$A:$F,6,0)</f>
        <v>0</v>
      </c>
    </row>
    <row r="60" spans="1:24" ht="15" hidden="1" customHeight="1">
      <c r="A60" s="1013" t="s">
        <v>2372</v>
      </c>
      <c r="B60" s="1013" t="s">
        <v>2373</v>
      </c>
      <c r="C60" s="1035"/>
      <c r="D60" s="1035"/>
      <c r="E60" s="1035"/>
      <c r="F60" s="1013" t="s">
        <v>1</v>
      </c>
      <c r="G60" s="1013" t="s">
        <v>2215</v>
      </c>
      <c r="H60" s="1014"/>
      <c r="I60" s="1015">
        <v>0.2</v>
      </c>
      <c r="J60" s="1015">
        <v>0</v>
      </c>
      <c r="K60" s="1015">
        <v>0.2</v>
      </c>
      <c r="L60" s="153" t="str">
        <f t="shared" si="0"/>
        <v>654</v>
      </c>
      <c r="M60" s="154" t="str">
        <f t="shared" si="1"/>
        <v>DIR. ADMINIS. SERVICE</v>
      </c>
      <c r="N60" s="155">
        <f>+IF(OR($Q60=Parametres!$G$2,$Q60=Parametres!$G$3),I60,C60)</f>
        <v>0.2</v>
      </c>
      <c r="O60" s="575">
        <f>+IF(OR($Q60=Parametres!$G$2,$Q60=Parametres!$G$3),J60,D60)</f>
        <v>0</v>
      </c>
      <c r="P60" s="155">
        <f>+IF(OR($Q60=Parametres!$G$2,$Q60=Parametres!$G$3),K60,E60)</f>
        <v>0.2</v>
      </c>
      <c r="Q60" s="154" t="str">
        <f t="shared" si="5"/>
        <v>1-Mémo</v>
      </c>
      <c r="R60" s="153" t="str">
        <f t="shared" si="5"/>
        <v>50</v>
      </c>
      <c r="S60" s="154">
        <f t="shared" si="5"/>
        <v>0</v>
      </c>
      <c r="T60" s="156" t="str">
        <f>+VLOOKUP($L60,Data_Validation!$A:$D,1,0)</f>
        <v>654</v>
      </c>
      <c r="U60" s="156">
        <f>+VLOOKUP($L60,Data_Validation!$A:$D,3,0)</f>
        <v>0</v>
      </c>
      <c r="V60" s="156">
        <f>+VLOOKUP($L60,Data_Validation!$A:$D,4,0)</f>
        <v>0</v>
      </c>
      <c r="W60" s="156" t="str">
        <f>+VLOOKUP($L60,Data_Validation!$A:$E,5,0)</f>
        <v>$</v>
      </c>
      <c r="X60" s="156">
        <f>+VLOOKUP($L60,Data_Validation!$A:$F,6,0)</f>
        <v>0</v>
      </c>
    </row>
    <row r="61" spans="1:24" ht="15" hidden="1" customHeight="1">
      <c r="A61" s="1013" t="s">
        <v>2374</v>
      </c>
      <c r="B61" s="1013" t="s">
        <v>2375</v>
      </c>
      <c r="C61" s="1015"/>
      <c r="D61" s="1015"/>
      <c r="E61" s="1015"/>
      <c r="F61" s="1013" t="s">
        <v>1</v>
      </c>
      <c r="G61" s="1013" t="s">
        <v>2215</v>
      </c>
      <c r="H61" s="1014"/>
      <c r="I61" s="1014">
        <v>0.2</v>
      </c>
      <c r="J61" s="1014">
        <v>0</v>
      </c>
      <c r="K61" s="1014">
        <v>0.2</v>
      </c>
      <c r="L61" s="153" t="str">
        <f t="shared" si="0"/>
        <v>655</v>
      </c>
      <c r="M61" s="154" t="str">
        <f t="shared" si="1"/>
        <v>DIR. ADMINIS. CARROSS.</v>
      </c>
      <c r="N61" s="155">
        <f>+IF(OR($Q61=Parametres!$G$2,$Q61=Parametres!$G$3),I61,C61)</f>
        <v>0.2</v>
      </c>
      <c r="O61" s="575">
        <f>+IF(OR($Q61=Parametres!$G$2,$Q61=Parametres!$G$3),J61,D61)</f>
        <v>0</v>
      </c>
      <c r="P61" s="155">
        <f>+IF(OR($Q61=Parametres!$G$2,$Q61=Parametres!$G$3),K61,E61)</f>
        <v>0.2</v>
      </c>
      <c r="Q61" s="154" t="str">
        <f t="shared" si="5"/>
        <v>1-Mémo</v>
      </c>
      <c r="R61" s="153" t="str">
        <f t="shared" si="5"/>
        <v>50</v>
      </c>
      <c r="S61" s="154">
        <f t="shared" si="5"/>
        <v>0</v>
      </c>
      <c r="T61" s="156" t="str">
        <f>+VLOOKUP($L61,Data_Validation!$A:$D,1,0)</f>
        <v>655</v>
      </c>
      <c r="U61" s="156">
        <f>+VLOOKUP($L61,Data_Validation!$A:$D,3,0)</f>
        <v>0</v>
      </c>
      <c r="V61" s="156">
        <f>+VLOOKUP($L61,Data_Validation!$A:$D,4,0)</f>
        <v>0</v>
      </c>
      <c r="W61" s="156" t="str">
        <f>+VLOOKUP($L61,Data_Validation!$A:$E,5,0)</f>
        <v>$</v>
      </c>
      <c r="X61" s="156">
        <f>+VLOOKUP($L61,Data_Validation!$A:$F,6,0)</f>
        <v>0</v>
      </c>
    </row>
    <row r="62" spans="1:24" ht="15" hidden="1" customHeight="1">
      <c r="A62" s="1013" t="s">
        <v>2376</v>
      </c>
      <c r="B62" s="1013" t="s">
        <v>2377</v>
      </c>
      <c r="C62" s="1015"/>
      <c r="D62" s="1015"/>
      <c r="E62" s="1015"/>
      <c r="F62" s="1013" t="s">
        <v>1</v>
      </c>
      <c r="G62" s="1013" t="s">
        <v>2215</v>
      </c>
      <c r="H62" s="1014"/>
      <c r="I62" s="1014">
        <v>0.2</v>
      </c>
      <c r="J62" s="1014">
        <v>0</v>
      </c>
      <c r="K62" s="1014">
        <v>0.2</v>
      </c>
      <c r="L62" s="153" t="str">
        <f t="shared" si="0"/>
        <v>657</v>
      </c>
      <c r="M62" s="154" t="str">
        <f t="shared" si="1"/>
        <v>DIR. ADMINIS. PIECES</v>
      </c>
      <c r="N62" s="155">
        <f>+IF(OR($Q62=Parametres!$G$2,$Q62=Parametres!$G$3),I62,C62)</f>
        <v>0.2</v>
      </c>
      <c r="O62" s="155">
        <f>+IF(OR($Q62=Parametres!$G$2,$Q62=Parametres!$G$3),J62,D62)</f>
        <v>0</v>
      </c>
      <c r="P62" s="155">
        <f>+IF(OR($Q62=Parametres!$G$2,$Q62=Parametres!$G$3),K62,E62)</f>
        <v>0.2</v>
      </c>
      <c r="Q62" s="154" t="str">
        <f t="shared" si="5"/>
        <v>1-Mémo</v>
      </c>
      <c r="R62" s="153" t="str">
        <f t="shared" si="5"/>
        <v>50</v>
      </c>
      <c r="S62" s="154">
        <f t="shared" si="5"/>
        <v>0</v>
      </c>
      <c r="T62" s="156" t="str">
        <f>+VLOOKUP($L62,Data_Validation!$A:$D,1,0)</f>
        <v>657</v>
      </c>
      <c r="U62" s="156">
        <f>+VLOOKUP($L62,Data_Validation!$A:$D,3,0)</f>
        <v>0</v>
      </c>
      <c r="V62" s="156">
        <f>+VLOOKUP($L62,Data_Validation!$A:$D,4,0)</f>
        <v>0</v>
      </c>
      <c r="W62" s="156" t="str">
        <f>+VLOOKUP($L62,Data_Validation!$A:$E,5,0)</f>
        <v>$</v>
      </c>
      <c r="X62" s="156">
        <f>+VLOOKUP($L62,Data_Validation!$A:$F,6,0)</f>
        <v>0</v>
      </c>
    </row>
    <row r="63" spans="1:24" ht="15" hidden="1" customHeight="1">
      <c r="A63" s="1013" t="s">
        <v>2378</v>
      </c>
      <c r="B63" s="1013" t="s">
        <v>2379</v>
      </c>
      <c r="C63" s="1015"/>
      <c r="D63" s="1015"/>
      <c r="E63" s="1015"/>
      <c r="F63" s="1013" t="s">
        <v>1</v>
      </c>
      <c r="G63" s="1013" t="s">
        <v>2215</v>
      </c>
      <c r="H63" s="1014"/>
      <c r="I63" s="1014">
        <v>1</v>
      </c>
      <c r="J63" s="1014">
        <v>0</v>
      </c>
      <c r="K63" s="1014">
        <v>1</v>
      </c>
      <c r="L63" s="153" t="str">
        <f t="shared" si="0"/>
        <v>661</v>
      </c>
      <c r="M63" s="154" t="str">
        <f t="shared" si="1"/>
        <v>PERSONELS CLER. NEUFS</v>
      </c>
      <c r="N63" s="155">
        <f>+IF(OR($Q63=Parametres!$G$2,$Q63=Parametres!$G$3),I63,C63)</f>
        <v>1</v>
      </c>
      <c r="O63" s="155">
        <f>+IF(OR($Q63=Parametres!$G$2,$Q63=Parametres!$G$3),J63,D63)</f>
        <v>0</v>
      </c>
      <c r="P63" s="155">
        <f>+IF(OR($Q63=Parametres!$G$2,$Q63=Parametres!$G$3),K63,E63)</f>
        <v>1</v>
      </c>
      <c r="Q63" s="154" t="str">
        <f t="shared" si="5"/>
        <v>1-Mémo</v>
      </c>
      <c r="R63" s="153" t="str">
        <f t="shared" si="5"/>
        <v>50</v>
      </c>
      <c r="S63" s="154">
        <f t="shared" si="5"/>
        <v>0</v>
      </c>
      <c r="T63" s="156" t="str">
        <f>+VLOOKUP($L63,Data_Validation!$A:$D,1,0)</f>
        <v>661</v>
      </c>
      <c r="U63" s="156">
        <f>+VLOOKUP($L63,Data_Validation!$A:$D,3,0)</f>
        <v>0</v>
      </c>
      <c r="V63" s="156">
        <f>+VLOOKUP($L63,Data_Validation!$A:$D,4,0)</f>
        <v>0</v>
      </c>
      <c r="W63" s="156" t="str">
        <f>+VLOOKUP($L63,Data_Validation!$A:$E,5,0)</f>
        <v>$</v>
      </c>
      <c r="X63" s="156">
        <f>+VLOOKUP($L63,Data_Validation!$A:$F,6,0)</f>
        <v>0</v>
      </c>
    </row>
    <row r="64" spans="1:24" ht="15" hidden="1" customHeight="1">
      <c r="A64" s="1013" t="s">
        <v>2380</v>
      </c>
      <c r="B64" s="1013" t="s">
        <v>2381</v>
      </c>
      <c r="C64" s="1015"/>
      <c r="D64" s="1015"/>
      <c r="E64" s="1015"/>
      <c r="F64" s="1013" t="s">
        <v>1</v>
      </c>
      <c r="G64" s="1013" t="s">
        <v>2215</v>
      </c>
      <c r="H64" s="1014"/>
      <c r="I64" s="1014">
        <v>1</v>
      </c>
      <c r="J64" s="1014">
        <v>0</v>
      </c>
      <c r="K64" s="1014">
        <v>1</v>
      </c>
      <c r="L64" s="153" t="str">
        <f t="shared" si="0"/>
        <v>662</v>
      </c>
      <c r="M64" s="154" t="str">
        <f t="shared" si="1"/>
        <v>PERSONELS CLER. USAGES</v>
      </c>
      <c r="N64" s="155">
        <f>+IF(OR($Q64=Parametres!$G$2,$Q64=Parametres!$G$3),I64,C64)</f>
        <v>1</v>
      </c>
      <c r="O64" s="155">
        <f>+IF(OR($Q64=Parametres!$G$2,$Q64=Parametres!$G$3),J64,D64)</f>
        <v>0</v>
      </c>
      <c r="P64" s="155">
        <f>+IF(OR($Q64=Parametres!$G$2,$Q64=Parametres!$G$3),K64,E64)</f>
        <v>1</v>
      </c>
      <c r="Q64" s="154" t="str">
        <f t="shared" si="5"/>
        <v>1-Mémo</v>
      </c>
      <c r="R64" s="153" t="str">
        <f t="shared" si="5"/>
        <v>50</v>
      </c>
      <c r="S64" s="154">
        <f t="shared" si="5"/>
        <v>0</v>
      </c>
      <c r="T64" s="156" t="str">
        <f>+VLOOKUP($L64,Data_Validation!$A:$D,1,0)</f>
        <v>662</v>
      </c>
      <c r="U64" s="156">
        <f>+VLOOKUP($L64,Data_Validation!$A:$D,3,0)</f>
        <v>0</v>
      </c>
      <c r="V64" s="156">
        <f>+VLOOKUP($L64,Data_Validation!$A:$D,4,0)</f>
        <v>0</v>
      </c>
      <c r="W64" s="156" t="str">
        <f>+VLOOKUP($L64,Data_Validation!$A:$E,5,0)</f>
        <v>$</v>
      </c>
      <c r="X64" s="156">
        <f>+VLOOKUP($L64,Data_Validation!$A:$F,6,0)</f>
        <v>0</v>
      </c>
    </row>
    <row r="65" spans="1:24" ht="15" hidden="1" customHeight="1">
      <c r="A65" s="1013" t="s">
        <v>2382</v>
      </c>
      <c r="B65" s="1013" t="s">
        <v>2383</v>
      </c>
      <c r="C65" s="1015"/>
      <c r="D65" s="1015"/>
      <c r="E65" s="1015"/>
      <c r="F65" s="1013" t="s">
        <v>1</v>
      </c>
      <c r="G65" s="1013" t="s">
        <v>2215</v>
      </c>
      <c r="H65" s="1014"/>
      <c r="I65" s="1014">
        <v>1</v>
      </c>
      <c r="J65" s="1014">
        <v>0</v>
      </c>
      <c r="K65" s="1014">
        <v>1</v>
      </c>
      <c r="L65" s="153" t="str">
        <f t="shared" si="0"/>
        <v>664</v>
      </c>
      <c r="M65" s="154" t="str">
        <f t="shared" si="1"/>
        <v>PERSONELS CLER. SERVICE</v>
      </c>
      <c r="N65" s="155">
        <f>+IF(OR($Q65=Parametres!$G$2,$Q65=Parametres!$G$3),I65,C65)</f>
        <v>1</v>
      </c>
      <c r="O65" s="577">
        <f>+IF(OR($Q65=Parametres!$G$2,$Q65=Parametres!$G$3),J65,D65)</f>
        <v>0</v>
      </c>
      <c r="P65" s="155">
        <f>+IF(OR($Q65=Parametres!$G$2,$Q65=Parametres!$G$3),K65,E65)</f>
        <v>1</v>
      </c>
      <c r="Q65" s="154" t="str">
        <f t="shared" si="5"/>
        <v>1-Mémo</v>
      </c>
      <c r="R65" s="153" t="str">
        <f t="shared" si="5"/>
        <v>50</v>
      </c>
      <c r="S65" s="154">
        <f t="shared" si="5"/>
        <v>0</v>
      </c>
      <c r="T65" s="156" t="str">
        <f>+VLOOKUP($L65,Data_Validation!$A:$D,1,0)</f>
        <v>664</v>
      </c>
      <c r="U65" s="156">
        <f>+VLOOKUP($L65,Data_Validation!$A:$D,3,0)</f>
        <v>0</v>
      </c>
      <c r="V65" s="156">
        <f>+VLOOKUP($L65,Data_Validation!$A:$D,4,0)</f>
        <v>0</v>
      </c>
      <c r="W65" s="156" t="str">
        <f>+VLOOKUP($L65,Data_Validation!$A:$E,5,0)</f>
        <v>$</v>
      </c>
      <c r="X65" s="156">
        <f>+VLOOKUP($L65,Data_Validation!$A:$F,6,0)</f>
        <v>0</v>
      </c>
    </row>
    <row r="66" spans="1:24" ht="15" hidden="1" customHeight="1">
      <c r="A66" s="1013" t="s">
        <v>2384</v>
      </c>
      <c r="B66" s="1013" t="s">
        <v>2385</v>
      </c>
      <c r="C66" s="1015"/>
      <c r="D66" s="1015"/>
      <c r="E66" s="1015"/>
      <c r="F66" s="1013" t="s">
        <v>1</v>
      </c>
      <c r="G66" s="1013" t="s">
        <v>2215</v>
      </c>
      <c r="H66" s="1014"/>
      <c r="I66" s="1014">
        <v>1</v>
      </c>
      <c r="J66" s="1014">
        <v>0</v>
      </c>
      <c r="K66" s="1014">
        <v>1</v>
      </c>
      <c r="L66" s="153" t="str">
        <f t="shared" si="0"/>
        <v>667</v>
      </c>
      <c r="M66" s="154" t="str">
        <f t="shared" si="1"/>
        <v>PERSONELS CLER. PIECES</v>
      </c>
      <c r="N66" s="155">
        <f>+IF(OR($Q66=Parametres!$G$2,$Q66=Parametres!$G$3),I66,C66)</f>
        <v>1</v>
      </c>
      <c r="O66" s="155">
        <f>+IF(OR($Q66=Parametres!$G$2,$Q66=Parametres!$G$3),J66,D66)</f>
        <v>0</v>
      </c>
      <c r="P66" s="155">
        <f>+IF(OR($Q66=Parametres!$G$2,$Q66=Parametres!$G$3),K66,E66)</f>
        <v>1</v>
      </c>
      <c r="Q66" s="154" t="str">
        <f t="shared" ref="Q66:S81" si="6">+F66</f>
        <v>1-Mémo</v>
      </c>
      <c r="R66" s="153" t="str">
        <f t="shared" si="6"/>
        <v>50</v>
      </c>
      <c r="S66" s="154">
        <f t="shared" si="6"/>
        <v>0</v>
      </c>
      <c r="T66" s="156" t="str">
        <f>+VLOOKUP($L66,Data_Validation!$A:$D,1,0)</f>
        <v>667</v>
      </c>
      <c r="U66" s="156">
        <f>+VLOOKUP($L66,Data_Validation!$A:$D,3,0)</f>
        <v>0</v>
      </c>
      <c r="V66" s="156">
        <f>+VLOOKUP($L66,Data_Validation!$A:$D,4,0)</f>
        <v>0</v>
      </c>
      <c r="W66" s="156" t="str">
        <f>+VLOOKUP($L66,Data_Validation!$A:$E,5,0)</f>
        <v>$</v>
      </c>
      <c r="X66" s="156">
        <f>+VLOOKUP($L66,Data_Validation!$A:$F,6,0)</f>
        <v>0</v>
      </c>
    </row>
    <row r="67" spans="1:24" ht="15" hidden="1" customHeight="1">
      <c r="A67" s="1013" t="s">
        <v>2386</v>
      </c>
      <c r="B67" s="1013" t="s">
        <v>2387</v>
      </c>
      <c r="C67" s="1015"/>
      <c r="D67" s="1015"/>
      <c r="E67" s="1015"/>
      <c r="F67" s="1013" t="s">
        <v>1</v>
      </c>
      <c r="G67" s="1013" t="s">
        <v>2388</v>
      </c>
      <c r="H67" s="1014"/>
      <c r="I67" s="1014">
        <v>3</v>
      </c>
      <c r="J67" s="1014">
        <v>0</v>
      </c>
      <c r="K67" s="1014">
        <v>3</v>
      </c>
      <c r="L67" s="153" t="str">
        <f t="shared" si="0"/>
        <v>677</v>
      </c>
      <c r="M67" s="154" t="str">
        <f t="shared" si="1"/>
        <v>VW PIECES</v>
      </c>
      <c r="N67" s="155">
        <f>+IF(OR($Q67=Parametres!$G$2,$Q67=Parametres!$G$3),I67,C67)</f>
        <v>3</v>
      </c>
      <c r="O67" s="575">
        <f>+IF(OR($Q67=Parametres!$G$2,$Q67=Parametres!$G$3),J67,D67)</f>
        <v>0</v>
      </c>
      <c r="P67" s="155">
        <f>+IF(OR($Q67=Parametres!$G$2,$Q67=Parametres!$G$3),K67,E67)</f>
        <v>3</v>
      </c>
      <c r="Q67" s="154" t="str">
        <f t="shared" si="6"/>
        <v>1-Mémo</v>
      </c>
      <c r="R67" s="153" t="str">
        <f t="shared" si="6"/>
        <v>67</v>
      </c>
      <c r="S67" s="154">
        <f t="shared" si="6"/>
        <v>0</v>
      </c>
      <c r="T67" s="156" t="str">
        <f>+VLOOKUP($L67,Data_Validation!$A:$D,1,0)</f>
        <v>677</v>
      </c>
      <c r="U67" s="156">
        <f>+VLOOKUP($L67,Data_Validation!$A:$D,3,0)</f>
        <v>0</v>
      </c>
      <c r="V67" s="156">
        <f>+VLOOKUP($L67,Data_Validation!$A:$D,4,0)</f>
        <v>0</v>
      </c>
      <c r="W67" s="156" t="str">
        <f>+VLOOKUP($L67,Data_Validation!$A:$E,5,0)</f>
        <v>$</v>
      </c>
      <c r="X67" s="156">
        <f>+VLOOKUP($L67,Data_Validation!$A:$F,6,0)</f>
        <v>0</v>
      </c>
    </row>
    <row r="68" spans="1:24" ht="15" hidden="1" customHeight="1">
      <c r="A68" s="1013" t="s">
        <v>2854</v>
      </c>
      <c r="B68" s="1013" t="s">
        <v>2393</v>
      </c>
      <c r="C68" s="1015">
        <v>1334089.08</v>
      </c>
      <c r="D68" s="1015">
        <v>200876.96</v>
      </c>
      <c r="E68" s="1015">
        <v>1534966.04</v>
      </c>
      <c r="F68" s="1013" t="s">
        <v>293</v>
      </c>
      <c r="G68" s="1013" t="s">
        <v>2393</v>
      </c>
      <c r="H68" s="1014"/>
      <c r="I68" s="1014"/>
      <c r="J68" s="1014"/>
      <c r="K68" s="1014"/>
      <c r="L68" s="153" t="str">
        <f t="shared" si="0"/>
        <v>1102</v>
      </c>
      <c r="M68" s="154" t="str">
        <f t="shared" si="1"/>
        <v>BANQUE DE COMMERCE C/C</v>
      </c>
      <c r="N68" s="155">
        <f>+IF(OR($Q68=Parametres!$G$2,$Q68=Parametres!$G$3),I68,C68)</f>
        <v>1334089.08</v>
      </c>
      <c r="O68" s="155">
        <f>+IF(OR($Q68=Parametres!$G$2,$Q68=Parametres!$G$3),J68,D68)</f>
        <v>200876.96</v>
      </c>
      <c r="P68" s="155">
        <f>+IF(OR($Q68=Parametres!$G$2,$Q68=Parametres!$G$3),K68,E68)</f>
        <v>1534966.04</v>
      </c>
      <c r="Q68" s="154" t="str">
        <f t="shared" si="6"/>
        <v>2-Actifs</v>
      </c>
      <c r="R68" s="153" t="str">
        <f t="shared" si="6"/>
        <v>1102</v>
      </c>
      <c r="S68" s="154">
        <f t="shared" si="6"/>
        <v>0</v>
      </c>
      <c r="T68" s="156" t="str">
        <f>+VLOOKUP($L68,Data_Validation!$A:$D,1,0)</f>
        <v>1102</v>
      </c>
      <c r="U68" s="156" t="str">
        <f>+VLOOKUP($L68,Data_Validation!$A:$D,3,0)</f>
        <v>Bilan</v>
      </c>
      <c r="V68" s="156" t="str">
        <f>+VLOOKUP($L68,Data_Validation!$A:$D,4,0)</f>
        <v>Encaisse</v>
      </c>
      <c r="W68" s="156" t="str">
        <f>+VLOOKUP($L68,Data_Validation!$A:$E,5,0)</f>
        <v>$</v>
      </c>
      <c r="X68" s="156">
        <f>+VLOOKUP($L68,Data_Validation!$A:$F,6,0)</f>
        <v>0</v>
      </c>
    </row>
    <row r="69" spans="1:24" ht="15" hidden="1" customHeight="1">
      <c r="A69" s="1013" t="s">
        <v>2391</v>
      </c>
      <c r="B69" s="1013" t="s">
        <v>2392</v>
      </c>
      <c r="C69" s="1015">
        <v>150</v>
      </c>
      <c r="D69" s="1015">
        <v>0</v>
      </c>
      <c r="E69" s="1015">
        <v>150</v>
      </c>
      <c r="F69" s="1013" t="s">
        <v>293</v>
      </c>
      <c r="G69" s="1013" t="s">
        <v>2393</v>
      </c>
      <c r="H69" s="1014"/>
      <c r="I69" s="1014"/>
      <c r="J69" s="1014"/>
      <c r="K69" s="1014"/>
      <c r="L69" s="153" t="str">
        <f t="shared" si="0"/>
        <v>1182</v>
      </c>
      <c r="M69" s="154" t="str">
        <f t="shared" si="1"/>
        <v>PETITE CAISSE</v>
      </c>
      <c r="N69" s="155">
        <f>+IF(OR($Q69=Parametres!$G$2,$Q69=Parametres!$G$3),I69,C69)</f>
        <v>150</v>
      </c>
      <c r="O69" s="155">
        <f>+IF(OR($Q69=Parametres!$G$2,$Q69=Parametres!$G$3),J69,D69)</f>
        <v>0</v>
      </c>
      <c r="P69" s="155">
        <f>+IF(OR($Q69=Parametres!$G$2,$Q69=Parametres!$G$3),K69,E69)</f>
        <v>150</v>
      </c>
      <c r="Q69" s="154" t="str">
        <f t="shared" si="6"/>
        <v>2-Actifs</v>
      </c>
      <c r="R69" s="153" t="str">
        <f t="shared" si="6"/>
        <v>1102</v>
      </c>
      <c r="S69" s="154">
        <f t="shared" si="6"/>
        <v>0</v>
      </c>
      <c r="T69" s="156" t="str">
        <f>+VLOOKUP($L69,Data_Validation!$A:$D,1,0)</f>
        <v>1182</v>
      </c>
      <c r="U69" s="156" t="str">
        <f>+VLOOKUP($L69,Data_Validation!$A:$D,3,0)</f>
        <v>Bilan</v>
      </c>
      <c r="V69" s="156" t="str">
        <f>+VLOOKUP($L69,Data_Validation!$A:$D,4,0)</f>
        <v>Encaisse</v>
      </c>
      <c r="W69" s="156" t="str">
        <f>+VLOOKUP($L69,Data_Validation!$A:$E,5,0)</f>
        <v>$</v>
      </c>
      <c r="X69" s="156">
        <f>+VLOOKUP($L69,Data_Validation!$A:$F,6,0)</f>
        <v>0</v>
      </c>
    </row>
    <row r="70" spans="1:24" ht="15" hidden="1" customHeight="1">
      <c r="A70" s="1013" t="s">
        <v>2183</v>
      </c>
      <c r="B70" s="1013" t="s">
        <v>2184</v>
      </c>
      <c r="C70" s="1015">
        <v>918872.76</v>
      </c>
      <c r="D70" s="1015">
        <v>745753.01</v>
      </c>
      <c r="E70" s="1015">
        <v>1664625.77</v>
      </c>
      <c r="F70" s="1013" t="s">
        <v>293</v>
      </c>
      <c r="G70" s="1013" t="s">
        <v>2184</v>
      </c>
      <c r="H70" s="1014"/>
      <c r="I70" s="1014"/>
      <c r="J70" s="1014"/>
      <c r="K70" s="1014"/>
      <c r="L70" s="153" t="str">
        <f t="shared" si="0"/>
        <v>1202</v>
      </c>
      <c r="M70" s="154" t="str">
        <f t="shared" si="1"/>
        <v>CONTRATS EN TRANSIT</v>
      </c>
      <c r="N70" s="155">
        <f>+IF(OR($Q70=Parametres!$G$2,$Q70=Parametres!$G$3),I70,C70)</f>
        <v>918872.76</v>
      </c>
      <c r="O70" s="155">
        <f>+IF(OR($Q70=Parametres!$G$2,$Q70=Parametres!$G$3),J70,D70)</f>
        <v>745753.01</v>
      </c>
      <c r="P70" s="155">
        <f>+IF(OR($Q70=Parametres!$G$2,$Q70=Parametres!$G$3),K70,E70)</f>
        <v>1664625.77</v>
      </c>
      <c r="Q70" s="154" t="str">
        <f t="shared" si="6"/>
        <v>2-Actifs</v>
      </c>
      <c r="R70" s="153" t="str">
        <f t="shared" si="6"/>
        <v>1202</v>
      </c>
      <c r="S70" s="154">
        <f t="shared" si="6"/>
        <v>0</v>
      </c>
      <c r="T70" s="156" t="str">
        <f>+VLOOKUP($L70,Data_Validation!$A:$D,1,0)</f>
        <v>1202</v>
      </c>
      <c r="U70" s="156" t="str">
        <f>+VLOOKUP($L70,Data_Validation!$A:$D,3,0)</f>
        <v>Bilan</v>
      </c>
      <c r="V70" s="156" t="str">
        <f>+VLOOKUP($L70,Data_Validation!$A:$D,4,0)</f>
        <v>Recevables Contrats en Transit</v>
      </c>
      <c r="W70" s="156" t="str">
        <f>+VLOOKUP($L70,Data_Validation!$A:$E,5,0)</f>
        <v>$</v>
      </c>
      <c r="X70" s="156">
        <f>+VLOOKUP($L70,Data_Validation!$A:$F,6,0)</f>
        <v>0</v>
      </c>
    </row>
    <row r="71" spans="1:24" ht="15" hidden="1" customHeight="1">
      <c r="A71" s="1013" t="s">
        <v>2027</v>
      </c>
      <c r="B71" s="1013" t="s">
        <v>2017</v>
      </c>
      <c r="C71" s="1015">
        <v>10973.4</v>
      </c>
      <c r="D71" s="1015">
        <v>24057.81</v>
      </c>
      <c r="E71" s="1015">
        <v>35031.21</v>
      </c>
      <c r="F71" s="1013" t="s">
        <v>293</v>
      </c>
      <c r="G71" s="1013" t="s">
        <v>2017</v>
      </c>
      <c r="H71" s="1014"/>
      <c r="I71" s="1014"/>
      <c r="J71" s="1014"/>
      <c r="K71" s="1014"/>
      <c r="L71" s="153" t="str">
        <f t="shared" si="0"/>
        <v>1302</v>
      </c>
      <c r="M71" s="154" t="str">
        <f t="shared" si="1"/>
        <v>RECEVABLE-CLIENT-VEHICULE</v>
      </c>
      <c r="N71" s="155">
        <f>+IF(OR($Q71=Parametres!$G$2,$Q71=Parametres!$G$3),I71,C71)</f>
        <v>10973.4</v>
      </c>
      <c r="O71" s="575">
        <f>+IF(OR($Q71=Parametres!$G$2,$Q71=Parametres!$G$3),J71,D71)</f>
        <v>24057.81</v>
      </c>
      <c r="P71" s="155">
        <f>+IF(OR($Q71=Parametres!$G$2,$Q71=Parametres!$G$3),K71,E71)</f>
        <v>35031.21</v>
      </c>
      <c r="Q71" s="154" t="str">
        <f t="shared" si="6"/>
        <v>2-Actifs</v>
      </c>
      <c r="R71" s="153" t="str">
        <f t="shared" si="6"/>
        <v>1302</v>
      </c>
      <c r="S71" s="154">
        <f t="shared" si="6"/>
        <v>0</v>
      </c>
      <c r="T71" s="156" t="str">
        <f>+VLOOKUP($L71,Data_Validation!$A:$D,1,0)</f>
        <v>1302</v>
      </c>
      <c r="U71" s="156" t="str">
        <f>+VLOOKUP($L71,Data_Validation!$A:$D,3,0)</f>
        <v>Bilan</v>
      </c>
      <c r="V71" s="156" t="str">
        <f>+VLOOKUP($L71,Data_Validation!$A:$D,4,0)</f>
        <v>Recevables Véhicules</v>
      </c>
      <c r="W71" s="156" t="str">
        <f>+VLOOKUP($L71,Data_Validation!$A:$E,5,0)</f>
        <v>$</v>
      </c>
      <c r="X71" s="156">
        <f>+VLOOKUP($L71,Data_Validation!$A:$F,6,0)</f>
        <v>0</v>
      </c>
    </row>
    <row r="72" spans="1:24" ht="15" hidden="1" customHeight="1">
      <c r="A72" s="1013" t="s">
        <v>2015</v>
      </c>
      <c r="B72" s="1013" t="s">
        <v>2016</v>
      </c>
      <c r="C72" s="1015">
        <v>25938.27</v>
      </c>
      <c r="D72" s="1015">
        <v>-32273.51</v>
      </c>
      <c r="E72" s="1015">
        <v>-6335.24</v>
      </c>
      <c r="F72" s="1013" t="s">
        <v>293</v>
      </c>
      <c r="G72" s="1013" t="s">
        <v>2017</v>
      </c>
      <c r="H72" s="1014"/>
      <c r="I72" s="1014"/>
      <c r="J72" s="1014"/>
      <c r="K72" s="1014"/>
      <c r="L72" s="153" t="str">
        <f t="shared" si="0"/>
        <v>1303</v>
      </c>
      <c r="M72" s="154" t="str">
        <f t="shared" si="1"/>
        <v>RECEVABLES LPA ET AU GROS</v>
      </c>
      <c r="N72" s="155">
        <f>+IF(OR($Q72=Parametres!$G$2,$Q72=Parametres!$G$3),I72,C72)</f>
        <v>25938.27</v>
      </c>
      <c r="O72" s="155">
        <f>+IF(OR($Q72=Parametres!$G$2,$Q72=Parametres!$G$3),J72,D72)</f>
        <v>-32273.51</v>
      </c>
      <c r="P72" s="155">
        <f>+IF(OR($Q72=Parametres!$G$2,$Q72=Parametres!$G$3),K72,E72)</f>
        <v>-6335.24</v>
      </c>
      <c r="Q72" s="154" t="str">
        <f t="shared" si="6"/>
        <v>2-Actifs</v>
      </c>
      <c r="R72" s="153" t="str">
        <f t="shared" si="6"/>
        <v>1302</v>
      </c>
      <c r="S72" s="154">
        <f t="shared" si="6"/>
        <v>0</v>
      </c>
      <c r="T72" s="156" t="str">
        <f>+VLOOKUP($L72,Data_Validation!$A:$D,1,0)</f>
        <v>1303</v>
      </c>
      <c r="U72" s="156" t="str">
        <f>+VLOOKUP($L72,Data_Validation!$A:$D,3,0)</f>
        <v>Bilan</v>
      </c>
      <c r="V72" s="156" t="str">
        <f>+VLOOKUP($L72,Data_Validation!$A:$D,4,0)</f>
        <v>Recevables Véhicules</v>
      </c>
      <c r="W72" s="156" t="str">
        <f>+VLOOKUP($L72,Data_Validation!$A:$E,5,0)</f>
        <v>$</v>
      </c>
      <c r="X72" s="156">
        <f>+VLOOKUP($L72,Data_Validation!$A:$F,6,0)</f>
        <v>0</v>
      </c>
    </row>
    <row r="73" spans="1:24" ht="15" hidden="1" customHeight="1">
      <c r="A73" s="1013" t="s">
        <v>2102</v>
      </c>
      <c r="B73" s="1013" t="s">
        <v>2103</v>
      </c>
      <c r="C73" s="1015">
        <v>83373.27</v>
      </c>
      <c r="D73" s="1015">
        <v>-1649.43</v>
      </c>
      <c r="E73" s="1015">
        <v>81723.839999999997</v>
      </c>
      <c r="F73" s="1013" t="s">
        <v>293</v>
      </c>
      <c r="G73" s="1013" t="s">
        <v>2103</v>
      </c>
      <c r="H73" s="1014"/>
      <c r="I73" s="1014"/>
      <c r="J73" s="1014"/>
      <c r="K73" s="1014"/>
      <c r="L73" s="153" t="str">
        <f t="shared" si="0"/>
        <v>1304</v>
      </c>
      <c r="M73" s="154" t="str">
        <f t="shared" si="1"/>
        <v>RECEVABLES PIECES &amp; SERVICE</v>
      </c>
      <c r="N73" s="155">
        <f>+IF(OR($Q73=Parametres!$G$2,$Q73=Parametres!$G$3),I73,C73)</f>
        <v>83373.27</v>
      </c>
      <c r="O73" s="155">
        <f>+IF(OR($Q73=Parametres!$G$2,$Q73=Parametres!$G$3),J73,D73)</f>
        <v>-1649.43</v>
      </c>
      <c r="P73" s="155">
        <f>+IF(OR($Q73=Parametres!$G$2,$Q73=Parametres!$G$3),K73,E73)</f>
        <v>81723.839999999997</v>
      </c>
      <c r="Q73" s="154" t="str">
        <f t="shared" si="6"/>
        <v>2-Actifs</v>
      </c>
      <c r="R73" s="153" t="str">
        <f t="shared" si="6"/>
        <v>1304</v>
      </c>
      <c r="S73" s="154">
        <f t="shared" si="6"/>
        <v>0</v>
      </c>
      <c r="T73" s="156" t="str">
        <f>+VLOOKUP($L73,Data_Validation!$A:$D,1,0)</f>
        <v>1304</v>
      </c>
      <c r="U73" s="156" t="str">
        <f>+VLOOKUP($L73,Data_Validation!$A:$D,3,0)</f>
        <v>Bilan</v>
      </c>
      <c r="V73" s="156" t="str">
        <f>+VLOOKUP($L73,Data_Validation!$A:$D,4,0)</f>
        <v>Recevables Pièces et Service</v>
      </c>
      <c r="W73" s="156" t="str">
        <f>+VLOOKUP($L73,Data_Validation!$A:$E,5,0)</f>
        <v>$</v>
      </c>
      <c r="X73" s="156">
        <f>+VLOOKUP($L73,Data_Validation!$A:$F,6,0)</f>
        <v>0</v>
      </c>
    </row>
    <row r="74" spans="1:24" ht="15" hidden="1" customHeight="1">
      <c r="A74" s="1013" t="s">
        <v>2737</v>
      </c>
      <c r="B74" s="1013" t="s">
        <v>2738</v>
      </c>
      <c r="C74" s="1015">
        <v>80894.350000000006</v>
      </c>
      <c r="D74" s="1015">
        <v>7571.94</v>
      </c>
      <c r="E74" s="1015">
        <v>88466.29</v>
      </c>
      <c r="F74" s="1013" t="s">
        <v>293</v>
      </c>
      <c r="G74" s="1013" t="s">
        <v>2103</v>
      </c>
      <c r="H74" s="1014"/>
      <c r="I74" s="1014"/>
      <c r="J74" s="1014"/>
      <c r="K74" s="1014"/>
      <c r="L74" s="153" t="str">
        <f t="shared" si="0"/>
        <v>1305</v>
      </c>
      <c r="M74" s="154" t="str">
        <f t="shared" si="1"/>
        <v>RECEVABLES CARROSSERIE</v>
      </c>
      <c r="N74" s="155">
        <f>+IF(OR($Q74=Parametres!$G$2,$Q74=Parametres!$G$3),I74,C74)</f>
        <v>80894.350000000006</v>
      </c>
      <c r="O74" s="155">
        <f>+IF(OR($Q74=Parametres!$G$2,$Q74=Parametres!$G$3),J74,D74)</f>
        <v>7571.94</v>
      </c>
      <c r="P74" s="155">
        <f>+IF(OR($Q74=Parametres!$G$2,$Q74=Parametres!$G$3),K74,E74)</f>
        <v>88466.29</v>
      </c>
      <c r="Q74" s="154" t="str">
        <f t="shared" si="6"/>
        <v>2-Actifs</v>
      </c>
      <c r="R74" s="153" t="str">
        <f t="shared" si="6"/>
        <v>1304</v>
      </c>
      <c r="S74" s="154">
        <f t="shared" si="6"/>
        <v>0</v>
      </c>
      <c r="T74" s="156" t="str">
        <f>+VLOOKUP($L74,Data_Validation!$A:$D,1,0)</f>
        <v>1305</v>
      </c>
      <c r="U74" s="156" t="str">
        <f>+VLOOKUP($L74,Data_Validation!$A:$D,3,0)</f>
        <v>Bilan</v>
      </c>
      <c r="V74" s="156" t="str">
        <f>+VLOOKUP($L74,Data_Validation!$A:$D,4,0)</f>
        <v>Recevables Carrosserie</v>
      </c>
      <c r="W74" s="156" t="str">
        <f>+VLOOKUP($L74,Data_Validation!$A:$E,5,0)</f>
        <v>$</v>
      </c>
      <c r="X74" s="156">
        <f>+VLOOKUP($L74,Data_Validation!$A:$F,6,0)</f>
        <v>0</v>
      </c>
    </row>
    <row r="75" spans="1:24" ht="15" hidden="1" customHeight="1">
      <c r="A75" s="1013" t="s">
        <v>2834</v>
      </c>
      <c r="B75" s="1013" t="s">
        <v>2835</v>
      </c>
      <c r="C75" s="1035">
        <v>350213</v>
      </c>
      <c r="D75" s="1035">
        <v>-109714</v>
      </c>
      <c r="E75" s="1035">
        <v>240499</v>
      </c>
      <c r="F75" s="1013" t="s">
        <v>293</v>
      </c>
      <c r="G75" s="1013" t="s">
        <v>2022</v>
      </c>
      <c r="H75" s="1014"/>
      <c r="I75" s="1015"/>
      <c r="J75" s="1015"/>
      <c r="K75" s="1015"/>
      <c r="L75" s="153" t="str">
        <f t="shared" si="0"/>
        <v>1312</v>
      </c>
      <c r="M75" s="154" t="str">
        <f t="shared" si="1"/>
        <v>RESEVE VOLKS</v>
      </c>
      <c r="N75" s="155">
        <f>+IF(OR($Q75=Parametres!$G$2,$Q75=Parametres!$G$3),I75,C75)</f>
        <v>350213</v>
      </c>
      <c r="O75" s="155">
        <f>+IF(OR($Q75=Parametres!$G$2,$Q75=Parametres!$G$3),J75,D75)</f>
        <v>-109714</v>
      </c>
      <c r="P75" s="155">
        <f>+IF(OR($Q75=Parametres!$G$2,$Q75=Parametres!$G$3),K75,E75)</f>
        <v>240499</v>
      </c>
      <c r="Q75" s="154" t="str">
        <f t="shared" si="6"/>
        <v>2-Actifs</v>
      </c>
      <c r="R75" s="153" t="str">
        <f t="shared" si="6"/>
        <v>1314</v>
      </c>
      <c r="S75" s="154">
        <f t="shared" si="6"/>
        <v>0</v>
      </c>
      <c r="T75" s="156" t="str">
        <f>+VLOOKUP($L75,Data_Validation!$A:$D,1,0)</f>
        <v>1312</v>
      </c>
      <c r="U75" s="156" t="str">
        <f>+VLOOKUP($L75,Data_Validation!$A:$D,3,0)</f>
        <v>Bilan</v>
      </c>
      <c r="V75" s="156" t="str">
        <f>+VLOOKUP($L75,Data_Validation!$A:$D,4,0)</f>
        <v>Recevables Manufacturier</v>
      </c>
      <c r="W75" s="156" t="str">
        <f>+VLOOKUP($L75,Data_Validation!$A:$E,5,0)</f>
        <v>$</v>
      </c>
      <c r="X75" s="156">
        <f>+VLOOKUP($L75,Data_Validation!$A:$F,6,0)</f>
        <v>0</v>
      </c>
    </row>
    <row r="76" spans="1:24" ht="15" hidden="1" customHeight="1">
      <c r="A76" s="1013" t="s">
        <v>2060</v>
      </c>
      <c r="B76" s="1013" t="s">
        <v>2061</v>
      </c>
      <c r="C76" s="1015">
        <v>132922.39000000001</v>
      </c>
      <c r="D76" s="1015">
        <v>27568.26</v>
      </c>
      <c r="E76" s="1015">
        <v>160490.65</v>
      </c>
      <c r="F76" s="1013" t="s">
        <v>293</v>
      </c>
      <c r="G76" s="1013" t="s">
        <v>2061</v>
      </c>
      <c r="H76" s="1014"/>
      <c r="I76" s="1014"/>
      <c r="J76" s="1014"/>
      <c r="K76" s="1014"/>
      <c r="L76" s="153" t="str">
        <f t="shared" si="0"/>
        <v>1332</v>
      </c>
      <c r="M76" s="154" t="str">
        <f t="shared" si="1"/>
        <v>RECLAM. RECEVABLE-GARANTIE</v>
      </c>
      <c r="N76" s="155">
        <f>+IF(OR($Q76=Parametres!$G$2,$Q76=Parametres!$G$3),I76,C76)</f>
        <v>132922.39000000001</v>
      </c>
      <c r="O76" s="155">
        <f>+IF(OR($Q76=Parametres!$G$2,$Q76=Parametres!$G$3),J76,D76)</f>
        <v>27568.26</v>
      </c>
      <c r="P76" s="155">
        <f>+IF(OR($Q76=Parametres!$G$2,$Q76=Parametres!$G$3),K76,E76)</f>
        <v>160490.65</v>
      </c>
      <c r="Q76" s="154" t="str">
        <f t="shared" si="6"/>
        <v>2-Actifs</v>
      </c>
      <c r="R76" s="153" t="str">
        <f t="shared" si="6"/>
        <v>1332</v>
      </c>
      <c r="S76" s="154">
        <f t="shared" si="6"/>
        <v>0</v>
      </c>
      <c r="T76" s="156" t="str">
        <f>+VLOOKUP($L76,Data_Validation!$A:$D,1,0)</f>
        <v>1332</v>
      </c>
      <c r="U76" s="156" t="str">
        <f>+VLOOKUP($L76,Data_Validation!$A:$D,3,0)</f>
        <v>Bilan</v>
      </c>
      <c r="V76" s="156" t="str">
        <f>+VLOOKUP($L76,Data_Validation!$A:$D,4,0)</f>
        <v>Recevables Garantie Manufacturier</v>
      </c>
      <c r="W76" s="156" t="str">
        <f>+VLOOKUP($L76,Data_Validation!$A:$E,5,0)</f>
        <v>$</v>
      </c>
      <c r="X76" s="156">
        <f>+VLOOKUP($L76,Data_Validation!$A:$F,6,0)</f>
        <v>0</v>
      </c>
    </row>
    <row r="77" spans="1:24" ht="15" hidden="1" customHeight="1">
      <c r="A77" s="1013" t="s">
        <v>2783</v>
      </c>
      <c r="B77" s="1013" t="s">
        <v>2784</v>
      </c>
      <c r="C77" s="1015">
        <v>5059.8100000000004</v>
      </c>
      <c r="D77" s="1015">
        <v>6694.55</v>
      </c>
      <c r="E77" s="1015">
        <v>11754.36</v>
      </c>
      <c r="F77" s="1013" t="s">
        <v>293</v>
      </c>
      <c r="G77" s="1013" t="s">
        <v>2623</v>
      </c>
      <c r="H77" s="1014"/>
      <c r="I77" s="1014"/>
      <c r="J77" s="1014"/>
      <c r="K77" s="1014"/>
      <c r="L77" s="153" t="str">
        <f t="shared" si="0"/>
        <v>1340</v>
      </c>
      <c r="M77" s="154" t="str">
        <f t="shared" si="1"/>
        <v>GARANTIE PPM</v>
      </c>
      <c r="N77" s="155">
        <f>+IF(OR($Q77=Parametres!$G$2,$Q77=Parametres!$G$3),I77,C77)</f>
        <v>5059.8100000000004</v>
      </c>
      <c r="O77" s="155">
        <f>+IF(OR($Q77=Parametres!$G$2,$Q77=Parametres!$G$3),J77,D77)</f>
        <v>6694.55</v>
      </c>
      <c r="P77" s="155">
        <f>+IF(OR($Q77=Parametres!$G$2,$Q77=Parametres!$G$3),K77,E77)</f>
        <v>11754.36</v>
      </c>
      <c r="Q77" s="154" t="str">
        <f t="shared" si="6"/>
        <v>2-Actifs</v>
      </c>
      <c r="R77" s="153" t="str">
        <f t="shared" si="6"/>
        <v>1382</v>
      </c>
      <c r="S77" s="154">
        <f t="shared" si="6"/>
        <v>0</v>
      </c>
      <c r="T77" s="156" t="str">
        <f>+VLOOKUP($L77,Data_Validation!$A:$D,1,0)</f>
        <v>1340</v>
      </c>
      <c r="U77" s="156" t="str">
        <f>+VLOOKUP($L77,Data_Validation!$A:$D,3,0)</f>
        <v>Bilan</v>
      </c>
      <c r="V77" s="156" t="str">
        <f>+VLOOKUP($L77,Data_Validation!$A:$D,4,0)</f>
        <v>recevables Autres</v>
      </c>
      <c r="W77" s="156" t="str">
        <f>+VLOOKUP($L77,Data_Validation!$A:$E,5,0)</f>
        <v>$</v>
      </c>
      <c r="X77" s="156">
        <f>+VLOOKUP($L77,Data_Validation!$A:$F,6,0)</f>
        <v>0</v>
      </c>
    </row>
    <row r="78" spans="1:24" ht="15" hidden="1" customHeight="1">
      <c r="A78" s="1013" t="s">
        <v>2020</v>
      </c>
      <c r="B78" s="1013" t="s">
        <v>2021</v>
      </c>
      <c r="C78" s="1015">
        <v>146971.81</v>
      </c>
      <c r="D78" s="1015">
        <v>-25800</v>
      </c>
      <c r="E78" s="1015">
        <v>121171.81</v>
      </c>
      <c r="F78" s="1013" t="s">
        <v>293</v>
      </c>
      <c r="G78" s="1013" t="s">
        <v>2022</v>
      </c>
      <c r="H78" s="1014"/>
      <c r="I78" s="1014"/>
      <c r="J78" s="1014"/>
      <c r="K78" s="1014"/>
      <c r="L78" s="153" t="str">
        <f t="shared" si="0"/>
        <v>1352</v>
      </c>
      <c r="M78" s="154" t="str">
        <f t="shared" si="1"/>
        <v>RECEV. MANUFACTURIER VOLKS</v>
      </c>
      <c r="N78" s="155">
        <f>+IF(OR($Q78=Parametres!$G$2,$Q78=Parametres!$G$3),I78,C78)</f>
        <v>146971.81</v>
      </c>
      <c r="O78" s="575">
        <f>+IF(OR($Q78=Parametres!$G$2,$Q78=Parametres!$G$3),J78,D78)</f>
        <v>-25800</v>
      </c>
      <c r="P78" s="155">
        <f>+IF(OR($Q78=Parametres!$G$2,$Q78=Parametres!$G$3),K78,E78)</f>
        <v>121171.81</v>
      </c>
      <c r="Q78" s="154" t="str">
        <f t="shared" si="6"/>
        <v>2-Actifs</v>
      </c>
      <c r="R78" s="153" t="str">
        <f t="shared" si="6"/>
        <v>1314</v>
      </c>
      <c r="S78" s="154">
        <f t="shared" si="6"/>
        <v>0</v>
      </c>
      <c r="T78" s="156" t="str">
        <f>+VLOOKUP($L78,Data_Validation!$A:$D,1,0)</f>
        <v>1352</v>
      </c>
      <c r="U78" s="156" t="str">
        <f>+VLOOKUP($L78,Data_Validation!$A:$D,3,0)</f>
        <v>Bilan</v>
      </c>
      <c r="V78" s="156" t="str">
        <f>+VLOOKUP($L78,Data_Validation!$A:$D,4,0)</f>
        <v>Recevables Manufacturier</v>
      </c>
      <c r="W78" s="156" t="str">
        <f>+VLOOKUP($L78,Data_Validation!$A:$E,5,0)</f>
        <v>$</v>
      </c>
      <c r="X78" s="156">
        <f>+VLOOKUP($L78,Data_Validation!$A:$F,6,0)</f>
        <v>0</v>
      </c>
    </row>
    <row r="79" spans="1:24" ht="15" hidden="1" customHeight="1">
      <c r="A79" s="1013" t="s">
        <v>2621</v>
      </c>
      <c r="B79" s="1013" t="s">
        <v>2622</v>
      </c>
      <c r="C79" s="1014">
        <v>800</v>
      </c>
      <c r="D79" s="1014">
        <v>400</v>
      </c>
      <c r="E79" s="1035">
        <v>1200</v>
      </c>
      <c r="F79" s="1013" t="s">
        <v>293</v>
      </c>
      <c r="G79" s="1013" t="s">
        <v>2623</v>
      </c>
      <c r="H79" s="1014"/>
      <c r="I79" s="1015"/>
      <c r="J79" s="1015"/>
      <c r="K79" s="1015"/>
      <c r="L79" s="153" t="str">
        <f t="shared" si="0"/>
        <v>1364</v>
      </c>
      <c r="M79" s="154" t="str">
        <f t="shared" si="1"/>
        <v>A RECEVOIR LAR</v>
      </c>
      <c r="N79" s="155">
        <f>+IF(OR($Q79=Parametres!$G$2,$Q79=Parametres!$G$3),I79,C79)</f>
        <v>800</v>
      </c>
      <c r="O79" s="155">
        <f>+IF(OR($Q79=Parametres!$G$2,$Q79=Parametres!$G$3),J79,D79)</f>
        <v>400</v>
      </c>
      <c r="P79" s="155">
        <f>+IF(OR($Q79=Parametres!$G$2,$Q79=Parametres!$G$3),K79,E79)</f>
        <v>1200</v>
      </c>
      <c r="Q79" s="154" t="str">
        <f t="shared" si="6"/>
        <v>2-Actifs</v>
      </c>
      <c r="R79" s="153" t="str">
        <f t="shared" si="6"/>
        <v>1382</v>
      </c>
      <c r="S79" s="154">
        <f t="shared" si="6"/>
        <v>0</v>
      </c>
      <c r="T79" s="156" t="str">
        <f>+VLOOKUP($L79,Data_Validation!$A:$D,1,0)</f>
        <v>1364</v>
      </c>
      <c r="U79" s="156" t="str">
        <f>+VLOOKUP($L79,Data_Validation!$A:$D,3,0)</f>
        <v>Bilan</v>
      </c>
      <c r="V79" s="156" t="str">
        <f>+VLOOKUP($L79,Data_Validation!$A:$D,4,0)</f>
        <v>recevables Autres</v>
      </c>
      <c r="W79" s="156" t="str">
        <f>+VLOOKUP($L79,Data_Validation!$A:$E,5,0)</f>
        <v>$</v>
      </c>
      <c r="X79" s="156">
        <f>+VLOOKUP($L79,Data_Validation!$A:$F,6,0)</f>
        <v>0</v>
      </c>
    </row>
    <row r="80" spans="1:24" ht="15.75" hidden="1" customHeight="1">
      <c r="A80" s="1013" t="s">
        <v>2822</v>
      </c>
      <c r="B80" s="1013" t="s">
        <v>2823</v>
      </c>
      <c r="C80" s="1015">
        <v>6899.72</v>
      </c>
      <c r="D80" s="1015">
        <v>37445.089999999997</v>
      </c>
      <c r="E80" s="1015">
        <v>44344.81</v>
      </c>
      <c r="F80" s="1013" t="s">
        <v>293</v>
      </c>
      <c r="G80" s="1013" t="s">
        <v>2823</v>
      </c>
      <c r="H80" s="1014"/>
      <c r="I80" s="1014"/>
      <c r="J80" s="1014"/>
      <c r="K80" s="1014"/>
      <c r="L80" s="153" t="str">
        <f t="shared" si="0"/>
        <v>1372</v>
      </c>
      <c r="M80" s="154" t="str">
        <f t="shared" si="1"/>
        <v>TAXES DE VENTES A RECEVOIR</v>
      </c>
      <c r="N80" s="155">
        <f>+IF(OR($Q80=Parametres!$G$2,$Q80=Parametres!$G$3),I80,C80)</f>
        <v>6899.72</v>
      </c>
      <c r="O80" s="155">
        <f>+IF(OR($Q80=Parametres!$G$2,$Q80=Parametres!$G$3),J80,D80)</f>
        <v>37445.089999999997</v>
      </c>
      <c r="P80" s="155">
        <f>+IF(OR($Q80=Parametres!$G$2,$Q80=Parametres!$G$3),K80,E80)</f>
        <v>44344.81</v>
      </c>
      <c r="Q80" s="154" t="str">
        <f t="shared" si="6"/>
        <v>2-Actifs</v>
      </c>
      <c r="R80" s="153" t="str">
        <f t="shared" si="6"/>
        <v>1372</v>
      </c>
      <c r="S80" s="154">
        <f t="shared" si="6"/>
        <v>0</v>
      </c>
      <c r="T80" s="156" t="str">
        <f>+VLOOKUP($L80,Data_Validation!$A:$D,1,0)</f>
        <v>1372</v>
      </c>
      <c r="U80" s="156" t="str">
        <f>+VLOOKUP($L80,Data_Validation!$A:$D,3,0)</f>
        <v>Bilan</v>
      </c>
      <c r="V80" s="156" t="str">
        <f>+VLOOKUP($L80,Data_Validation!$A:$D,4,0)</f>
        <v>recevables Autres</v>
      </c>
      <c r="W80" s="156" t="str">
        <f>+VLOOKUP($L80,Data_Validation!$A:$E,5,0)</f>
        <v>$</v>
      </c>
      <c r="X80" s="156">
        <f>+VLOOKUP($L80,Data_Validation!$A:$F,6,0)</f>
        <v>0</v>
      </c>
    </row>
    <row r="81" spans="1:24" ht="15" hidden="1" customHeight="1">
      <c r="A81" s="1013" t="s">
        <v>2109</v>
      </c>
      <c r="B81" s="1013" t="s">
        <v>2110</v>
      </c>
      <c r="C81" s="1015">
        <v>9304780.5500000007</v>
      </c>
      <c r="D81" s="1015">
        <v>-437445.96</v>
      </c>
      <c r="E81" s="1015">
        <v>8867334.5899999999</v>
      </c>
      <c r="F81" s="1013" t="s">
        <v>293</v>
      </c>
      <c r="G81" s="1013" t="s">
        <v>2110</v>
      </c>
      <c r="H81" s="972"/>
      <c r="I81" s="973"/>
      <c r="J81" s="973"/>
      <c r="K81" s="973"/>
      <c r="L81" s="153" t="str">
        <f t="shared" si="0"/>
        <v>1402</v>
      </c>
      <c r="M81" s="154" t="str">
        <f t="shared" si="1"/>
        <v>VEHIC. NEUFS VOLKS</v>
      </c>
      <c r="N81" s="155">
        <f>+IF(OR($Q81=Parametres!$G$2,$Q81=Parametres!$G$3),I81,C81)</f>
        <v>9304780.5500000007</v>
      </c>
      <c r="O81" s="155">
        <f>+IF(OR($Q81=Parametres!$G$2,$Q81=Parametres!$G$3),J81,D81)</f>
        <v>-437445.96</v>
      </c>
      <c r="P81" s="155">
        <f>+IF(OR($Q81=Parametres!$G$2,$Q81=Parametres!$G$3),K81,E81)</f>
        <v>8867334.5899999999</v>
      </c>
      <c r="Q81" s="154" t="str">
        <f t="shared" si="6"/>
        <v>2-Actifs</v>
      </c>
      <c r="R81" s="153" t="str">
        <f t="shared" si="6"/>
        <v>1402</v>
      </c>
      <c r="S81" s="154">
        <f t="shared" si="6"/>
        <v>0</v>
      </c>
      <c r="T81" s="156" t="str">
        <f>+VLOOKUP($L81,Data_Validation!$A:$D,1,0)</f>
        <v>1402</v>
      </c>
      <c r="U81" s="156" t="str">
        <f>+VLOOKUP($L81,Data_Validation!$A:$D,3,0)</f>
        <v>Bilan</v>
      </c>
      <c r="V81" s="156" t="str">
        <f>+VLOOKUP($L81,Data_Validation!$A:$D,4,0)</f>
        <v>Inventaire Véhicules Neufs</v>
      </c>
      <c r="W81" s="156" t="str">
        <f>+VLOOKUP($L81,Data_Validation!$A:$E,5,0)</f>
        <v>$</v>
      </c>
      <c r="X81" s="156">
        <f>+VLOOKUP($L81,Data_Validation!$A:$F,6,0)</f>
        <v>0</v>
      </c>
    </row>
    <row r="82" spans="1:24" ht="15" hidden="1" customHeight="1">
      <c r="A82" s="1013" t="s">
        <v>2477</v>
      </c>
      <c r="B82" s="1013" t="s">
        <v>2478</v>
      </c>
      <c r="C82" s="1015"/>
      <c r="D82" s="1015"/>
      <c r="E82" s="1015"/>
      <c r="F82" s="1013" t="s">
        <v>4</v>
      </c>
      <c r="G82" s="1013" t="s">
        <v>2110</v>
      </c>
      <c r="H82" s="972"/>
      <c r="I82" s="973">
        <v>306</v>
      </c>
      <c r="J82" s="973">
        <v>-20</v>
      </c>
      <c r="K82" s="973">
        <v>286</v>
      </c>
      <c r="L82" s="153" t="str">
        <f t="shared" si="0"/>
        <v>1402@</v>
      </c>
      <c r="M82" s="154" t="str">
        <f t="shared" si="1"/>
        <v># DE INVENTAIRE VEH.NEUFS VW</v>
      </c>
      <c r="N82" s="155">
        <f>+IF(OR($Q82=Parametres!$G$2,$Q82=Parametres!$G$3),I82,C82)</f>
        <v>306</v>
      </c>
      <c r="O82" s="155">
        <f>+IF(OR($Q82=Parametres!$G$2,$Q82=Parametres!$G$3),J82,D82)</f>
        <v>-20</v>
      </c>
      <c r="P82" s="155">
        <f>+IF(OR($Q82=Parametres!$G$2,$Q82=Parametres!$G$3),K82,E82)</f>
        <v>286</v>
      </c>
      <c r="Q82" s="154" t="str">
        <f t="shared" ref="Q82:S97" si="7">+F82</f>
        <v>10-Compte compteur</v>
      </c>
      <c r="R82" s="153" t="str">
        <f t="shared" si="7"/>
        <v>1402</v>
      </c>
      <c r="S82" s="154">
        <f t="shared" si="7"/>
        <v>0</v>
      </c>
      <c r="T82" s="156" t="str">
        <f>+VLOOKUP($L82,Data_Validation!$A:$D,1,0)</f>
        <v>1402@</v>
      </c>
      <c r="U82" s="156" t="str">
        <f>+VLOOKUP($L82,Data_Validation!$A:$D,3,0)</f>
        <v>Bilan</v>
      </c>
      <c r="V82" s="156">
        <f>+VLOOKUP($L82,Data_Validation!$A:$D,4,0)</f>
        <v>0</v>
      </c>
      <c r="W82" s="156" t="str">
        <f>+VLOOKUP($L82,Data_Validation!$A:$E,5,0)</f>
        <v>NB</v>
      </c>
      <c r="X82" s="156">
        <f>+VLOOKUP($L82,Data_Validation!$A:$F,6,0)</f>
        <v>0</v>
      </c>
    </row>
    <row r="83" spans="1:24" ht="15" hidden="1" customHeight="1">
      <c r="A83" s="1013" t="s">
        <v>2118</v>
      </c>
      <c r="B83" s="1013" t="s">
        <v>2119</v>
      </c>
      <c r="C83" s="1015">
        <v>-7791.33</v>
      </c>
      <c r="D83" s="1015">
        <v>-5318.64</v>
      </c>
      <c r="E83" s="1015">
        <v>-13109.97</v>
      </c>
      <c r="F83" s="1013" t="s">
        <v>293</v>
      </c>
      <c r="G83" s="1013" t="s">
        <v>2110</v>
      </c>
      <c r="H83" s="972"/>
      <c r="I83" s="973"/>
      <c r="J83" s="973"/>
      <c r="K83" s="973"/>
      <c r="L83" s="153" t="str">
        <f t="shared" si="0"/>
        <v>1403</v>
      </c>
      <c r="M83" s="154" t="str">
        <f t="shared" si="1"/>
        <v>BRUISING VOLKS VEH. NEUFS</v>
      </c>
      <c r="N83" s="155">
        <f>+IF(OR($Q83=Parametres!$G$2,$Q83=Parametres!$G$3),I83,C83)</f>
        <v>-7791.33</v>
      </c>
      <c r="O83" s="155">
        <f>+IF(OR($Q83=Parametres!$G$2,$Q83=Parametres!$G$3),J83,D83)</f>
        <v>-5318.64</v>
      </c>
      <c r="P83" s="155">
        <f>+IF(OR($Q83=Parametres!$G$2,$Q83=Parametres!$G$3),K83,E83)</f>
        <v>-13109.97</v>
      </c>
      <c r="Q83" s="154" t="str">
        <f t="shared" si="7"/>
        <v>2-Actifs</v>
      </c>
      <c r="R83" s="153" t="str">
        <f t="shared" si="7"/>
        <v>1402</v>
      </c>
      <c r="S83" s="154">
        <f t="shared" si="7"/>
        <v>0</v>
      </c>
      <c r="T83" s="156" t="str">
        <f>+VLOOKUP($L83,Data_Validation!$A:$D,1,0)</f>
        <v>1403</v>
      </c>
      <c r="U83" s="156" t="str">
        <f>+VLOOKUP($L83,Data_Validation!$A:$D,3,0)</f>
        <v>Bilan</v>
      </c>
      <c r="V83" s="156" t="str">
        <f>+VLOOKUP($L83,Data_Validation!$A:$D,4,0)</f>
        <v>Inventaire Véhicules Neufs</v>
      </c>
      <c r="W83" s="156" t="str">
        <f>+VLOOKUP($L83,Data_Validation!$A:$E,5,0)</f>
        <v>$</v>
      </c>
      <c r="X83" s="156">
        <f>+VLOOKUP($L83,Data_Validation!$A:$F,6,0)</f>
        <v>0</v>
      </c>
    </row>
    <row r="84" spans="1:24" ht="15.75" hidden="1" customHeight="1">
      <c r="A84" s="1013" t="s">
        <v>2913</v>
      </c>
      <c r="B84" s="1013" t="s">
        <v>2914</v>
      </c>
      <c r="C84" s="1015">
        <v>894.38</v>
      </c>
      <c r="D84" s="1015">
        <v>-130.01</v>
      </c>
      <c r="E84" s="1015">
        <v>764.37</v>
      </c>
      <c r="F84" s="1013" t="s">
        <v>293</v>
      </c>
      <c r="G84" s="1013" t="s">
        <v>2914</v>
      </c>
      <c r="H84" s="972"/>
      <c r="I84" s="973"/>
      <c r="J84" s="973"/>
      <c r="K84" s="973"/>
      <c r="L84" s="153" t="str">
        <f t="shared" si="0"/>
        <v>1412</v>
      </c>
      <c r="M84" s="154" t="str">
        <f t="shared" si="1"/>
        <v>VEHICULES USAGES</v>
      </c>
      <c r="N84" s="155">
        <f>+IF(OR($Q84=Parametres!$G$2,$Q84=Parametres!$G$3),I84,C84)</f>
        <v>894.38</v>
      </c>
      <c r="O84" s="575">
        <f>+IF(OR($Q84=Parametres!$G$2,$Q84=Parametres!$G$3),J84,D84)</f>
        <v>-130.01</v>
      </c>
      <c r="P84" s="155">
        <f>+IF(OR($Q84=Parametres!$G$2,$Q84=Parametres!$G$3),K84,E84)</f>
        <v>764.37</v>
      </c>
      <c r="Q84" s="154" t="str">
        <f t="shared" si="7"/>
        <v>2-Actifs</v>
      </c>
      <c r="R84" s="153" t="str">
        <f t="shared" si="7"/>
        <v>1412</v>
      </c>
      <c r="S84" s="154">
        <f t="shared" si="7"/>
        <v>0</v>
      </c>
      <c r="T84" s="156" t="e">
        <f>+VLOOKUP($L84,Data_Validation!$A:$D,1,0)</f>
        <v>#N/A</v>
      </c>
      <c r="U84" s="156" t="e">
        <f>+VLOOKUP($L84,Data_Validation!$A:$D,3,0)</f>
        <v>#N/A</v>
      </c>
      <c r="V84" s="156" t="e">
        <f>+VLOOKUP($L84,Data_Validation!$A:$D,4,0)</f>
        <v>#N/A</v>
      </c>
      <c r="W84" s="156" t="e">
        <f>+VLOOKUP($L84,Data_Validation!$A:$E,5,0)</f>
        <v>#N/A</v>
      </c>
      <c r="X84" s="156" t="e">
        <f>+VLOOKUP($L84,Data_Validation!$A:$F,6,0)</f>
        <v>#N/A</v>
      </c>
    </row>
    <row r="85" spans="1:24" ht="15" hidden="1" customHeight="1">
      <c r="A85" s="1013" t="s">
        <v>2761</v>
      </c>
      <c r="B85" s="1013" t="s">
        <v>2762</v>
      </c>
      <c r="C85" s="1015">
        <v>-10171.299999999999</v>
      </c>
      <c r="D85" s="1015">
        <v>-10750.83</v>
      </c>
      <c r="E85" s="1015">
        <v>-20922.13</v>
      </c>
      <c r="F85" s="1013" t="s">
        <v>293</v>
      </c>
      <c r="G85" s="1013" t="s">
        <v>2762</v>
      </c>
      <c r="H85" s="972"/>
      <c r="I85" s="973"/>
      <c r="J85" s="973"/>
      <c r="K85" s="973"/>
      <c r="L85" s="153" t="str">
        <f t="shared" si="0"/>
        <v>1413</v>
      </c>
      <c r="M85" s="154" t="str">
        <f t="shared" si="1"/>
        <v>BRUISING USED CAR</v>
      </c>
      <c r="N85" s="155">
        <f>+IF(OR($Q85=Parametres!$G$2,$Q85=Parametres!$G$3),I85,C85)</f>
        <v>-10171.299999999999</v>
      </c>
      <c r="O85" s="575">
        <f>+IF(OR($Q85=Parametres!$G$2,$Q85=Parametres!$G$3),J85,D85)</f>
        <v>-10750.83</v>
      </c>
      <c r="P85" s="155">
        <f>+IF(OR($Q85=Parametres!$G$2,$Q85=Parametres!$G$3),K85,E85)</f>
        <v>-20922.13</v>
      </c>
      <c r="Q85" s="154" t="str">
        <f t="shared" si="7"/>
        <v>2-Actifs</v>
      </c>
      <c r="R85" s="153" t="str">
        <f t="shared" si="7"/>
        <v>1413</v>
      </c>
      <c r="S85" s="154">
        <f t="shared" si="7"/>
        <v>0</v>
      </c>
      <c r="T85" s="156" t="str">
        <f>+VLOOKUP($L85,Data_Validation!$A:$D,1,0)</f>
        <v>1413</v>
      </c>
      <c r="U85" s="156" t="str">
        <f>+VLOOKUP($L85,Data_Validation!$A:$D,3,0)</f>
        <v>Bilan</v>
      </c>
      <c r="V85" s="156" t="str">
        <f>+VLOOKUP($L85,Data_Validation!$A:$D,4,0)</f>
        <v>Inventaire Véhicules Usagés</v>
      </c>
      <c r="W85" s="156" t="str">
        <f>+VLOOKUP($L85,Data_Validation!$A:$E,5,0)</f>
        <v>$</v>
      </c>
      <c r="X85" s="156">
        <f>+VLOOKUP($L85,Data_Validation!$A:$F,6,0)</f>
        <v>0</v>
      </c>
    </row>
    <row r="86" spans="1:24" ht="15" hidden="1" customHeight="1">
      <c r="A86" s="1013" t="s">
        <v>2826</v>
      </c>
      <c r="B86" s="1013" t="s">
        <v>2481</v>
      </c>
      <c r="C86" s="1015">
        <v>812237.87</v>
      </c>
      <c r="D86" s="1015">
        <v>289117.17</v>
      </c>
      <c r="E86" s="1015">
        <v>1101355.04</v>
      </c>
      <c r="F86" s="1013" t="s">
        <v>293</v>
      </c>
      <c r="G86" s="1013" t="s">
        <v>2481</v>
      </c>
      <c r="H86" s="972"/>
      <c r="I86" s="973"/>
      <c r="J86" s="973"/>
      <c r="K86" s="973"/>
      <c r="L86" s="153" t="str">
        <f t="shared" si="0"/>
        <v>1416</v>
      </c>
      <c r="M86" s="154" t="str">
        <f t="shared" si="1"/>
        <v>INV. VEH. USAGE VW</v>
      </c>
      <c r="N86" s="155">
        <f>+IF(OR($Q86=Parametres!$G$2,$Q86=Parametres!$G$3),I86,C86)</f>
        <v>812237.87</v>
      </c>
      <c r="O86" s="155">
        <f>+IF(OR($Q86=Parametres!$G$2,$Q86=Parametres!$G$3),J86,D86)</f>
        <v>289117.17</v>
      </c>
      <c r="P86" s="155">
        <f>+IF(OR($Q86=Parametres!$G$2,$Q86=Parametres!$G$3),K86,E86)</f>
        <v>1101355.04</v>
      </c>
      <c r="Q86" s="154" t="str">
        <f t="shared" si="7"/>
        <v>2-Actifs</v>
      </c>
      <c r="R86" s="153" t="str">
        <f t="shared" si="7"/>
        <v>1416</v>
      </c>
      <c r="S86" s="154">
        <f t="shared" si="7"/>
        <v>0</v>
      </c>
      <c r="T86" s="156" t="str">
        <f>+VLOOKUP($L86,Data_Validation!$A:$D,1,0)</f>
        <v>1416</v>
      </c>
      <c r="U86" s="156" t="str">
        <f>+VLOOKUP($L86,Data_Validation!$A:$D,3,0)</f>
        <v>Bilan</v>
      </c>
      <c r="V86" s="156" t="str">
        <f>+VLOOKUP($L86,Data_Validation!$A:$D,4,0)</f>
        <v>Inventaire Véhicules Usagés</v>
      </c>
      <c r="W86" s="156" t="str">
        <f>+VLOOKUP($L86,Data_Validation!$A:$E,5,0)</f>
        <v>$</v>
      </c>
      <c r="X86" s="156">
        <f>+VLOOKUP($L86,Data_Validation!$A:$F,6,0)</f>
        <v>0</v>
      </c>
    </row>
    <row r="87" spans="1:24" ht="15" hidden="1" customHeight="1">
      <c r="A87" s="1013" t="s">
        <v>2479</v>
      </c>
      <c r="B87" s="1013" t="s">
        <v>2480</v>
      </c>
      <c r="C87" s="1015"/>
      <c r="D87" s="1015"/>
      <c r="E87" s="1015"/>
      <c r="F87" s="1013" t="s">
        <v>4</v>
      </c>
      <c r="G87" s="1013" t="s">
        <v>2481</v>
      </c>
      <c r="H87" s="972"/>
      <c r="I87" s="973">
        <v>49</v>
      </c>
      <c r="J87" s="973">
        <v>21</v>
      </c>
      <c r="K87" s="973">
        <v>70</v>
      </c>
      <c r="L87" s="153" t="str">
        <f t="shared" si="0"/>
        <v>1416@</v>
      </c>
      <c r="M87" s="154" t="str">
        <f t="shared" si="1"/>
        <v># DE INV. VEH. USAGE VW</v>
      </c>
      <c r="N87" s="155">
        <f>+IF(OR($Q87=Parametres!$G$2,$Q87=Parametres!$G$3),I87,C87)</f>
        <v>49</v>
      </c>
      <c r="O87" s="155">
        <f>+IF(OR($Q87=Parametres!$G$2,$Q87=Parametres!$G$3),J87,D87)</f>
        <v>21</v>
      </c>
      <c r="P87" s="155">
        <f>+IF(OR($Q87=Parametres!$G$2,$Q87=Parametres!$G$3),K87,E87)</f>
        <v>70</v>
      </c>
      <c r="Q87" s="154" t="str">
        <f t="shared" si="7"/>
        <v>10-Compte compteur</v>
      </c>
      <c r="R87" s="153" t="str">
        <f t="shared" si="7"/>
        <v>1416</v>
      </c>
      <c r="S87" s="154">
        <f t="shared" si="7"/>
        <v>0</v>
      </c>
      <c r="T87" s="156" t="str">
        <f>+VLOOKUP($L87,Data_Validation!$A:$D,1,0)</f>
        <v>1416@</v>
      </c>
      <c r="U87" s="156" t="str">
        <f>+VLOOKUP($L87,Data_Validation!$A:$D,3,0)</f>
        <v>Bilan</v>
      </c>
      <c r="V87" s="156">
        <f>+VLOOKUP($L87,Data_Validation!$A:$D,4,0)</f>
        <v>0</v>
      </c>
      <c r="W87" s="156" t="str">
        <f>+VLOOKUP($L87,Data_Validation!$A:$E,5,0)</f>
        <v>NB</v>
      </c>
      <c r="X87" s="156">
        <f>+VLOOKUP($L87,Data_Validation!$A:$F,6,0)</f>
        <v>0</v>
      </c>
    </row>
    <row r="88" spans="1:24" ht="15" hidden="1" customHeight="1">
      <c r="A88" s="1013" t="s">
        <v>2915</v>
      </c>
      <c r="B88" s="1013" t="s">
        <v>2916</v>
      </c>
      <c r="C88" s="1015"/>
      <c r="D88" s="1015"/>
      <c r="E88" s="1015"/>
      <c r="F88" s="1013" t="s">
        <v>4</v>
      </c>
      <c r="G88" s="1013" t="s">
        <v>2917</v>
      </c>
      <c r="H88" s="972"/>
      <c r="I88" s="973">
        <v>3</v>
      </c>
      <c r="J88" s="973">
        <v>0</v>
      </c>
      <c r="K88" s="973">
        <v>3</v>
      </c>
      <c r="L88" s="153" t="str">
        <f t="shared" si="0"/>
        <v>1418@</v>
      </c>
      <c r="M88" s="154" t="str">
        <f t="shared" si="1"/>
        <v># DE INV.VEH.USAGE AUDI</v>
      </c>
      <c r="N88" s="155">
        <f>+IF(OR($Q88=Parametres!$G$2,$Q88=Parametres!$G$3),I88,C88)</f>
        <v>3</v>
      </c>
      <c r="O88" s="575">
        <f>+IF(OR($Q88=Parametres!$G$2,$Q88=Parametres!$G$3),J88,D88)</f>
        <v>0</v>
      </c>
      <c r="P88" s="155">
        <f>+IF(OR($Q88=Parametres!$G$2,$Q88=Parametres!$G$3),K88,E88)</f>
        <v>3</v>
      </c>
      <c r="Q88" s="154" t="str">
        <f t="shared" si="7"/>
        <v>10-Compte compteur</v>
      </c>
      <c r="R88" s="153" t="str">
        <f t="shared" si="7"/>
        <v>1418</v>
      </c>
      <c r="S88" s="154">
        <f t="shared" si="7"/>
        <v>0</v>
      </c>
      <c r="T88" s="156" t="e">
        <f>+VLOOKUP($L88,Data_Validation!$A:$D,1,0)</f>
        <v>#N/A</v>
      </c>
      <c r="U88" s="156" t="e">
        <f>+VLOOKUP($L88,Data_Validation!$A:$D,3,0)</f>
        <v>#N/A</v>
      </c>
      <c r="V88" s="156" t="e">
        <f>+VLOOKUP($L88,Data_Validation!$A:$D,4,0)</f>
        <v>#N/A</v>
      </c>
      <c r="W88" s="156" t="e">
        <f>+VLOOKUP($L88,Data_Validation!$A:$E,5,0)</f>
        <v>#N/A</v>
      </c>
      <c r="X88" s="156" t="e">
        <f>+VLOOKUP($L88,Data_Validation!$A:$F,6,0)</f>
        <v>#N/A</v>
      </c>
    </row>
    <row r="89" spans="1:24" ht="15" hidden="1" customHeight="1">
      <c r="A89" s="1013" t="s">
        <v>2918</v>
      </c>
      <c r="B89" s="1013" t="s">
        <v>2919</v>
      </c>
      <c r="C89" s="1015"/>
      <c r="D89" s="1015"/>
      <c r="E89" s="1015"/>
      <c r="F89" s="1013" t="s">
        <v>4</v>
      </c>
      <c r="G89" s="1013" t="s">
        <v>2920</v>
      </c>
      <c r="H89" s="972"/>
      <c r="I89" s="973">
        <v>-3</v>
      </c>
      <c r="J89" s="973">
        <v>0</v>
      </c>
      <c r="K89" s="973">
        <v>-3</v>
      </c>
      <c r="L89" s="153" t="str">
        <f t="shared" si="0"/>
        <v>1420@</v>
      </c>
      <c r="M89" s="154" t="str">
        <f t="shared" si="1"/>
        <v># DE AUTRE INV. VEH. USAGE</v>
      </c>
      <c r="N89" s="155">
        <f>+IF(OR($Q89=Parametres!$G$2,$Q89=Parametres!$G$3),I89,C89)</f>
        <v>-3</v>
      </c>
      <c r="O89" s="155">
        <f>+IF(OR($Q89=Parametres!$G$2,$Q89=Parametres!$G$3),J89,D89)</f>
        <v>0</v>
      </c>
      <c r="P89" s="155">
        <f>+IF(OR($Q89=Parametres!$G$2,$Q89=Parametres!$G$3),K89,E89)</f>
        <v>-3</v>
      </c>
      <c r="Q89" s="154" t="str">
        <f t="shared" si="7"/>
        <v>10-Compte compteur</v>
      </c>
      <c r="R89" s="153" t="str">
        <f t="shared" si="7"/>
        <v>1420</v>
      </c>
      <c r="S89" s="154">
        <f t="shared" si="7"/>
        <v>0</v>
      </c>
      <c r="T89" s="156" t="e">
        <f>+VLOOKUP($L89,Data_Validation!$A:$D,1,0)</f>
        <v>#N/A</v>
      </c>
      <c r="U89" s="156" t="e">
        <f>+VLOOKUP($L89,Data_Validation!$A:$D,3,0)</f>
        <v>#N/A</v>
      </c>
      <c r="V89" s="156" t="e">
        <f>+VLOOKUP($L89,Data_Validation!$A:$D,4,0)</f>
        <v>#N/A</v>
      </c>
      <c r="W89" s="156" t="e">
        <f>+VLOOKUP($L89,Data_Validation!$A:$E,5,0)</f>
        <v>#N/A</v>
      </c>
      <c r="X89" s="156" t="e">
        <f>+VLOOKUP($L89,Data_Validation!$A:$F,6,0)</f>
        <v>#N/A</v>
      </c>
    </row>
    <row r="90" spans="1:24" ht="15" hidden="1" customHeight="1">
      <c r="A90" s="1013" t="s">
        <v>2032</v>
      </c>
      <c r="B90" s="1013" t="s">
        <v>2033</v>
      </c>
      <c r="C90" s="1015">
        <v>271979.73</v>
      </c>
      <c r="D90" s="1015">
        <v>-23422.28</v>
      </c>
      <c r="E90" s="1015">
        <v>248557.45</v>
      </c>
      <c r="F90" s="1013" t="s">
        <v>293</v>
      </c>
      <c r="G90" s="1013" t="s">
        <v>2033</v>
      </c>
      <c r="H90" s="972"/>
      <c r="I90" s="973"/>
      <c r="J90" s="973"/>
      <c r="K90" s="973"/>
      <c r="L90" s="153" t="str">
        <f t="shared" si="0"/>
        <v>1442</v>
      </c>
      <c r="M90" s="154" t="str">
        <f t="shared" si="1"/>
        <v>PIECES &amp; ACCESSOIRES NEUFS</v>
      </c>
      <c r="N90" s="155">
        <f>+IF(OR($Q90=Parametres!$G$2,$Q90=Parametres!$G$3),I90,C90)</f>
        <v>271979.73</v>
      </c>
      <c r="O90" s="155">
        <f>+IF(OR($Q90=Parametres!$G$2,$Q90=Parametres!$G$3),J90,D90)</f>
        <v>-23422.28</v>
      </c>
      <c r="P90" s="155">
        <f>+IF(OR($Q90=Parametres!$G$2,$Q90=Parametres!$G$3),K90,E90)</f>
        <v>248557.45</v>
      </c>
      <c r="Q90" s="154" t="str">
        <f t="shared" si="7"/>
        <v>2-Actifs</v>
      </c>
      <c r="R90" s="153" t="str">
        <f t="shared" si="7"/>
        <v>1442</v>
      </c>
      <c r="S90" s="154">
        <f t="shared" si="7"/>
        <v>0</v>
      </c>
      <c r="T90" s="156" t="str">
        <f>+VLOOKUP($L90,Data_Validation!$A:$D,1,0)</f>
        <v>1442</v>
      </c>
      <c r="U90" s="156" t="str">
        <f>+VLOOKUP($L90,Data_Validation!$A:$D,3,0)</f>
        <v>Bilan</v>
      </c>
      <c r="V90" s="156" t="str">
        <f>+VLOOKUP($L90,Data_Validation!$A:$D,4,0)</f>
        <v>Inventaire Pièces, Pneus, Huile</v>
      </c>
      <c r="W90" s="156" t="str">
        <f>+VLOOKUP($L90,Data_Validation!$A:$E,5,0)</f>
        <v>$</v>
      </c>
      <c r="X90" s="156">
        <f>+VLOOKUP($L90,Data_Validation!$A:$F,6,0)</f>
        <v>0</v>
      </c>
    </row>
    <row r="91" spans="1:24" ht="15" hidden="1" customHeight="1">
      <c r="A91" s="1013" t="s">
        <v>2824</v>
      </c>
      <c r="B91" s="1013" t="s">
        <v>2825</v>
      </c>
      <c r="C91" s="1015">
        <v>25876.89</v>
      </c>
      <c r="D91" s="1015">
        <v>4571.8999999999996</v>
      </c>
      <c r="E91" s="1015">
        <v>30448.79</v>
      </c>
      <c r="F91" s="1013" t="s">
        <v>293</v>
      </c>
      <c r="G91" s="1013" t="s">
        <v>2033</v>
      </c>
      <c r="H91" s="972"/>
      <c r="I91" s="973"/>
      <c r="J91" s="973"/>
      <c r="K91" s="973"/>
      <c r="L91" s="153" t="str">
        <f t="shared" si="0"/>
        <v>1452</v>
      </c>
      <c r="M91" s="154" t="str">
        <f t="shared" si="1"/>
        <v>PNEUS</v>
      </c>
      <c r="N91" s="155">
        <f>+IF(OR($Q91=Parametres!$G$2,$Q91=Parametres!$G$3),I91,C91)</f>
        <v>25876.89</v>
      </c>
      <c r="O91" s="155">
        <f>+IF(OR($Q91=Parametres!$G$2,$Q91=Parametres!$G$3),J91,D91)</f>
        <v>4571.8999999999996</v>
      </c>
      <c r="P91" s="155">
        <f>+IF(OR($Q91=Parametres!$G$2,$Q91=Parametres!$G$3),K91,E91)</f>
        <v>30448.79</v>
      </c>
      <c r="Q91" s="154" t="str">
        <f t="shared" si="7"/>
        <v>2-Actifs</v>
      </c>
      <c r="R91" s="153" t="str">
        <f t="shared" si="7"/>
        <v>1442</v>
      </c>
      <c r="S91" s="154">
        <f t="shared" si="7"/>
        <v>0</v>
      </c>
      <c r="T91" s="156" t="str">
        <f>+VLOOKUP($L91,Data_Validation!$A:$D,1,0)</f>
        <v>1452</v>
      </c>
      <c r="U91" s="156" t="str">
        <f>+VLOOKUP($L91,Data_Validation!$A:$D,3,0)</f>
        <v>Bilan</v>
      </c>
      <c r="V91" s="156" t="str">
        <f>+VLOOKUP($L91,Data_Validation!$A:$D,4,0)</f>
        <v>Inventaire Pièces, Pneus, Huile</v>
      </c>
      <c r="W91" s="156" t="str">
        <f>+VLOOKUP($L91,Data_Validation!$A:$E,5,0)</f>
        <v>$</v>
      </c>
      <c r="X91" s="156">
        <f>+VLOOKUP($L91,Data_Validation!$A:$F,6,0)</f>
        <v>0</v>
      </c>
    </row>
    <row r="92" spans="1:24" ht="15" hidden="1" customHeight="1">
      <c r="A92" s="1013" t="s">
        <v>2740</v>
      </c>
      <c r="B92" s="1013" t="s">
        <v>2741</v>
      </c>
      <c r="C92" s="1015">
        <v>4924.1400000000003</v>
      </c>
      <c r="D92" s="1015">
        <v>8652.51</v>
      </c>
      <c r="E92" s="1015">
        <v>13576.65</v>
      </c>
      <c r="F92" s="1013" t="s">
        <v>293</v>
      </c>
      <c r="G92" s="1013" t="s">
        <v>2741</v>
      </c>
      <c r="H92" s="972"/>
      <c r="I92" s="973"/>
      <c r="J92" s="973"/>
      <c r="K92" s="973"/>
      <c r="L92" s="153" t="str">
        <f t="shared" si="0"/>
        <v>1456</v>
      </c>
      <c r="M92" s="154" t="str">
        <f t="shared" si="1"/>
        <v>PIECES VW NON ORIGINE</v>
      </c>
      <c r="N92" s="155">
        <f>+IF(OR($Q92=Parametres!$G$2,$Q92=Parametres!$G$3),I92,C92)</f>
        <v>4924.1400000000003</v>
      </c>
      <c r="O92" s="155">
        <f>+IF(OR($Q92=Parametres!$G$2,$Q92=Parametres!$G$3),J92,D92)</f>
        <v>8652.51</v>
      </c>
      <c r="P92" s="155">
        <f>+IF(OR($Q92=Parametres!$G$2,$Q92=Parametres!$G$3),K92,E92)</f>
        <v>13576.65</v>
      </c>
      <c r="Q92" s="154" t="str">
        <f t="shared" si="7"/>
        <v>2-Actifs</v>
      </c>
      <c r="R92" s="153" t="str">
        <f t="shared" si="7"/>
        <v>1456</v>
      </c>
      <c r="S92" s="154">
        <f t="shared" si="7"/>
        <v>0</v>
      </c>
      <c r="T92" s="156" t="str">
        <f>+VLOOKUP($L92,Data_Validation!$A:$D,1,0)</f>
        <v>1456</v>
      </c>
      <c r="U92" s="156" t="str">
        <f>+VLOOKUP($L92,Data_Validation!$A:$D,3,0)</f>
        <v>Bilan</v>
      </c>
      <c r="V92" s="156" t="str">
        <f>+VLOOKUP($L92,Data_Validation!$A:$D,4,0)</f>
        <v>Inventaire Pièces, Pneus, Huile</v>
      </c>
      <c r="W92" s="156" t="str">
        <f>+VLOOKUP($L92,Data_Validation!$A:$E,5,0)</f>
        <v>$</v>
      </c>
      <c r="X92" s="156">
        <f>+VLOOKUP($L92,Data_Validation!$A:$F,6,0)</f>
        <v>0</v>
      </c>
    </row>
    <row r="93" spans="1:24" ht="15" hidden="1" customHeight="1">
      <c r="A93" s="1013" t="s">
        <v>2589</v>
      </c>
      <c r="B93" s="1013" t="s">
        <v>2590</v>
      </c>
      <c r="C93" s="1015">
        <v>3177.88</v>
      </c>
      <c r="D93" s="1015">
        <v>2328.12</v>
      </c>
      <c r="E93" s="1015">
        <v>5506</v>
      </c>
      <c r="F93" s="1013" t="s">
        <v>293</v>
      </c>
      <c r="G93" s="1013" t="s">
        <v>2590</v>
      </c>
      <c r="H93" s="972"/>
      <c r="I93" s="973"/>
      <c r="J93" s="973"/>
      <c r="K93" s="973"/>
      <c r="L93" s="153" t="str">
        <f t="shared" si="0"/>
        <v>1472</v>
      </c>
      <c r="M93" s="154" t="str">
        <f t="shared" si="1"/>
        <v>WIP M-O VW</v>
      </c>
      <c r="N93" s="155">
        <f>+IF(OR($Q93=Parametres!$G$2,$Q93=Parametres!$G$3),I93,C93)</f>
        <v>3177.88</v>
      </c>
      <c r="O93" s="575">
        <f>+IF(OR($Q93=Parametres!$G$2,$Q93=Parametres!$G$3),J93,D93)</f>
        <v>2328.12</v>
      </c>
      <c r="P93" s="155">
        <f>+IF(OR($Q93=Parametres!$G$2,$Q93=Parametres!$G$3),K93,E93)</f>
        <v>5506</v>
      </c>
      <c r="Q93" s="154" t="str">
        <f t="shared" si="7"/>
        <v>2-Actifs</v>
      </c>
      <c r="R93" s="153" t="str">
        <f t="shared" si="7"/>
        <v>1472</v>
      </c>
      <c r="S93" s="154">
        <f t="shared" si="7"/>
        <v>0</v>
      </c>
      <c r="T93" s="156" t="str">
        <f>+VLOOKUP($L93,Data_Validation!$A:$D,1,0)</f>
        <v>1472</v>
      </c>
      <c r="U93" s="156" t="str">
        <f>+VLOOKUP($L93,Data_Validation!$A:$D,3,0)</f>
        <v>Bilan</v>
      </c>
      <c r="V93" s="156" t="str">
        <f>+VLOOKUP($L93,Data_Validation!$A:$D,4,0)</f>
        <v>Travaux en Cours</v>
      </c>
      <c r="W93" s="156" t="str">
        <f>+VLOOKUP($L93,Data_Validation!$A:$E,5,0)</f>
        <v>$</v>
      </c>
      <c r="X93" s="156">
        <f>+VLOOKUP($L93,Data_Validation!$A:$F,6,0)</f>
        <v>0</v>
      </c>
    </row>
    <row r="94" spans="1:24" ht="15.75" hidden="1" customHeight="1">
      <c r="A94" s="1013" t="s">
        <v>2763</v>
      </c>
      <c r="B94" s="1013" t="s">
        <v>2764</v>
      </c>
      <c r="C94" s="1015">
        <v>-2437.92</v>
      </c>
      <c r="D94" s="1015">
        <v>-36.82</v>
      </c>
      <c r="E94" s="1015">
        <v>-2474.7399999999998</v>
      </c>
      <c r="F94" s="1013" t="s">
        <v>293</v>
      </c>
      <c r="G94" s="1013" t="s">
        <v>2590</v>
      </c>
      <c r="H94" s="972"/>
      <c r="I94" s="973"/>
      <c r="J94" s="973"/>
      <c r="K94" s="973"/>
      <c r="L94" s="153" t="str">
        <f t="shared" si="0"/>
        <v>1474</v>
      </c>
      <c r="M94" s="154" t="str">
        <f t="shared" si="1"/>
        <v>INVENTAIRE SOUS-TRAITANTS</v>
      </c>
      <c r="N94" s="155">
        <f>+IF(OR($Q94=Parametres!$G$2,$Q94=Parametres!$G$3),I94,C94)</f>
        <v>-2437.92</v>
      </c>
      <c r="O94" s="155">
        <f>+IF(OR($Q94=Parametres!$G$2,$Q94=Parametres!$G$3),J94,D94)</f>
        <v>-36.82</v>
      </c>
      <c r="P94" s="155">
        <f>+IF(OR($Q94=Parametres!$G$2,$Q94=Parametres!$G$3),K94,E94)</f>
        <v>-2474.7399999999998</v>
      </c>
      <c r="Q94" s="154" t="str">
        <f t="shared" si="7"/>
        <v>2-Actifs</v>
      </c>
      <c r="R94" s="153" t="str">
        <f t="shared" si="7"/>
        <v>1472</v>
      </c>
      <c r="S94" s="154">
        <f t="shared" si="7"/>
        <v>0</v>
      </c>
      <c r="T94" s="156" t="str">
        <f>+VLOOKUP($L94,Data_Validation!$A:$D,1,0)</f>
        <v>1474</v>
      </c>
      <c r="U94" s="156" t="str">
        <f>+VLOOKUP($L94,Data_Validation!$A:$D,3,0)</f>
        <v>Bilan</v>
      </c>
      <c r="V94" s="156" t="str">
        <f>+VLOOKUP($L94,Data_Validation!$A:$D,4,0)</f>
        <v>Sous-Traitance</v>
      </c>
      <c r="W94" s="156" t="str">
        <f>+VLOOKUP($L94,Data_Validation!$A:$E,5,0)</f>
        <v>$</v>
      </c>
      <c r="X94" s="156">
        <f>+VLOOKUP($L94,Data_Validation!$A:$F,6,0)</f>
        <v>0</v>
      </c>
    </row>
    <row r="95" spans="1:24" ht="15" hidden="1" customHeight="1">
      <c r="A95" s="1013" t="s">
        <v>2140</v>
      </c>
      <c r="B95" s="1013" t="s">
        <v>2141</v>
      </c>
      <c r="C95" s="1015">
        <v>27825.65</v>
      </c>
      <c r="D95" s="1015">
        <v>751.02</v>
      </c>
      <c r="E95" s="1015">
        <v>28576.67</v>
      </c>
      <c r="F95" s="1013" t="s">
        <v>293</v>
      </c>
      <c r="G95" s="1013" t="s">
        <v>2033</v>
      </c>
      <c r="H95" s="972"/>
      <c r="I95" s="973"/>
      <c r="J95" s="973"/>
      <c r="K95" s="973"/>
      <c r="L95" s="153" t="str">
        <f t="shared" si="0"/>
        <v>1492</v>
      </c>
      <c r="M95" s="154" t="str">
        <f t="shared" si="1"/>
        <v>CARBURANT, HUILE, GRAISSE</v>
      </c>
      <c r="N95" s="155">
        <f>+IF(OR($Q95=Parametres!$G$2,$Q95=Parametres!$G$3),I95,C95)</f>
        <v>27825.65</v>
      </c>
      <c r="O95" s="155">
        <f>+IF(OR($Q95=Parametres!$G$2,$Q95=Parametres!$G$3),J95,D95)</f>
        <v>751.02</v>
      </c>
      <c r="P95" s="155">
        <f>+IF(OR($Q95=Parametres!$G$2,$Q95=Parametres!$G$3),K95,E95)</f>
        <v>28576.67</v>
      </c>
      <c r="Q95" s="154" t="str">
        <f t="shared" si="7"/>
        <v>2-Actifs</v>
      </c>
      <c r="R95" s="153" t="str">
        <f t="shared" si="7"/>
        <v>1442</v>
      </c>
      <c r="S95" s="154">
        <f t="shared" si="7"/>
        <v>0</v>
      </c>
      <c r="T95" s="156" t="str">
        <f>+VLOOKUP($L95,Data_Validation!$A:$D,1,0)</f>
        <v>1492</v>
      </c>
      <c r="U95" s="156" t="str">
        <f>+VLOOKUP($L95,Data_Validation!$A:$D,3,0)</f>
        <v>Bilan</v>
      </c>
      <c r="V95" s="156" t="str">
        <f>+VLOOKUP($L95,Data_Validation!$A:$D,4,0)</f>
        <v>Inventaire Pièces, Pneus, Huile</v>
      </c>
      <c r="W95" s="156" t="str">
        <f>+VLOOKUP($L95,Data_Validation!$A:$E,5,0)</f>
        <v>$</v>
      </c>
      <c r="X95" s="156">
        <f>+VLOOKUP($L95,Data_Validation!$A:$F,6,0)</f>
        <v>0</v>
      </c>
    </row>
    <row r="96" spans="1:24" ht="15" hidden="1" customHeight="1">
      <c r="A96" s="1013" t="s">
        <v>2691</v>
      </c>
      <c r="B96" s="1013" t="s">
        <v>2692</v>
      </c>
      <c r="C96" s="1015">
        <v>39720.300000000003</v>
      </c>
      <c r="D96" s="1015">
        <v>4635.4799999999996</v>
      </c>
      <c r="E96" s="1015">
        <v>44355.78</v>
      </c>
      <c r="F96" s="1013" t="s">
        <v>293</v>
      </c>
      <c r="G96" s="1013" t="s">
        <v>2692</v>
      </c>
      <c r="H96" s="972"/>
      <c r="I96" s="973"/>
      <c r="J96" s="973"/>
      <c r="K96" s="973"/>
      <c r="L96" s="153" t="str">
        <f t="shared" si="0"/>
        <v>1498</v>
      </c>
      <c r="M96" s="154" t="str">
        <f t="shared" si="1"/>
        <v>AUTRES INVENTAIRES</v>
      </c>
      <c r="N96" s="155">
        <f>+IF(OR($Q96=Parametres!$G$2,$Q96=Parametres!$G$3),I96,C96)</f>
        <v>39720.300000000003</v>
      </c>
      <c r="O96" s="155">
        <f>+IF(OR($Q96=Parametres!$G$2,$Q96=Parametres!$G$3),J96,D96)</f>
        <v>4635.4799999999996</v>
      </c>
      <c r="P96" s="155">
        <f>+IF(OR($Q96=Parametres!$G$2,$Q96=Parametres!$G$3),K96,E96)</f>
        <v>44355.78</v>
      </c>
      <c r="Q96" s="154" t="str">
        <f t="shared" si="7"/>
        <v>2-Actifs</v>
      </c>
      <c r="R96" s="153" t="str">
        <f t="shared" si="7"/>
        <v>1498</v>
      </c>
      <c r="S96" s="154">
        <f t="shared" si="7"/>
        <v>0</v>
      </c>
      <c r="T96" s="156" t="str">
        <f>+VLOOKUP($L96,Data_Validation!$A:$D,1,0)</f>
        <v>1498</v>
      </c>
      <c r="U96" s="156" t="str">
        <f>+VLOOKUP($L96,Data_Validation!$A:$D,3,0)</f>
        <v>Bilan</v>
      </c>
      <c r="V96" s="156" t="str">
        <f>+VLOOKUP($L96,Data_Validation!$A:$D,4,0)</f>
        <v>Inventaire Pièces, Pneus, Huile</v>
      </c>
      <c r="W96" s="156" t="str">
        <f>+VLOOKUP($L96,Data_Validation!$A:$E,5,0)</f>
        <v>$</v>
      </c>
      <c r="X96" s="156">
        <f>+VLOOKUP($L96,Data_Validation!$A:$F,6,0)</f>
        <v>0</v>
      </c>
    </row>
    <row r="97" spans="1:24" ht="15" hidden="1" customHeight="1">
      <c r="A97" s="1013" t="s">
        <v>2104</v>
      </c>
      <c r="B97" s="1013" t="s">
        <v>2105</v>
      </c>
      <c r="C97" s="1015">
        <v>10671.77</v>
      </c>
      <c r="D97" s="1015">
        <v>11405.6</v>
      </c>
      <c r="E97" s="1015">
        <v>22077.37</v>
      </c>
      <c r="F97" s="1013" t="s">
        <v>293</v>
      </c>
      <c r="G97" s="1013" t="s">
        <v>2106</v>
      </c>
      <c r="H97" s="949"/>
      <c r="I97" s="949"/>
      <c r="J97" s="949"/>
      <c r="K97" s="949"/>
      <c r="L97" s="153" t="str">
        <f t="shared" si="0"/>
        <v>1502</v>
      </c>
      <c r="M97" s="154" t="str">
        <f t="shared" si="1"/>
        <v>FPA PUB.VEHICULES NEUFS</v>
      </c>
      <c r="N97" s="155">
        <f>+IF(OR($Q97=Parametres!$G$2,$Q97=Parametres!$G$3),I97,C97)</f>
        <v>10671.77</v>
      </c>
      <c r="O97" s="155">
        <f>+IF(OR($Q97=Parametres!$G$2,$Q97=Parametres!$G$3),J97,D97)</f>
        <v>11405.6</v>
      </c>
      <c r="P97" s="155">
        <f>+IF(OR($Q97=Parametres!$G$2,$Q97=Parametres!$G$3),K97,E97)</f>
        <v>22077.37</v>
      </c>
      <c r="Q97" s="154" t="str">
        <f t="shared" si="7"/>
        <v>2-Actifs</v>
      </c>
      <c r="R97" s="153" t="str">
        <f t="shared" si="7"/>
        <v>1500</v>
      </c>
      <c r="S97" s="154">
        <f t="shared" si="7"/>
        <v>0</v>
      </c>
      <c r="T97" s="156" t="str">
        <f>+VLOOKUP($L97,Data_Validation!$A:$D,1,0)</f>
        <v>1502</v>
      </c>
      <c r="U97" s="156" t="str">
        <f>+VLOOKUP($L97,Data_Validation!$A:$D,3,0)</f>
        <v>Bilan</v>
      </c>
      <c r="V97" s="156" t="str">
        <f>+VLOOKUP($L97,Data_Validation!$A:$D,4,0)</f>
        <v>Frais Payés d'Avance</v>
      </c>
      <c r="W97" s="156" t="str">
        <f>+VLOOKUP($L97,Data_Validation!$A:$E,5,0)</f>
        <v>$</v>
      </c>
      <c r="X97" s="156">
        <f>+VLOOKUP($L97,Data_Validation!$A:$F,6,0)</f>
        <v>0</v>
      </c>
    </row>
    <row r="98" spans="1:24" ht="15" hidden="1" customHeight="1">
      <c r="A98" s="1013" t="s">
        <v>2130</v>
      </c>
      <c r="B98" s="1013" t="s">
        <v>2131</v>
      </c>
      <c r="C98" s="1015">
        <v>8128.22</v>
      </c>
      <c r="D98" s="1015">
        <v>-5033.26</v>
      </c>
      <c r="E98" s="1015">
        <v>3094.96</v>
      </c>
      <c r="F98" s="1013" t="s">
        <v>293</v>
      </c>
      <c r="G98" s="1013" t="s">
        <v>2106</v>
      </c>
      <c r="H98" s="949"/>
      <c r="I98" s="949"/>
      <c r="J98" s="949"/>
      <c r="K98" s="949"/>
      <c r="L98" s="153" t="str">
        <f t="shared" si="0"/>
        <v>1504</v>
      </c>
      <c r="M98" s="154" t="str">
        <f t="shared" si="1"/>
        <v>PUBLICITE VEH USAGES</v>
      </c>
      <c r="N98" s="155">
        <f>+IF(OR($Q98=Parametres!$G$2,$Q98=Parametres!$G$3),I98,C98)</f>
        <v>8128.22</v>
      </c>
      <c r="O98" s="155">
        <f>+IF(OR($Q98=Parametres!$G$2,$Q98=Parametres!$G$3),J98,D98)</f>
        <v>-5033.26</v>
      </c>
      <c r="P98" s="155">
        <f>+IF(OR($Q98=Parametres!$G$2,$Q98=Parametres!$G$3),K98,E98)</f>
        <v>3094.96</v>
      </c>
      <c r="Q98" s="154" t="str">
        <f t="shared" ref="Q98:S113" si="8">+F98</f>
        <v>2-Actifs</v>
      </c>
      <c r="R98" s="153" t="str">
        <f t="shared" si="8"/>
        <v>1500</v>
      </c>
      <c r="S98" s="154">
        <f t="shared" si="8"/>
        <v>0</v>
      </c>
      <c r="T98" s="156" t="str">
        <f>+VLOOKUP($L98,Data_Validation!$A:$D,1,0)</f>
        <v>1504</v>
      </c>
      <c r="U98" s="156" t="str">
        <f>+VLOOKUP($L98,Data_Validation!$A:$D,3,0)</f>
        <v>Bilan</v>
      </c>
      <c r="V98" s="156" t="str">
        <f>+VLOOKUP($L98,Data_Validation!$A:$D,4,0)</f>
        <v>Frais Payés d'Avance</v>
      </c>
      <c r="W98" s="156" t="str">
        <f>+VLOOKUP($L98,Data_Validation!$A:$E,5,0)</f>
        <v>$</v>
      </c>
      <c r="X98" s="156">
        <f>+VLOOKUP($L98,Data_Validation!$A:$F,6,0)</f>
        <v>0</v>
      </c>
    </row>
    <row r="99" spans="1:24" ht="15.75" hidden="1" customHeight="1">
      <c r="A99" s="1013" t="s">
        <v>2806</v>
      </c>
      <c r="B99" s="1013" t="s">
        <v>2807</v>
      </c>
      <c r="C99" s="1015">
        <v>-5516.28</v>
      </c>
      <c r="D99" s="1015">
        <v>1448.47</v>
      </c>
      <c r="E99" s="1015">
        <v>-4067.81</v>
      </c>
      <c r="F99" s="1013" t="s">
        <v>293</v>
      </c>
      <c r="G99" s="1013" t="s">
        <v>2106</v>
      </c>
      <c r="H99" s="949"/>
      <c r="I99" s="949"/>
      <c r="J99" s="949"/>
      <c r="K99" s="949"/>
      <c r="L99" s="153" t="str">
        <f t="shared" si="0"/>
        <v>1506</v>
      </c>
      <c r="M99" s="154" t="str">
        <f t="shared" si="1"/>
        <v>FPA PUBLICITE SERVICE</v>
      </c>
      <c r="N99" s="155">
        <f>+IF(OR($Q99=Parametres!$G$2,$Q99=Parametres!$G$3),I99,C99)</f>
        <v>-5516.28</v>
      </c>
      <c r="O99" s="155">
        <f>+IF(OR($Q99=Parametres!$G$2,$Q99=Parametres!$G$3),J99,D99)</f>
        <v>1448.47</v>
      </c>
      <c r="P99" s="155">
        <f>+IF(OR($Q99=Parametres!$G$2,$Q99=Parametres!$G$3),K99,E99)</f>
        <v>-4067.81</v>
      </c>
      <c r="Q99" s="154" t="str">
        <f t="shared" si="8"/>
        <v>2-Actifs</v>
      </c>
      <c r="R99" s="153" t="str">
        <f t="shared" si="8"/>
        <v>1500</v>
      </c>
      <c r="S99" s="154">
        <f t="shared" si="8"/>
        <v>0</v>
      </c>
      <c r="T99" s="156" t="str">
        <f>+VLOOKUP($L99,Data_Validation!$A:$D,1,0)</f>
        <v>1506</v>
      </c>
      <c r="U99" s="156" t="str">
        <f>+VLOOKUP($L99,Data_Validation!$A:$D,3,0)</f>
        <v>Bilan</v>
      </c>
      <c r="V99" s="156" t="str">
        <f>+VLOOKUP($L99,Data_Validation!$A:$D,4,0)</f>
        <v>Frais Payés d'Avance</v>
      </c>
      <c r="W99" s="156" t="str">
        <f>+VLOOKUP($L99,Data_Validation!$A:$E,5,0)</f>
        <v>$</v>
      </c>
      <c r="X99" s="156">
        <f>+VLOOKUP($L99,Data_Validation!$A:$F,6,0)</f>
        <v>0</v>
      </c>
    </row>
    <row r="100" spans="1:24" ht="15" hidden="1" customHeight="1">
      <c r="A100" s="1013" t="s">
        <v>2642</v>
      </c>
      <c r="B100" s="1013" t="s">
        <v>2643</v>
      </c>
      <c r="C100" s="1015">
        <v>1666</v>
      </c>
      <c r="D100" s="1015">
        <v>-486</v>
      </c>
      <c r="E100" s="1015">
        <v>1180</v>
      </c>
      <c r="F100" s="1013" t="s">
        <v>293</v>
      </c>
      <c r="G100" s="1013" t="s">
        <v>2106</v>
      </c>
      <c r="H100" s="949"/>
      <c r="I100" s="949"/>
      <c r="J100" s="949"/>
      <c r="K100" s="949"/>
      <c r="L100" s="153" t="str">
        <f t="shared" si="0"/>
        <v>1510</v>
      </c>
      <c r="M100" s="154" t="str">
        <f t="shared" si="1"/>
        <v>DIAMOND KOTE (NANO)</v>
      </c>
      <c r="N100" s="155">
        <f>+IF(OR($Q100=Parametres!$G$2,$Q100=Parametres!$G$3),I100,C100)</f>
        <v>1666</v>
      </c>
      <c r="O100" s="155">
        <f>+IF(OR($Q100=Parametres!$G$2,$Q100=Parametres!$G$3),J100,D100)</f>
        <v>-486</v>
      </c>
      <c r="P100" s="155">
        <f>+IF(OR($Q100=Parametres!$G$2,$Q100=Parametres!$G$3),K100,E100)</f>
        <v>1180</v>
      </c>
      <c r="Q100" s="154" t="str">
        <f t="shared" si="8"/>
        <v>2-Actifs</v>
      </c>
      <c r="R100" s="153" t="str">
        <f t="shared" si="8"/>
        <v>1500</v>
      </c>
      <c r="S100" s="154">
        <f t="shared" si="8"/>
        <v>0</v>
      </c>
      <c r="T100" s="156" t="str">
        <f>+VLOOKUP($L100,Data_Validation!$A:$D,1,0)</f>
        <v>1510</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013" t="s">
        <v>2152</v>
      </c>
      <c r="B101" s="1013" t="s">
        <v>2153</v>
      </c>
      <c r="C101" s="1015">
        <v>-1730.86</v>
      </c>
      <c r="D101" s="1015">
        <v>12680.58</v>
      </c>
      <c r="E101" s="1015">
        <v>10949.72</v>
      </c>
      <c r="F101" s="1013" t="s">
        <v>293</v>
      </c>
      <c r="G101" s="1013" t="s">
        <v>2106</v>
      </c>
      <c r="H101" s="949"/>
      <c r="I101" s="949"/>
      <c r="J101" s="949"/>
      <c r="K101" s="949"/>
      <c r="L101" s="153" t="str">
        <f t="shared" si="0"/>
        <v>1520</v>
      </c>
      <c r="M101" s="154" t="str">
        <f t="shared" si="1"/>
        <v>FPA IMMATRICULATION</v>
      </c>
      <c r="N101" s="155">
        <f>+IF(OR($Q101=Parametres!$G$2,$Q101=Parametres!$G$3),I101,C101)</f>
        <v>-1730.86</v>
      </c>
      <c r="O101" s="155">
        <f>+IF(OR($Q101=Parametres!$G$2,$Q101=Parametres!$G$3),J101,D101)</f>
        <v>12680.58</v>
      </c>
      <c r="P101" s="155">
        <f>+IF(OR($Q101=Parametres!$G$2,$Q101=Parametres!$G$3),K101,E101)</f>
        <v>10949.72</v>
      </c>
      <c r="Q101" s="154" t="str">
        <f t="shared" si="8"/>
        <v>2-Actifs</v>
      </c>
      <c r="R101" s="153" t="str">
        <f t="shared" si="8"/>
        <v>1500</v>
      </c>
      <c r="S101" s="154">
        <f t="shared" si="8"/>
        <v>0</v>
      </c>
      <c r="T101" s="156" t="str">
        <f>+VLOOKUP($L101,Data_Validation!$A:$D,1,0)</f>
        <v>1520</v>
      </c>
      <c r="U101" s="156" t="str">
        <f>+VLOOKUP($L101,Data_Validation!$A:$D,3,0)</f>
        <v>Bilan</v>
      </c>
      <c r="V101" s="156" t="str">
        <f>+VLOOKUP($L101,Data_Validation!$A:$D,4,0)</f>
        <v>Frais Payés d'Avance</v>
      </c>
      <c r="W101" s="156" t="str">
        <f>+VLOOKUP($L101,Data_Validation!$A:$E,5,0)</f>
        <v>$</v>
      </c>
      <c r="X101" s="156">
        <f>+VLOOKUP($L101,Data_Validation!$A:$F,6,0)</f>
        <v>0</v>
      </c>
    </row>
    <row r="102" spans="1:24" ht="15" hidden="1" customHeight="1">
      <c r="A102" s="1013" t="s">
        <v>2396</v>
      </c>
      <c r="B102" s="1013" t="s">
        <v>2397</v>
      </c>
      <c r="C102" s="1015">
        <v>13306</v>
      </c>
      <c r="D102" s="1015">
        <v>-2310</v>
      </c>
      <c r="E102" s="1015">
        <v>10996</v>
      </c>
      <c r="F102" s="1013" t="s">
        <v>293</v>
      </c>
      <c r="G102" s="1013" t="s">
        <v>2106</v>
      </c>
      <c r="H102" s="949"/>
      <c r="I102" s="949"/>
      <c r="J102" s="949"/>
      <c r="K102" s="949"/>
      <c r="L102" s="153" t="str">
        <f t="shared" si="0"/>
        <v>1522</v>
      </c>
      <c r="M102" s="154" t="str">
        <f t="shared" si="1"/>
        <v>ASSURANCE DALE PARIZEAU</v>
      </c>
      <c r="N102" s="155">
        <f>+IF(OR($Q102=Parametres!$G$2,$Q102=Parametres!$G$3),I102,C102)</f>
        <v>13306</v>
      </c>
      <c r="O102" s="575">
        <f>+IF(OR($Q102=Parametres!$G$2,$Q102=Parametres!$G$3),J102,D102)</f>
        <v>-2310</v>
      </c>
      <c r="P102" s="155">
        <f>+IF(OR($Q102=Parametres!$G$2,$Q102=Parametres!$G$3),K102,E102)</f>
        <v>10996</v>
      </c>
      <c r="Q102" s="154" t="str">
        <f t="shared" si="8"/>
        <v>2-Actifs</v>
      </c>
      <c r="R102" s="153" t="str">
        <f t="shared" si="8"/>
        <v>1500</v>
      </c>
      <c r="S102" s="154">
        <f t="shared" si="8"/>
        <v>0</v>
      </c>
      <c r="T102" s="156" t="str">
        <f>+VLOOKUP($L102,Data_Validation!$A:$D,1,0)</f>
        <v>1522</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013" t="s">
        <v>2857</v>
      </c>
      <c r="B103" s="1013" t="s">
        <v>2921</v>
      </c>
      <c r="C103" s="1015">
        <v>1924</v>
      </c>
      <c r="D103" s="1015">
        <v>-385</v>
      </c>
      <c r="E103" s="1015">
        <v>1539</v>
      </c>
      <c r="F103" s="1013" t="s">
        <v>293</v>
      </c>
      <c r="G103" s="1013" t="s">
        <v>2106</v>
      </c>
      <c r="H103" s="949"/>
      <c r="I103" s="948"/>
      <c r="J103" s="948"/>
      <c r="K103" s="948"/>
      <c r="L103" s="153" t="str">
        <f t="shared" si="0"/>
        <v>1524</v>
      </c>
      <c r="M103" s="154" t="str">
        <f t="shared" si="1"/>
        <v>FPS ASSURANCE DEMO</v>
      </c>
      <c r="N103" s="155">
        <f>+IF(OR($Q103=Parametres!$G$2,$Q103=Parametres!$G$3),I103,C103)</f>
        <v>1924</v>
      </c>
      <c r="O103" s="155">
        <f>+IF(OR($Q103=Parametres!$G$2,$Q103=Parametres!$G$3),J103,D103)</f>
        <v>-385</v>
      </c>
      <c r="P103" s="155">
        <f>+IF(OR($Q103=Parametres!$G$2,$Q103=Parametres!$G$3),K103,E103)</f>
        <v>1539</v>
      </c>
      <c r="Q103" s="154" t="str">
        <f t="shared" si="8"/>
        <v>2-Actifs</v>
      </c>
      <c r="R103" s="153" t="str">
        <f t="shared" si="8"/>
        <v>1500</v>
      </c>
      <c r="S103" s="154">
        <f t="shared" si="8"/>
        <v>0</v>
      </c>
      <c r="T103" s="156" t="e">
        <f>+VLOOKUP($L103,Data_Validation!$A:$D,1,0)</f>
        <v>#N/A</v>
      </c>
      <c r="U103" s="156" t="e">
        <f>+VLOOKUP($L103,Data_Validation!$A:$D,3,0)</f>
        <v>#N/A</v>
      </c>
      <c r="V103" s="156" t="e">
        <f>+VLOOKUP($L103,Data_Validation!$A:$D,4,0)</f>
        <v>#N/A</v>
      </c>
      <c r="W103" s="156" t="e">
        <f>+VLOOKUP($L103,Data_Validation!$A:$E,5,0)</f>
        <v>#N/A</v>
      </c>
      <c r="X103" s="156" t="e">
        <f>+VLOOKUP($L103,Data_Validation!$A:$F,6,0)</f>
        <v>#N/A</v>
      </c>
    </row>
    <row r="104" spans="1:24" ht="15" hidden="1" customHeight="1">
      <c r="A104" s="1013" t="s">
        <v>2124</v>
      </c>
      <c r="B104" s="1013" t="s">
        <v>2125</v>
      </c>
      <c r="C104" s="1015">
        <v>-2925</v>
      </c>
      <c r="D104" s="1015">
        <v>-1136.3399999999999</v>
      </c>
      <c r="E104" s="1015">
        <v>-4061.34</v>
      </c>
      <c r="F104" s="1013" t="s">
        <v>293</v>
      </c>
      <c r="G104" s="1013" t="s">
        <v>2106</v>
      </c>
      <c r="H104" s="949"/>
      <c r="I104" s="948"/>
      <c r="J104" s="948"/>
      <c r="K104" s="948"/>
      <c r="L104" s="153" t="str">
        <f t="shared" si="0"/>
        <v>1528</v>
      </c>
      <c r="M104" s="154" t="str">
        <f t="shared" si="1"/>
        <v>FPA DEDUCTIBLE ASSURANCE</v>
      </c>
      <c r="N104" s="155">
        <f>+IF(OR($Q104=Parametres!$G$2,$Q104=Parametres!$G$3),I104,C104)</f>
        <v>-2925</v>
      </c>
      <c r="O104" s="155">
        <f>+IF(OR($Q104=Parametres!$G$2,$Q104=Parametres!$G$3),J104,D104)</f>
        <v>-1136.3399999999999</v>
      </c>
      <c r="P104" s="155">
        <f>+IF(OR($Q104=Parametres!$G$2,$Q104=Parametres!$G$3),K104,E104)</f>
        <v>-4061.34</v>
      </c>
      <c r="Q104" s="154" t="str">
        <f t="shared" si="8"/>
        <v>2-Actifs</v>
      </c>
      <c r="R104" s="153" t="str">
        <f t="shared" si="8"/>
        <v>1500</v>
      </c>
      <c r="S104" s="154">
        <f t="shared" si="8"/>
        <v>0</v>
      </c>
      <c r="T104" s="156" t="str">
        <f>+VLOOKUP($L104,Data_Validation!$A:$D,1,0)</f>
        <v>1528</v>
      </c>
      <c r="U104" s="156" t="str">
        <f>+VLOOKUP($L104,Data_Validation!$A:$D,3,0)</f>
        <v>Bilan</v>
      </c>
      <c r="V104" s="156" t="str">
        <f>+VLOOKUP($L104,Data_Validation!$A:$D,4,0)</f>
        <v>Autres Courus</v>
      </c>
      <c r="W104" s="156" t="str">
        <f>+VLOOKUP($L104,Data_Validation!$A:$E,5,0)</f>
        <v>$</v>
      </c>
      <c r="X104" s="156">
        <f>+VLOOKUP($L104,Data_Validation!$A:$F,6,0)</f>
        <v>0</v>
      </c>
    </row>
    <row r="105" spans="1:24" ht="15" hidden="1" customHeight="1">
      <c r="A105" s="1013" t="s">
        <v>2605</v>
      </c>
      <c r="B105" s="1013" t="s">
        <v>2606</v>
      </c>
      <c r="C105" s="1015">
        <v>1656.84</v>
      </c>
      <c r="D105" s="1015">
        <v>-509.34</v>
      </c>
      <c r="E105" s="1015">
        <v>1147.5</v>
      </c>
      <c r="F105" s="1013" t="s">
        <v>293</v>
      </c>
      <c r="G105" s="1013" t="s">
        <v>2106</v>
      </c>
      <c r="H105" s="949"/>
      <c r="I105" s="948"/>
      <c r="J105" s="948"/>
      <c r="K105" s="948"/>
      <c r="L105" s="153" t="str">
        <f t="shared" si="0"/>
        <v>1530</v>
      </c>
      <c r="M105" s="154" t="str">
        <f t="shared" si="1"/>
        <v>FPA PAPETERIE</v>
      </c>
      <c r="N105" s="155">
        <f>+IF(OR($Q105=Parametres!$G$2,$Q105=Parametres!$G$3),I105,C105)</f>
        <v>1656.84</v>
      </c>
      <c r="O105" s="155">
        <f>+IF(OR($Q105=Parametres!$G$2,$Q105=Parametres!$G$3),J105,D105)</f>
        <v>-509.34</v>
      </c>
      <c r="P105" s="155">
        <f>+IF(OR($Q105=Parametres!$G$2,$Q105=Parametres!$G$3),K105,E105)</f>
        <v>1147.5</v>
      </c>
      <c r="Q105" s="154" t="str">
        <f t="shared" si="8"/>
        <v>2-Actifs</v>
      </c>
      <c r="R105" s="153" t="str">
        <f t="shared" si="8"/>
        <v>1500</v>
      </c>
      <c r="S105" s="154">
        <f t="shared" si="8"/>
        <v>0</v>
      </c>
      <c r="T105" s="156" t="str">
        <f>+VLOOKUP($L105,Data_Validation!$A:$D,1,0)</f>
        <v>1530</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3" t="s">
        <v>2181</v>
      </c>
      <c r="B106" s="1013" t="s">
        <v>2182</v>
      </c>
      <c r="C106" s="1015">
        <v>1913.95</v>
      </c>
      <c r="D106" s="1015">
        <v>-200</v>
      </c>
      <c r="E106" s="1015">
        <v>1713.95</v>
      </c>
      <c r="F106" s="1013" t="s">
        <v>293</v>
      </c>
      <c r="G106" s="1013" t="s">
        <v>2106</v>
      </c>
      <c r="H106" s="949"/>
      <c r="I106" s="948"/>
      <c r="J106" s="948"/>
      <c r="K106" s="948"/>
      <c r="L106" s="153" t="str">
        <f t="shared" si="0"/>
        <v>1532</v>
      </c>
      <c r="M106" s="154" t="str">
        <f t="shared" si="1"/>
        <v>FPA C.C.A.M.Q.</v>
      </c>
      <c r="N106" s="155">
        <f>+IF(OR($Q106=Parametres!$G$2,$Q106=Parametres!$G$3),I106,C106)</f>
        <v>1913.95</v>
      </c>
      <c r="O106" s="575">
        <f>+IF(OR($Q106=Parametres!$G$2,$Q106=Parametres!$G$3),J106,D106)</f>
        <v>-200</v>
      </c>
      <c r="P106" s="155">
        <f>+IF(OR($Q106=Parametres!$G$2,$Q106=Parametres!$G$3),K106,E106)</f>
        <v>1713.95</v>
      </c>
      <c r="Q106" s="154" t="str">
        <f t="shared" si="8"/>
        <v>2-Actifs</v>
      </c>
      <c r="R106" s="153" t="str">
        <f t="shared" si="8"/>
        <v>1500</v>
      </c>
      <c r="S106" s="154">
        <f t="shared" si="8"/>
        <v>0</v>
      </c>
      <c r="T106" s="156" t="str">
        <f>+VLOOKUP($L106,Data_Validation!$A:$D,1,0)</f>
        <v>1532</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13" t="s">
        <v>2199</v>
      </c>
      <c r="B107" s="1013" t="s">
        <v>2200</v>
      </c>
      <c r="C107" s="1015">
        <v>1780.49</v>
      </c>
      <c r="D107" s="1015">
        <v>-207.35</v>
      </c>
      <c r="E107" s="1015">
        <v>1573.14</v>
      </c>
      <c r="F107" s="1013" t="s">
        <v>293</v>
      </c>
      <c r="G107" s="1013" t="s">
        <v>2106</v>
      </c>
      <c r="H107" s="949"/>
      <c r="I107" s="948"/>
      <c r="J107" s="948"/>
      <c r="K107" s="948"/>
      <c r="L107" s="153" t="str">
        <f t="shared" si="0"/>
        <v>1534</v>
      </c>
      <c r="M107" s="154" t="str">
        <f t="shared" si="1"/>
        <v>FPA FOURNITURES LAVAGE</v>
      </c>
      <c r="N107" s="155">
        <f>+IF(OR($Q107=Parametres!$G$2,$Q107=Parametres!$G$3),I107,C107)</f>
        <v>1780.49</v>
      </c>
      <c r="O107" s="155">
        <f>+IF(OR($Q107=Parametres!$G$2,$Q107=Parametres!$G$3),J107,D107)</f>
        <v>-207.35</v>
      </c>
      <c r="P107" s="155">
        <f>+IF(OR($Q107=Parametres!$G$2,$Q107=Parametres!$G$3),K107,E107)</f>
        <v>1573.14</v>
      </c>
      <c r="Q107" s="154" t="str">
        <f t="shared" si="8"/>
        <v>2-Actifs</v>
      </c>
      <c r="R107" s="153" t="str">
        <f t="shared" si="8"/>
        <v>1500</v>
      </c>
      <c r="S107" s="154">
        <f t="shared" si="8"/>
        <v>0</v>
      </c>
      <c r="T107" s="156" t="str">
        <f>+VLOOKUP($L107,Data_Validation!$A:$D,1,0)</f>
        <v>1534</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013" t="s">
        <v>2398</v>
      </c>
      <c r="B108" s="1013" t="s">
        <v>2399</v>
      </c>
      <c r="C108" s="1015">
        <v>-8666.09</v>
      </c>
      <c r="D108" s="1015">
        <v>-5985.98</v>
      </c>
      <c r="E108" s="1015">
        <v>-14652.07</v>
      </c>
      <c r="F108" s="1013" t="s">
        <v>293</v>
      </c>
      <c r="G108" s="1013" t="s">
        <v>2106</v>
      </c>
      <c r="H108" s="949"/>
      <c r="I108" s="948"/>
      <c r="J108" s="948"/>
      <c r="K108" s="948"/>
      <c r="L108" s="153" t="str">
        <f t="shared" si="0"/>
        <v>1536</v>
      </c>
      <c r="M108" s="154" t="str">
        <f t="shared" si="1"/>
        <v>FPA HONORAIRES PROFESSIONNELS</v>
      </c>
      <c r="N108" s="155">
        <f>+IF(OR($Q108=Parametres!$G$2,$Q108=Parametres!$G$3),I108,C108)</f>
        <v>-8666.09</v>
      </c>
      <c r="O108" s="155">
        <f>+IF(OR($Q108=Parametres!$G$2,$Q108=Parametres!$G$3),J108,D108)</f>
        <v>-5985.98</v>
      </c>
      <c r="P108" s="155">
        <f>+IF(OR($Q108=Parametres!$G$2,$Q108=Parametres!$G$3),K108,E108)</f>
        <v>-14652.07</v>
      </c>
      <c r="Q108" s="154" t="str">
        <f t="shared" si="8"/>
        <v>2-Actifs</v>
      </c>
      <c r="R108" s="153" t="str">
        <f t="shared" si="8"/>
        <v>1500</v>
      </c>
      <c r="S108" s="154">
        <f t="shared" si="8"/>
        <v>0</v>
      </c>
      <c r="T108" s="156" t="str">
        <f>+VLOOKUP($L108,Data_Validation!$A:$D,1,0)</f>
        <v>1536</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3" t="s">
        <v>2682</v>
      </c>
      <c r="B109" s="1013" t="s">
        <v>2683</v>
      </c>
      <c r="C109" s="1015">
        <v>-12843.05</v>
      </c>
      <c r="D109" s="1015">
        <v>-5099.25</v>
      </c>
      <c r="E109" s="1015">
        <v>-17942.3</v>
      </c>
      <c r="F109" s="1013" t="s">
        <v>293</v>
      </c>
      <c r="G109" s="1013" t="s">
        <v>2106</v>
      </c>
      <c r="H109" s="949"/>
      <c r="I109" s="948"/>
      <c r="J109" s="948"/>
      <c r="K109" s="948"/>
      <c r="L109" s="153" t="str">
        <f t="shared" si="0"/>
        <v>1538</v>
      </c>
      <c r="M109" s="154" t="str">
        <f t="shared" si="1"/>
        <v>FPA FORMATION</v>
      </c>
      <c r="N109" s="155">
        <f>+IF(OR($Q109=Parametres!$G$2,$Q109=Parametres!$G$3),I109,C109)</f>
        <v>-12843.05</v>
      </c>
      <c r="O109" s="575">
        <f>+IF(OR($Q109=Parametres!$G$2,$Q109=Parametres!$G$3),J109,D109)</f>
        <v>-5099.25</v>
      </c>
      <c r="P109" s="155">
        <f>+IF(OR($Q109=Parametres!$G$2,$Q109=Parametres!$G$3),K109,E109)</f>
        <v>-17942.3</v>
      </c>
      <c r="Q109" s="154" t="str">
        <f t="shared" si="8"/>
        <v>2-Actifs</v>
      </c>
      <c r="R109" s="153" t="str">
        <f t="shared" si="8"/>
        <v>1500</v>
      </c>
      <c r="S109" s="154">
        <f t="shared" si="8"/>
        <v>0</v>
      </c>
      <c r="T109" s="156" t="str">
        <f>+VLOOKUP($L109,Data_Validation!$A:$D,1,0)</f>
        <v>1538</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013" t="s">
        <v>2785</v>
      </c>
      <c r="B110" s="1013" t="s">
        <v>2786</v>
      </c>
      <c r="C110" s="1015">
        <v>-4665.8900000000003</v>
      </c>
      <c r="D110" s="1015">
        <v>751.68</v>
      </c>
      <c r="E110" s="1015">
        <v>-3914.21</v>
      </c>
      <c r="F110" s="1013" t="s">
        <v>293</v>
      </c>
      <c r="G110" s="1013" t="s">
        <v>2106</v>
      </c>
      <c r="H110" s="949"/>
      <c r="I110" s="948"/>
      <c r="J110" s="948"/>
      <c r="K110" s="948"/>
      <c r="L110" s="153" t="str">
        <f t="shared" si="0"/>
        <v>1540</v>
      </c>
      <c r="M110" s="154" t="str">
        <f t="shared" si="1"/>
        <v>FPA CONTRATS DE SERVICES</v>
      </c>
      <c r="N110" s="155">
        <f>+IF(OR($Q110=Parametres!$G$2,$Q110=Parametres!$G$3),I110,C110)</f>
        <v>-4665.8900000000003</v>
      </c>
      <c r="O110" s="155">
        <f>+IF(OR($Q110=Parametres!$G$2,$Q110=Parametres!$G$3),J110,D110)</f>
        <v>751.68</v>
      </c>
      <c r="P110" s="155">
        <f>+IF(OR($Q110=Parametres!$G$2,$Q110=Parametres!$G$3),K110,E110)</f>
        <v>-3914.21</v>
      </c>
      <c r="Q110" s="154" t="str">
        <f t="shared" si="8"/>
        <v>2-Actifs</v>
      </c>
      <c r="R110" s="153" t="str">
        <f t="shared" si="8"/>
        <v>1500</v>
      </c>
      <c r="S110" s="154">
        <f t="shared" si="8"/>
        <v>0</v>
      </c>
      <c r="T110" s="156" t="str">
        <f>+VLOOKUP($L110,Data_Validation!$A:$D,1,0)</f>
        <v>1540</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013" t="s">
        <v>2201</v>
      </c>
      <c r="B111" s="1013" t="s">
        <v>2202</v>
      </c>
      <c r="C111" s="1015">
        <v>6268.14</v>
      </c>
      <c r="D111" s="1015">
        <v>731.75</v>
      </c>
      <c r="E111" s="1015">
        <v>6999.89</v>
      </c>
      <c r="F111" s="1013" t="s">
        <v>293</v>
      </c>
      <c r="G111" s="1013" t="s">
        <v>2106</v>
      </c>
      <c r="H111" s="949"/>
      <c r="I111" s="948"/>
      <c r="J111" s="948"/>
      <c r="K111" s="948"/>
      <c r="L111" s="153" t="str">
        <f t="shared" si="0"/>
        <v>1544</v>
      </c>
      <c r="M111" s="154" t="str">
        <f t="shared" si="1"/>
        <v>FPA GAZ METROPOLITAIN</v>
      </c>
      <c r="N111" s="155">
        <f>+IF(OR($Q111=Parametres!$G$2,$Q111=Parametres!$G$3),I111,C111)</f>
        <v>6268.14</v>
      </c>
      <c r="O111" s="155">
        <f>+IF(OR($Q111=Parametres!$G$2,$Q111=Parametres!$G$3),J111,D111)</f>
        <v>731.75</v>
      </c>
      <c r="P111" s="155">
        <f>+IF(OR($Q111=Parametres!$G$2,$Q111=Parametres!$G$3),K111,E111)</f>
        <v>6999.89</v>
      </c>
      <c r="Q111" s="154" t="str">
        <f t="shared" si="8"/>
        <v>2-Actifs</v>
      </c>
      <c r="R111" s="153" t="str">
        <f t="shared" si="8"/>
        <v>1500</v>
      </c>
      <c r="S111" s="154">
        <f t="shared" si="8"/>
        <v>0</v>
      </c>
      <c r="T111" s="156" t="str">
        <f>+VLOOKUP($L111,Data_Validation!$A:$D,1,0)</f>
        <v>1544</v>
      </c>
      <c r="U111" s="156" t="str">
        <f>+VLOOKUP($L111,Data_Validation!$A:$D,3,0)</f>
        <v>Bilan</v>
      </c>
      <c r="V111" s="156" t="str">
        <f>+VLOOKUP($L111,Data_Validation!$A:$D,4,0)</f>
        <v>Autres Courus</v>
      </c>
      <c r="W111" s="156" t="str">
        <f>+VLOOKUP($L111,Data_Validation!$A:$E,5,0)</f>
        <v>$</v>
      </c>
      <c r="X111" s="156">
        <f>+VLOOKUP($L111,Data_Validation!$A:$F,6,0)</f>
        <v>0</v>
      </c>
    </row>
    <row r="112" spans="1:24" ht="15" hidden="1" customHeight="1">
      <c r="A112" s="1013" t="s">
        <v>2186</v>
      </c>
      <c r="B112" s="1013" t="s">
        <v>2187</v>
      </c>
      <c r="C112" s="1015">
        <v>-3263.43</v>
      </c>
      <c r="D112" s="1015">
        <v>-238.25</v>
      </c>
      <c r="E112" s="1015">
        <v>-3501.68</v>
      </c>
      <c r="F112" s="1013" t="s">
        <v>293</v>
      </c>
      <c r="G112" s="1013" t="s">
        <v>2106</v>
      </c>
      <c r="H112" s="949"/>
      <c r="I112" s="948"/>
      <c r="J112" s="948"/>
      <c r="K112" s="948"/>
      <c r="L112" s="153" t="str">
        <f t="shared" si="0"/>
        <v>1546</v>
      </c>
      <c r="M112" s="154" t="str">
        <f t="shared" si="1"/>
        <v>FPA ELECTRICITE HYDRO-QUEBEC</v>
      </c>
      <c r="N112" s="155">
        <f>+IF(OR($Q112=Parametres!$G$2,$Q112=Parametres!$G$3),I112,C112)</f>
        <v>-3263.43</v>
      </c>
      <c r="O112" s="155">
        <f>+IF(OR($Q112=Parametres!$G$2,$Q112=Parametres!$G$3),J112,D112)</f>
        <v>-238.25</v>
      </c>
      <c r="P112" s="155">
        <f>+IF(OR($Q112=Parametres!$G$2,$Q112=Parametres!$G$3),K112,E112)</f>
        <v>-3501.68</v>
      </c>
      <c r="Q112" s="154" t="str">
        <f t="shared" si="8"/>
        <v>2-Actifs</v>
      </c>
      <c r="R112" s="153" t="str">
        <f t="shared" si="8"/>
        <v>1500</v>
      </c>
      <c r="S112" s="154">
        <f t="shared" si="8"/>
        <v>0</v>
      </c>
      <c r="T112" s="156" t="str">
        <f>+VLOOKUP($L112,Data_Validation!$A:$D,1,0)</f>
        <v>1546</v>
      </c>
      <c r="U112" s="156" t="str">
        <f>+VLOOKUP($L112,Data_Validation!$A:$D,3,0)</f>
        <v>Bilan</v>
      </c>
      <c r="V112" s="156" t="str">
        <f>+VLOOKUP($L112,Data_Validation!$A:$D,4,0)</f>
        <v>Autres Courus</v>
      </c>
      <c r="W112" s="156" t="str">
        <f>+VLOOKUP($L112,Data_Validation!$A:$E,5,0)</f>
        <v>$</v>
      </c>
      <c r="X112" s="156">
        <f>+VLOOKUP($L112,Data_Validation!$A:$F,6,0)</f>
        <v>0</v>
      </c>
    </row>
    <row r="113" spans="1:24" ht="15.75" hidden="1" customHeight="1">
      <c r="A113" s="1013" t="s">
        <v>2122</v>
      </c>
      <c r="B113" s="1013" t="s">
        <v>2123</v>
      </c>
      <c r="C113" s="1015">
        <v>15987.81</v>
      </c>
      <c r="D113" s="1015">
        <v>-2889.78</v>
      </c>
      <c r="E113" s="1015">
        <v>13098.03</v>
      </c>
      <c r="F113" s="1013" t="s">
        <v>293</v>
      </c>
      <c r="G113" s="1013" t="s">
        <v>2106</v>
      </c>
      <c r="H113" s="949"/>
      <c r="I113" s="948"/>
      <c r="J113" s="948"/>
      <c r="K113" s="948"/>
      <c r="L113" s="153" t="str">
        <f t="shared" si="0"/>
        <v>1552</v>
      </c>
      <c r="M113" s="154" t="str">
        <f t="shared" si="1"/>
        <v>FPA C.S.S.T.</v>
      </c>
      <c r="N113" s="155">
        <f>+IF(OR($Q113=Parametres!$G$2,$Q113=Parametres!$G$3),I113,C113)</f>
        <v>15987.81</v>
      </c>
      <c r="O113" s="575">
        <f>+IF(OR($Q113=Parametres!$G$2,$Q113=Parametres!$G$3),J113,D113)</f>
        <v>-2889.78</v>
      </c>
      <c r="P113" s="155">
        <f>+IF(OR($Q113=Parametres!$G$2,$Q113=Parametres!$G$3),K113,E113)</f>
        <v>13098.03</v>
      </c>
      <c r="Q113" s="154" t="str">
        <f t="shared" si="8"/>
        <v>2-Actifs</v>
      </c>
      <c r="R113" s="153" t="str">
        <f t="shared" si="8"/>
        <v>1500</v>
      </c>
      <c r="S113" s="154">
        <f t="shared" si="8"/>
        <v>0</v>
      </c>
      <c r="T113" s="156" t="str">
        <f>+VLOOKUP($L113,Data_Validation!$A:$D,1,0)</f>
        <v>1552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3" t="s">
        <v>2116</v>
      </c>
      <c r="B114" s="1013" t="s">
        <v>2117</v>
      </c>
      <c r="C114" s="1015">
        <v>13430.62</v>
      </c>
      <c r="D114" s="1015">
        <v>-4275</v>
      </c>
      <c r="E114" s="1015">
        <v>9155.6200000000008</v>
      </c>
      <c r="F114" s="1013" t="s">
        <v>293</v>
      </c>
      <c r="G114" s="1013" t="s">
        <v>2106</v>
      </c>
      <c r="H114" s="949"/>
      <c r="I114" s="948"/>
      <c r="J114" s="948"/>
      <c r="K114" s="948"/>
      <c r="L114" s="153" t="str">
        <f t="shared" si="0"/>
        <v>1582</v>
      </c>
      <c r="M114" s="579" t="str">
        <f t="shared" si="1"/>
        <v>FPA TAXES MUNICIPALES</v>
      </c>
      <c r="N114" s="155">
        <f>+IF(OR($Q114=Parametres!$G$2,$Q114=Parametres!$G$3),I114,C114)</f>
        <v>13430.62</v>
      </c>
      <c r="O114" s="580">
        <f>+IF(OR($Q114=Parametres!$G$2,$Q114=Parametres!$G$3),J114,D114)</f>
        <v>-4275</v>
      </c>
      <c r="P114" s="581">
        <f>+IF(OR($Q114=Parametres!$G$2,$Q114=Parametres!$G$3),K114,E114)</f>
        <v>9155.6200000000008</v>
      </c>
      <c r="Q114" s="154" t="str">
        <f t="shared" ref="Q114:S129" si="9">+F114</f>
        <v>2-Actifs</v>
      </c>
      <c r="R114" s="153" t="str">
        <f t="shared" si="9"/>
        <v>1500</v>
      </c>
      <c r="S114" s="154">
        <f t="shared" si="9"/>
        <v>0</v>
      </c>
      <c r="T114" s="156" t="str">
        <f>+VLOOKUP($L114,Data_Validation!$A:$D,1,0)</f>
        <v>1582</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3" t="s">
        <v>2142</v>
      </c>
      <c r="B115" s="1013" t="s">
        <v>2143</v>
      </c>
      <c r="C115" s="1015">
        <v>-5850</v>
      </c>
      <c r="D115" s="1015">
        <v>-2925</v>
      </c>
      <c r="E115" s="1015">
        <v>-8775</v>
      </c>
      <c r="F115" s="1013" t="s">
        <v>293</v>
      </c>
      <c r="G115" s="1013" t="s">
        <v>2106</v>
      </c>
      <c r="H115" s="949"/>
      <c r="I115" s="948"/>
      <c r="J115" s="948"/>
      <c r="K115" s="948"/>
      <c r="L115" s="153" t="str">
        <f t="shared" si="0"/>
        <v>1584</v>
      </c>
      <c r="M115" s="154" t="str">
        <f t="shared" si="1"/>
        <v>FPA TAXES AFFAIRES</v>
      </c>
      <c r="N115" s="155">
        <f>+IF(OR($Q115=Parametres!$G$2,$Q115=Parametres!$G$3),I115,C115)</f>
        <v>-5850</v>
      </c>
      <c r="O115" s="155">
        <f>+IF(OR($Q115=Parametres!$G$2,$Q115=Parametres!$G$3),J115,D115)</f>
        <v>-2925</v>
      </c>
      <c r="P115" s="155">
        <f>+IF(OR($Q115=Parametres!$G$2,$Q115=Parametres!$G$3),K115,E115)</f>
        <v>-8775</v>
      </c>
      <c r="Q115" s="154" t="str">
        <f t="shared" si="9"/>
        <v>2-Actifs</v>
      </c>
      <c r="R115" s="153" t="str">
        <f t="shared" si="9"/>
        <v>1500</v>
      </c>
      <c r="S115" s="154">
        <f t="shared" si="9"/>
        <v>0</v>
      </c>
      <c r="T115" s="156" t="str">
        <f>+VLOOKUP($L115,Data_Validation!$A:$D,1,0)</f>
        <v>1584</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3" t="s">
        <v>2177</v>
      </c>
      <c r="B116" s="1013" t="s">
        <v>2178</v>
      </c>
      <c r="C116" s="1015">
        <v>691.73</v>
      </c>
      <c r="D116" s="1015">
        <v>-650</v>
      </c>
      <c r="E116" s="1015">
        <v>41.73</v>
      </c>
      <c r="F116" s="1013" t="s">
        <v>293</v>
      </c>
      <c r="G116" s="1013" t="s">
        <v>2106</v>
      </c>
      <c r="H116" s="949"/>
      <c r="I116" s="948"/>
      <c r="J116" s="948"/>
      <c r="K116" s="948"/>
      <c r="L116" s="153" t="str">
        <f t="shared" si="0"/>
        <v>1586</v>
      </c>
      <c r="M116" s="154" t="str">
        <f t="shared" si="1"/>
        <v>FPA TAXES SCOLAIRES</v>
      </c>
      <c r="N116" s="155">
        <f>+IF(OR($Q116=Parametres!$G$2,$Q116=Parametres!$G$3),I116,C116)</f>
        <v>691.73</v>
      </c>
      <c r="O116" s="155">
        <f>+IF(OR($Q116=Parametres!$G$2,$Q116=Parametres!$G$3),J116,D116)</f>
        <v>-650</v>
      </c>
      <c r="P116" s="155">
        <f>+IF(OR($Q116=Parametres!$G$2,$Q116=Parametres!$G$3),K116,E116)</f>
        <v>41.73</v>
      </c>
      <c r="Q116" s="154" t="str">
        <f t="shared" si="9"/>
        <v>2-Actifs</v>
      </c>
      <c r="R116" s="153" t="str">
        <f t="shared" si="9"/>
        <v>1500</v>
      </c>
      <c r="S116" s="154">
        <f t="shared" si="9"/>
        <v>0</v>
      </c>
      <c r="T116" s="156" t="str">
        <f>+VLOOKUP($L116,Data_Validation!$A:$D,1,0)</f>
        <v>1586</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3" t="s">
        <v>2803</v>
      </c>
      <c r="B117" s="1013" t="s">
        <v>2804</v>
      </c>
      <c r="C117" s="1015">
        <v>47948.84</v>
      </c>
      <c r="D117" s="1015">
        <v>42265.65</v>
      </c>
      <c r="E117" s="1015">
        <v>90214.49</v>
      </c>
      <c r="F117" s="1013" t="s">
        <v>293</v>
      </c>
      <c r="G117" s="1013" t="s">
        <v>2106</v>
      </c>
      <c r="H117" s="949"/>
      <c r="I117" s="948"/>
      <c r="J117" s="948"/>
      <c r="K117" s="948"/>
      <c r="L117" s="153" t="str">
        <f t="shared" si="0"/>
        <v>1592</v>
      </c>
      <c r="M117" s="579" t="str">
        <f t="shared" si="1"/>
        <v>FPA AUTRES</v>
      </c>
      <c r="N117" s="155">
        <f>+IF(OR($Q117=Parametres!$G$2,$Q117=Parametres!$G$3),I117,C117)</f>
        <v>47948.84</v>
      </c>
      <c r="O117" s="580">
        <f>+IF(OR($Q117=Parametres!$G$2,$Q117=Parametres!$G$3),J117,D117)</f>
        <v>42265.65</v>
      </c>
      <c r="P117" s="581">
        <f>+IF(OR($Q117=Parametres!$G$2,$Q117=Parametres!$G$3),K117,E117)</f>
        <v>90214.49</v>
      </c>
      <c r="Q117" s="154" t="str">
        <f t="shared" si="9"/>
        <v>2-Actifs</v>
      </c>
      <c r="R117" s="153" t="str">
        <f t="shared" si="9"/>
        <v>1500</v>
      </c>
      <c r="S117" s="154">
        <f t="shared" si="9"/>
        <v>0</v>
      </c>
      <c r="T117" s="156" t="str">
        <f>+VLOOKUP($L117,Data_Validation!$A:$D,1,0)</f>
        <v>1592</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3" t="s">
        <v>478</v>
      </c>
      <c r="B118" s="1013" t="s">
        <v>2129</v>
      </c>
      <c r="C118" s="1015">
        <v>-4639.6099999999997</v>
      </c>
      <c r="D118" s="1015">
        <v>-2302.0700000000002</v>
      </c>
      <c r="E118" s="1015">
        <v>-6941.68</v>
      </c>
      <c r="F118" s="1013" t="s">
        <v>293</v>
      </c>
      <c r="G118" s="1013" t="s">
        <v>2106</v>
      </c>
      <c r="H118" s="949"/>
      <c r="I118" s="948"/>
      <c r="J118" s="948"/>
      <c r="K118" s="948"/>
      <c r="L118" s="153" t="str">
        <f t="shared" si="0"/>
        <v>1593</v>
      </c>
      <c r="M118" s="154" t="str">
        <f t="shared" si="1"/>
        <v>FRAIS REPAS ET REPRESENTATION 50%</v>
      </c>
      <c r="N118" s="155">
        <f>+IF(OR($Q118=Parametres!$G$2,$Q118=Parametres!$G$3),I118,C118)</f>
        <v>-4639.6099999999997</v>
      </c>
      <c r="O118" s="575">
        <f>+IF(OR($Q118=Parametres!$G$2,$Q118=Parametres!$G$3),J118,D118)</f>
        <v>-2302.0700000000002</v>
      </c>
      <c r="P118" s="155">
        <f>+IF(OR($Q118=Parametres!$G$2,$Q118=Parametres!$G$3),K118,E118)</f>
        <v>-6941.68</v>
      </c>
      <c r="Q118" s="154" t="str">
        <f t="shared" si="9"/>
        <v>2-Actifs</v>
      </c>
      <c r="R118" s="153" t="str">
        <f t="shared" si="9"/>
        <v>1500</v>
      </c>
      <c r="S118" s="154">
        <f t="shared" si="9"/>
        <v>0</v>
      </c>
      <c r="T118" s="156" t="str">
        <f>+VLOOKUP($L118,Data_Validation!$A:$D,1,0)</f>
        <v>1593</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3" t="s">
        <v>2576</v>
      </c>
      <c r="B119" s="1013" t="s">
        <v>2577</v>
      </c>
      <c r="C119" s="1015">
        <v>153.28</v>
      </c>
      <c r="D119" s="1015">
        <v>391.7</v>
      </c>
      <c r="E119" s="1015">
        <v>544.98</v>
      </c>
      <c r="F119" s="1013" t="s">
        <v>293</v>
      </c>
      <c r="G119" s="1013" t="s">
        <v>2106</v>
      </c>
      <c r="H119" s="949"/>
      <c r="I119" s="948"/>
      <c r="J119" s="948"/>
      <c r="K119" s="948"/>
      <c r="L119" s="153" t="str">
        <f t="shared" si="0"/>
        <v>1594</v>
      </c>
      <c r="M119" s="154" t="str">
        <f t="shared" si="1"/>
        <v>FRAIS VOYAGE 100%</v>
      </c>
      <c r="N119" s="155">
        <f>+IF(OR($Q119=Parametres!$G$2,$Q119=Parametres!$G$3),I119,C119)</f>
        <v>153.28</v>
      </c>
      <c r="O119" s="575">
        <f>+IF(OR($Q119=Parametres!$G$2,$Q119=Parametres!$G$3),J119,D119)</f>
        <v>391.7</v>
      </c>
      <c r="P119" s="155">
        <f>+IF(OR($Q119=Parametres!$G$2,$Q119=Parametres!$G$3),K119,E119)</f>
        <v>544.98</v>
      </c>
      <c r="Q119" s="154" t="str">
        <f t="shared" si="9"/>
        <v>2-Actifs</v>
      </c>
      <c r="R119" s="153" t="str">
        <f t="shared" si="9"/>
        <v>1500</v>
      </c>
      <c r="S119" s="154">
        <f t="shared" si="9"/>
        <v>0</v>
      </c>
      <c r="T119" s="156" t="str">
        <f>+VLOOKUP($L119,Data_Validation!$A:$D,1,0)</f>
        <v>1594</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3" t="s">
        <v>2574</v>
      </c>
      <c r="B120" s="1013" t="s">
        <v>2575</v>
      </c>
      <c r="C120" s="1015">
        <v>1414.02</v>
      </c>
      <c r="D120" s="1015">
        <v>0</v>
      </c>
      <c r="E120" s="1015">
        <v>1414.02</v>
      </c>
      <c r="F120" s="1013" t="s">
        <v>293</v>
      </c>
      <c r="G120" s="1013" t="s">
        <v>2106</v>
      </c>
      <c r="H120" s="949"/>
      <c r="I120" s="948"/>
      <c r="J120" s="948"/>
      <c r="K120" s="948"/>
      <c r="L120" s="153" t="str">
        <f t="shared" si="0"/>
        <v>1595</v>
      </c>
      <c r="M120" s="154" t="str">
        <f t="shared" si="1"/>
        <v>FRAIS REP NON DEDUCTIBLE 0%</v>
      </c>
      <c r="N120" s="155">
        <f>+IF(OR($Q120=Parametres!$G$2,$Q120=Parametres!$G$3),I120,C120)</f>
        <v>1414.02</v>
      </c>
      <c r="O120" s="155">
        <f>+IF(OR($Q120=Parametres!$G$2,$Q120=Parametres!$G$3),J120,D120)</f>
        <v>0</v>
      </c>
      <c r="P120" s="155">
        <f>+IF(OR($Q120=Parametres!$G$2,$Q120=Parametres!$G$3),K120,E120)</f>
        <v>1414.02</v>
      </c>
      <c r="Q120" s="154" t="str">
        <f t="shared" si="9"/>
        <v>2-Actifs</v>
      </c>
      <c r="R120" s="153" t="str">
        <f t="shared" si="9"/>
        <v>1500</v>
      </c>
      <c r="S120" s="154">
        <f t="shared" si="9"/>
        <v>0</v>
      </c>
      <c r="T120" s="156" t="str">
        <f>+VLOOKUP($L120,Data_Validation!$A:$D,1,0)</f>
        <v>1595</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3" t="s">
        <v>2400</v>
      </c>
      <c r="B121" s="1013" t="s">
        <v>2401</v>
      </c>
      <c r="C121" s="1015">
        <v>133189.21</v>
      </c>
      <c r="D121" s="1015">
        <v>0</v>
      </c>
      <c r="E121" s="1015">
        <v>133189.21</v>
      </c>
      <c r="F121" s="1013" t="s">
        <v>293</v>
      </c>
      <c r="G121" s="1013" t="s">
        <v>2128</v>
      </c>
      <c r="H121" s="949"/>
      <c r="I121" s="948"/>
      <c r="J121" s="948"/>
      <c r="K121" s="948"/>
      <c r="L121" s="153" t="str">
        <f t="shared" si="0"/>
        <v>1732</v>
      </c>
      <c r="M121" s="154" t="str">
        <f t="shared" si="1"/>
        <v>AMELIOR. LOCATIVES</v>
      </c>
      <c r="N121" s="155">
        <f>+IF(OR($Q121=Parametres!$G$2,$Q121=Parametres!$G$3),I121,C121)</f>
        <v>133189.21</v>
      </c>
      <c r="O121" s="155">
        <f>+IF(OR($Q121=Parametres!$G$2,$Q121=Parametres!$G$3),J121,D121)</f>
        <v>0</v>
      </c>
      <c r="P121" s="155">
        <f>+IF(OR($Q121=Parametres!$G$2,$Q121=Parametres!$G$3),K121,E121)</f>
        <v>133189.21</v>
      </c>
      <c r="Q121" s="154" t="str">
        <f t="shared" si="9"/>
        <v>2-Actifs</v>
      </c>
      <c r="R121" s="153" t="str">
        <f t="shared" si="9"/>
        <v>1700</v>
      </c>
      <c r="S121" s="154">
        <f t="shared" si="9"/>
        <v>0</v>
      </c>
      <c r="T121" s="156" t="str">
        <f>+VLOOKUP($L121,Data_Validation!$A:$D,1,0)</f>
        <v>1732</v>
      </c>
      <c r="U121" s="156" t="str">
        <f>+VLOOKUP($L121,Data_Validation!$A:$D,3,0)</f>
        <v>Bilan</v>
      </c>
      <c r="V121" s="156" t="str">
        <f>+VLOOKUP($L121,Data_Validation!$A:$D,4,0)</f>
        <v>Améliorations Locatives</v>
      </c>
      <c r="W121" s="156" t="str">
        <f>+VLOOKUP($L121,Data_Validation!$A:$E,5,0)</f>
        <v>$</v>
      </c>
      <c r="X121" s="156">
        <f>+VLOOKUP($L121,Data_Validation!$A:$F,6,0)</f>
        <v>0</v>
      </c>
    </row>
    <row r="122" spans="1:24" ht="15" hidden="1" customHeight="1">
      <c r="A122" s="1013" t="s">
        <v>2156</v>
      </c>
      <c r="B122" s="1013" t="s">
        <v>2157</v>
      </c>
      <c r="C122" s="1015">
        <v>-70422.87</v>
      </c>
      <c r="D122" s="1015">
        <v>-1600</v>
      </c>
      <c r="E122" s="1015">
        <v>-72022.87</v>
      </c>
      <c r="F122" s="1013" t="s">
        <v>293</v>
      </c>
      <c r="G122" s="1013" t="s">
        <v>2128</v>
      </c>
      <c r="H122" s="949"/>
      <c r="I122" s="948"/>
      <c r="J122" s="948"/>
      <c r="K122" s="948"/>
      <c r="L122" s="153" t="str">
        <f t="shared" si="0"/>
        <v>1733</v>
      </c>
      <c r="M122" s="154" t="str">
        <f t="shared" si="1"/>
        <v>AMORT. CUM. AMEL. LOCAT.</v>
      </c>
      <c r="N122" s="155">
        <f>+IF(OR($Q122=Parametres!$G$2,$Q122=Parametres!$G$3),I122,C122)</f>
        <v>-70422.87</v>
      </c>
      <c r="O122" s="155">
        <f>+IF(OR($Q122=Parametres!$G$2,$Q122=Parametres!$G$3),J122,D122)</f>
        <v>-1600</v>
      </c>
      <c r="P122" s="155">
        <f>+IF(OR($Q122=Parametres!$G$2,$Q122=Parametres!$G$3),K122,E122)</f>
        <v>-72022.87</v>
      </c>
      <c r="Q122" s="154" t="str">
        <f t="shared" si="9"/>
        <v>2-Actifs</v>
      </c>
      <c r="R122" s="153" t="str">
        <f t="shared" si="9"/>
        <v>1700</v>
      </c>
      <c r="S122" s="154">
        <f t="shared" si="9"/>
        <v>0</v>
      </c>
      <c r="T122" s="156" t="str">
        <f>+VLOOKUP($L122,Data_Validation!$A:$D,1,0)</f>
        <v>1733</v>
      </c>
      <c r="U122" s="156" t="str">
        <f>+VLOOKUP($L122,Data_Validation!$A:$D,3,0)</f>
        <v>Bilan</v>
      </c>
      <c r="V122" s="156" t="str">
        <f>+VLOOKUP($L122,Data_Validation!$A:$D,4,0)</f>
        <v>Améliorations Locatives</v>
      </c>
      <c r="W122" s="156" t="str">
        <f>+VLOOKUP($L122,Data_Validation!$A:$E,5,0)</f>
        <v>$</v>
      </c>
      <c r="X122" s="156">
        <f>+VLOOKUP($L122,Data_Validation!$A:$F,6,0)</f>
        <v>0</v>
      </c>
    </row>
    <row r="123" spans="1:24" ht="15.75" hidden="1" customHeight="1">
      <c r="A123" s="1013" t="s">
        <v>2402</v>
      </c>
      <c r="B123" s="1013" t="s">
        <v>2403</v>
      </c>
      <c r="C123" s="1015">
        <v>867202.23</v>
      </c>
      <c r="D123" s="1015">
        <v>0</v>
      </c>
      <c r="E123" s="1015">
        <v>867202.23</v>
      </c>
      <c r="F123" s="1013" t="s">
        <v>293</v>
      </c>
      <c r="G123" s="1013" t="s">
        <v>2128</v>
      </c>
      <c r="H123" s="949"/>
      <c r="I123" s="948"/>
      <c r="J123" s="948"/>
      <c r="K123" s="948"/>
      <c r="L123" s="153" t="str">
        <f t="shared" si="0"/>
        <v>1742</v>
      </c>
      <c r="M123" s="154" t="str">
        <f t="shared" si="1"/>
        <v>MACHINERIE &amp; EQUIPEMENT</v>
      </c>
      <c r="N123" s="155">
        <f>+IF(OR($Q123=Parametres!$G$2,$Q123=Parametres!$G$3),I123,C123)</f>
        <v>867202.23</v>
      </c>
      <c r="O123" s="155">
        <f>+IF(OR($Q123=Parametres!$G$2,$Q123=Parametres!$G$3),J123,D123)</f>
        <v>0</v>
      </c>
      <c r="P123" s="155">
        <f>+IF(OR($Q123=Parametres!$G$2,$Q123=Parametres!$G$3),K123,E123)</f>
        <v>867202.23</v>
      </c>
      <c r="Q123" s="154" t="str">
        <f t="shared" si="9"/>
        <v>2-Actifs</v>
      </c>
      <c r="R123" s="153" t="str">
        <f t="shared" si="9"/>
        <v>1700</v>
      </c>
      <c r="S123" s="154">
        <f t="shared" si="9"/>
        <v>0</v>
      </c>
      <c r="T123" s="156" t="str">
        <f>+VLOOKUP($L123,Data_Validation!$A:$D,1,0)</f>
        <v>1742</v>
      </c>
      <c r="U123" s="156" t="str">
        <f>+VLOOKUP($L123,Data_Validation!$A:$D,3,0)</f>
        <v>Bilan</v>
      </c>
      <c r="V123" s="156" t="str">
        <f>+VLOOKUP($L123,Data_Validation!$A:$D,4,0)</f>
        <v>Équipements Service</v>
      </c>
      <c r="W123" s="156" t="str">
        <f>+VLOOKUP($L123,Data_Validation!$A:$E,5,0)</f>
        <v>$</v>
      </c>
      <c r="X123" s="156">
        <f>+VLOOKUP($L123,Data_Validation!$A:$F,6,0)</f>
        <v>0</v>
      </c>
    </row>
    <row r="124" spans="1:24" ht="15" hidden="1" customHeight="1">
      <c r="A124" s="1013" t="s">
        <v>2126</v>
      </c>
      <c r="B124" s="1013" t="s">
        <v>2127</v>
      </c>
      <c r="C124" s="1015">
        <v>-680620.53</v>
      </c>
      <c r="D124" s="1015">
        <v>-3600</v>
      </c>
      <c r="E124" s="1015">
        <v>-684220.53</v>
      </c>
      <c r="F124" s="1013" t="s">
        <v>293</v>
      </c>
      <c r="G124" s="1013" t="s">
        <v>2128</v>
      </c>
      <c r="H124" s="949"/>
      <c r="I124" s="948"/>
      <c r="J124" s="948"/>
      <c r="K124" s="948"/>
      <c r="L124" s="153" t="str">
        <f t="shared" si="0"/>
        <v>1743</v>
      </c>
      <c r="M124" s="154" t="str">
        <f t="shared" si="1"/>
        <v>AMORTISS.MACHINERIE &amp; EQUIP.</v>
      </c>
      <c r="N124" s="155">
        <f>+IF(OR($Q124=Parametres!$G$2,$Q124=Parametres!$G$3),I124,C124)</f>
        <v>-680620.53</v>
      </c>
      <c r="O124" s="155">
        <f>+IF(OR($Q124=Parametres!$G$2,$Q124=Parametres!$G$3),J124,D124)</f>
        <v>-3600</v>
      </c>
      <c r="P124" s="155">
        <f>+IF(OR($Q124=Parametres!$G$2,$Q124=Parametres!$G$3),K124,E124)</f>
        <v>-684220.53</v>
      </c>
      <c r="Q124" s="154" t="str">
        <f t="shared" si="9"/>
        <v>2-Actifs</v>
      </c>
      <c r="R124" s="153" t="str">
        <f t="shared" si="9"/>
        <v>1700</v>
      </c>
      <c r="S124" s="154">
        <f t="shared" si="9"/>
        <v>0</v>
      </c>
      <c r="T124" s="156" t="str">
        <f>+VLOOKUP($L124,Data_Validation!$A:$D,1,0)</f>
        <v>1743</v>
      </c>
      <c r="U124" s="156" t="str">
        <f>+VLOOKUP($L124,Data_Validation!$A:$D,3,0)</f>
        <v>Bilan</v>
      </c>
      <c r="V124" s="156" t="str">
        <f>+VLOOKUP($L124,Data_Validation!$A:$D,4,0)</f>
        <v>Équipements Service</v>
      </c>
      <c r="W124" s="156" t="str">
        <f>+VLOOKUP($L124,Data_Validation!$A:$E,5,0)</f>
        <v>$</v>
      </c>
      <c r="X124" s="156">
        <f>+VLOOKUP($L124,Data_Validation!$A:$F,6,0)</f>
        <v>0</v>
      </c>
    </row>
    <row r="125" spans="1:24" ht="15" hidden="1" customHeight="1">
      <c r="A125" s="1013" t="s">
        <v>2404</v>
      </c>
      <c r="B125" s="1013" t="s">
        <v>2405</v>
      </c>
      <c r="C125" s="1015">
        <v>47461.59</v>
      </c>
      <c r="D125" s="1015">
        <v>0</v>
      </c>
      <c r="E125" s="1015">
        <v>47461.59</v>
      </c>
      <c r="F125" s="1013" t="s">
        <v>293</v>
      </c>
      <c r="G125" s="1013" t="s">
        <v>2128</v>
      </c>
      <c r="H125" s="949"/>
      <c r="I125" s="948"/>
      <c r="J125" s="948"/>
      <c r="K125" s="948"/>
      <c r="L125" s="153" t="str">
        <f t="shared" si="0"/>
        <v>1744</v>
      </c>
      <c r="M125" s="154" t="str">
        <f t="shared" si="1"/>
        <v>EQUIPEMENT PIECES</v>
      </c>
      <c r="N125" s="155">
        <f>+IF(OR($Q125=Parametres!$G$2,$Q125=Parametres!$G$3),I125,C125)</f>
        <v>47461.59</v>
      </c>
      <c r="O125" s="575">
        <f>+IF(OR($Q125=Parametres!$G$2,$Q125=Parametres!$G$3),J125,D125)</f>
        <v>0</v>
      </c>
      <c r="P125" s="155">
        <f>+IF(OR($Q125=Parametres!$G$2,$Q125=Parametres!$G$3),K125,E125)</f>
        <v>47461.59</v>
      </c>
      <c r="Q125" s="154" t="str">
        <f t="shared" si="9"/>
        <v>2-Actifs</v>
      </c>
      <c r="R125" s="153" t="str">
        <f t="shared" si="9"/>
        <v>1700</v>
      </c>
      <c r="S125" s="154">
        <f t="shared" si="9"/>
        <v>0</v>
      </c>
      <c r="T125" s="156" t="str">
        <f>+VLOOKUP($L125,Data_Validation!$A:$D,1,0)</f>
        <v>1744</v>
      </c>
      <c r="U125" s="156" t="str">
        <f>+VLOOKUP($L125,Data_Validation!$A:$D,3,0)</f>
        <v>Bilan</v>
      </c>
      <c r="V125" s="156" t="str">
        <f>+VLOOKUP($L125,Data_Validation!$A:$D,4,0)</f>
        <v>Équipements Service</v>
      </c>
      <c r="W125" s="156" t="str">
        <f>+VLOOKUP($L125,Data_Validation!$A:$E,5,0)</f>
        <v>$</v>
      </c>
      <c r="X125" s="156">
        <f>+VLOOKUP($L125,Data_Validation!$A:$F,6,0)</f>
        <v>0</v>
      </c>
    </row>
    <row r="126" spans="1:24" ht="15" hidden="1" customHeight="1">
      <c r="A126" s="1013" t="s">
        <v>2197</v>
      </c>
      <c r="B126" s="1013" t="s">
        <v>2198</v>
      </c>
      <c r="C126" s="1015">
        <v>-45017.66</v>
      </c>
      <c r="D126" s="1015">
        <v>-250</v>
      </c>
      <c r="E126" s="1015">
        <v>-45267.66</v>
      </c>
      <c r="F126" s="1013" t="s">
        <v>293</v>
      </c>
      <c r="G126" s="1013" t="s">
        <v>2128</v>
      </c>
      <c r="H126" s="949"/>
      <c r="I126" s="948"/>
      <c r="J126" s="948"/>
      <c r="K126" s="948"/>
      <c r="L126" s="153" t="str">
        <f t="shared" si="0"/>
        <v>1745</v>
      </c>
      <c r="M126" s="154" t="str">
        <f t="shared" si="1"/>
        <v>AMORTISS.EQUIPEMENTS PIECES</v>
      </c>
      <c r="N126" s="155">
        <f>+IF(OR($Q126=Parametres!$G$2,$Q126=Parametres!$G$3),I126,C126)</f>
        <v>-45017.66</v>
      </c>
      <c r="O126" s="575">
        <f>+IF(OR($Q126=Parametres!$G$2,$Q126=Parametres!$G$3),J126,D126)</f>
        <v>-250</v>
      </c>
      <c r="P126" s="155">
        <f>+IF(OR($Q126=Parametres!$G$2,$Q126=Parametres!$G$3),K126,E126)</f>
        <v>-45267.66</v>
      </c>
      <c r="Q126" s="154" t="str">
        <f t="shared" si="9"/>
        <v>2-Actifs</v>
      </c>
      <c r="R126" s="153" t="str">
        <f t="shared" si="9"/>
        <v>1700</v>
      </c>
      <c r="S126" s="154">
        <f t="shared" si="9"/>
        <v>0</v>
      </c>
      <c r="T126" s="156" t="str">
        <f>+VLOOKUP($L126,Data_Validation!$A:$D,1,0)</f>
        <v>1745</v>
      </c>
      <c r="U126" s="156" t="str">
        <f>+VLOOKUP($L126,Data_Validation!$A:$D,3,0)</f>
        <v>Bilan</v>
      </c>
      <c r="V126" s="156" t="str">
        <f>+VLOOKUP($L126,Data_Validation!$A:$D,4,0)</f>
        <v>Équipements Service</v>
      </c>
      <c r="W126" s="156" t="str">
        <f>+VLOOKUP($L126,Data_Validation!$A:$E,5,0)</f>
        <v>$</v>
      </c>
      <c r="X126" s="156">
        <f>+VLOOKUP($L126,Data_Validation!$A:$F,6,0)</f>
        <v>0</v>
      </c>
    </row>
    <row r="127" spans="1:24" ht="15" hidden="1" customHeight="1">
      <c r="A127" s="1013" t="s">
        <v>2406</v>
      </c>
      <c r="B127" s="1013" t="s">
        <v>2407</v>
      </c>
      <c r="C127" s="1015">
        <v>155280.23000000001</v>
      </c>
      <c r="D127" s="1015">
        <v>0</v>
      </c>
      <c r="E127" s="1015">
        <v>155280.23000000001</v>
      </c>
      <c r="F127" s="1013" t="s">
        <v>293</v>
      </c>
      <c r="G127" s="1013" t="s">
        <v>2128</v>
      </c>
      <c r="H127" s="949"/>
      <c r="I127" s="948"/>
      <c r="J127" s="948"/>
      <c r="K127" s="948"/>
      <c r="L127" s="153" t="str">
        <f t="shared" si="0"/>
        <v>1760</v>
      </c>
      <c r="M127" s="154" t="str">
        <f t="shared" si="1"/>
        <v>EQUIPEMENT TELEPHONIQUE</v>
      </c>
      <c r="N127" s="155">
        <f>+IF(OR($Q127=Parametres!$G$2,$Q127=Parametres!$G$3),I127,C127)</f>
        <v>155280.23000000001</v>
      </c>
      <c r="O127" s="155">
        <f>+IF(OR($Q127=Parametres!$G$2,$Q127=Parametres!$G$3),J127,D127)</f>
        <v>0</v>
      </c>
      <c r="P127" s="155">
        <f>+IF(OR($Q127=Parametres!$G$2,$Q127=Parametres!$G$3),K127,E127)</f>
        <v>155280.23000000001</v>
      </c>
      <c r="Q127" s="154" t="str">
        <f t="shared" si="9"/>
        <v>2-Actifs</v>
      </c>
      <c r="R127" s="153" t="str">
        <f t="shared" si="9"/>
        <v>1700</v>
      </c>
      <c r="S127" s="154">
        <f t="shared" si="9"/>
        <v>0</v>
      </c>
      <c r="T127" s="156" t="str">
        <f>+VLOOKUP($L127,Data_Validation!$A:$D,1,0)</f>
        <v>1760</v>
      </c>
      <c r="U127" s="156" t="str">
        <f>+VLOOKUP($L127,Data_Validation!$A:$D,3,0)</f>
        <v>Bilan</v>
      </c>
      <c r="V127" s="156" t="str">
        <f>+VLOOKUP($L127,Data_Validation!$A:$D,4,0)</f>
        <v>Équipements Téléphonique</v>
      </c>
      <c r="W127" s="156" t="str">
        <f>+VLOOKUP($L127,Data_Validation!$A:$E,5,0)</f>
        <v>$</v>
      </c>
      <c r="X127" s="156">
        <f>+VLOOKUP($L127,Data_Validation!$A:$F,6,0)</f>
        <v>0</v>
      </c>
    </row>
    <row r="128" spans="1:24" ht="15" hidden="1" customHeight="1">
      <c r="A128" s="1013" t="s">
        <v>2570</v>
      </c>
      <c r="B128" s="1013" t="s">
        <v>2571</v>
      </c>
      <c r="C128" s="1015">
        <v>-147877.57</v>
      </c>
      <c r="D128" s="1015">
        <v>-520</v>
      </c>
      <c r="E128" s="1015">
        <v>-148397.57</v>
      </c>
      <c r="F128" s="1013" t="s">
        <v>293</v>
      </c>
      <c r="G128" s="1013" t="s">
        <v>2128</v>
      </c>
      <c r="H128" s="949"/>
      <c r="I128" s="948"/>
      <c r="J128" s="948"/>
      <c r="K128" s="948"/>
      <c r="L128" s="153" t="str">
        <f t="shared" si="0"/>
        <v>1761</v>
      </c>
      <c r="M128" s="579" t="str">
        <f t="shared" si="1"/>
        <v>AMORTISS.EQUIP.TELEPHONIQUES</v>
      </c>
      <c r="N128" s="155">
        <f>+IF(OR($Q128=Parametres!$G$2,$Q128=Parametres!$G$3),I128,C128)</f>
        <v>-147877.57</v>
      </c>
      <c r="O128" s="580">
        <f>+IF(OR($Q128=Parametres!$G$2,$Q128=Parametres!$G$3),J128,D128)</f>
        <v>-520</v>
      </c>
      <c r="P128" s="581">
        <f>+IF(OR($Q128=Parametres!$G$2,$Q128=Parametres!$G$3),K128,E128)</f>
        <v>-148397.57</v>
      </c>
      <c r="Q128" s="154" t="str">
        <f t="shared" si="9"/>
        <v>2-Actifs</v>
      </c>
      <c r="R128" s="153" t="str">
        <f t="shared" si="9"/>
        <v>1700</v>
      </c>
      <c r="S128" s="154">
        <f t="shared" si="9"/>
        <v>0</v>
      </c>
      <c r="T128" s="156" t="str">
        <f>+VLOOKUP($L128,Data_Validation!$A:$D,1,0)</f>
        <v>1761</v>
      </c>
      <c r="U128" s="156" t="str">
        <f>+VLOOKUP($L128,Data_Validation!$A:$D,3,0)</f>
        <v>Bilan</v>
      </c>
      <c r="V128" s="156" t="str">
        <f>+VLOOKUP($L128,Data_Validation!$A:$D,4,0)</f>
        <v>Équipements Téléphonique</v>
      </c>
      <c r="W128" s="156" t="str">
        <f>+VLOOKUP($L128,Data_Validation!$A:$E,5,0)</f>
        <v>$</v>
      </c>
      <c r="X128" s="156">
        <f>+VLOOKUP($L128,Data_Validation!$A:$F,6,0)</f>
        <v>0</v>
      </c>
    </row>
    <row r="129" spans="1:24" ht="15" hidden="1" customHeight="1">
      <c r="A129" s="1013" t="s">
        <v>2408</v>
      </c>
      <c r="B129" s="1013" t="s">
        <v>2409</v>
      </c>
      <c r="C129" s="1015">
        <v>431905.06</v>
      </c>
      <c r="D129" s="1015">
        <v>0</v>
      </c>
      <c r="E129" s="1015">
        <v>431905.06</v>
      </c>
      <c r="F129" s="1013" t="s">
        <v>293</v>
      </c>
      <c r="G129" s="1013" t="s">
        <v>2128</v>
      </c>
      <c r="H129" s="949"/>
      <c r="I129" s="948"/>
      <c r="J129" s="948"/>
      <c r="K129" s="948"/>
      <c r="L129" s="153" t="str">
        <f t="shared" si="0"/>
        <v>1762</v>
      </c>
      <c r="M129" s="154" t="str">
        <f t="shared" si="1"/>
        <v>AMEUBLEMENT &amp; INSTR.</v>
      </c>
      <c r="N129" s="155">
        <f>+IF(OR($Q129=Parametres!$G$2,$Q129=Parametres!$G$3),I129,C129)</f>
        <v>431905.06</v>
      </c>
      <c r="O129" s="155">
        <f>+IF(OR($Q129=Parametres!$G$2,$Q129=Parametres!$G$3),J129,D129)</f>
        <v>0</v>
      </c>
      <c r="P129" s="155">
        <f>+IF(OR($Q129=Parametres!$G$2,$Q129=Parametres!$G$3),K129,E129)</f>
        <v>431905.06</v>
      </c>
      <c r="Q129" s="154" t="str">
        <f t="shared" si="9"/>
        <v>2-Actifs</v>
      </c>
      <c r="R129" s="153" t="str">
        <f t="shared" si="9"/>
        <v>1700</v>
      </c>
      <c r="S129" s="154">
        <f t="shared" si="9"/>
        <v>0</v>
      </c>
      <c r="T129" s="156" t="str">
        <f>+VLOOKUP($L129,Data_Validation!$A:$D,1,0)</f>
        <v>1762</v>
      </c>
      <c r="U129" s="156" t="str">
        <f>+VLOOKUP($L129,Data_Validation!$A:$D,3,0)</f>
        <v>Bilan</v>
      </c>
      <c r="V129" s="156" t="str">
        <f>+VLOOKUP($L129,Data_Validation!$A:$D,4,0)</f>
        <v>Mobilier</v>
      </c>
      <c r="W129" s="156" t="str">
        <f>+VLOOKUP($L129,Data_Validation!$A:$E,5,0)</f>
        <v>$</v>
      </c>
      <c r="X129" s="156">
        <f>+VLOOKUP($L129,Data_Validation!$A:$F,6,0)</f>
        <v>0</v>
      </c>
    </row>
    <row r="130" spans="1:24" ht="15" hidden="1" customHeight="1">
      <c r="A130" s="1013" t="s">
        <v>2163</v>
      </c>
      <c r="B130" s="1013" t="s">
        <v>2164</v>
      </c>
      <c r="C130" s="1015">
        <v>-375858.12</v>
      </c>
      <c r="D130" s="1015">
        <v>-1300</v>
      </c>
      <c r="E130" s="1015">
        <v>-377158.12</v>
      </c>
      <c r="F130" s="1013" t="s">
        <v>293</v>
      </c>
      <c r="G130" s="1013" t="s">
        <v>2128</v>
      </c>
      <c r="H130" s="949"/>
      <c r="I130" s="948"/>
      <c r="J130" s="948"/>
      <c r="K130" s="948"/>
      <c r="L130" s="153" t="str">
        <f t="shared" si="0"/>
        <v>1763</v>
      </c>
      <c r="M130" s="154" t="str">
        <f t="shared" si="1"/>
        <v>AMORTISS.AMEUBL.INSTR.</v>
      </c>
      <c r="N130" s="155">
        <f>+IF(OR($Q130=Parametres!$G$2,$Q130=Parametres!$G$3),I130,C130)</f>
        <v>-375858.12</v>
      </c>
      <c r="O130" s="155">
        <f>+IF(OR($Q130=Parametres!$G$2,$Q130=Parametres!$G$3),J130,D130)</f>
        <v>-1300</v>
      </c>
      <c r="P130" s="155">
        <f>+IF(OR($Q130=Parametres!$G$2,$Q130=Parametres!$G$3),K130,E130)</f>
        <v>-377158.12</v>
      </c>
      <c r="Q130" s="154" t="str">
        <f t="shared" ref="Q130:S145" si="10">+F130</f>
        <v>2-Actifs</v>
      </c>
      <c r="R130" s="153" t="str">
        <f t="shared" si="10"/>
        <v>1700</v>
      </c>
      <c r="S130" s="154">
        <f t="shared" si="10"/>
        <v>0</v>
      </c>
      <c r="T130" s="156" t="str">
        <f>+VLOOKUP($L130,Data_Validation!$A:$D,1,0)</f>
        <v>1763</v>
      </c>
      <c r="U130" s="156" t="str">
        <f>+VLOOKUP($L130,Data_Validation!$A:$D,3,0)</f>
        <v>Bilan</v>
      </c>
      <c r="V130" s="156" t="str">
        <f>+VLOOKUP($L130,Data_Validation!$A:$D,4,0)</f>
        <v>Mobilier</v>
      </c>
      <c r="W130" s="156" t="str">
        <f>+VLOOKUP($L130,Data_Validation!$A:$E,5,0)</f>
        <v>$</v>
      </c>
      <c r="X130" s="156">
        <f>+VLOOKUP($L130,Data_Validation!$A:$F,6,0)</f>
        <v>0</v>
      </c>
    </row>
    <row r="131" spans="1:24" ht="15.75" hidden="1" customHeight="1">
      <c r="A131" s="1013" t="s">
        <v>2410</v>
      </c>
      <c r="B131" s="1013" t="s">
        <v>2411</v>
      </c>
      <c r="C131" s="1015">
        <v>3987.88</v>
      </c>
      <c r="D131" s="1015">
        <v>0</v>
      </c>
      <c r="E131" s="1015">
        <v>3987.88</v>
      </c>
      <c r="F131" s="1013" t="s">
        <v>293</v>
      </c>
      <c r="G131" s="1013" t="s">
        <v>2128</v>
      </c>
      <c r="H131" s="949"/>
      <c r="I131" s="948"/>
      <c r="J131" s="948"/>
      <c r="K131" s="948"/>
      <c r="L131" s="153" t="str">
        <f t="shared" si="0"/>
        <v>1772</v>
      </c>
      <c r="M131" s="154" t="str">
        <f t="shared" si="1"/>
        <v>VEHICULES DE CIE</v>
      </c>
      <c r="N131" s="155">
        <f>+IF(OR($Q131=Parametres!$G$2,$Q131=Parametres!$G$3),I131,C131)</f>
        <v>3987.88</v>
      </c>
      <c r="O131" s="155">
        <f>+IF(OR($Q131=Parametres!$G$2,$Q131=Parametres!$G$3),J131,D131)</f>
        <v>0</v>
      </c>
      <c r="P131" s="155">
        <f>+IF(OR($Q131=Parametres!$G$2,$Q131=Parametres!$G$3),K131,E131)</f>
        <v>3987.88</v>
      </c>
      <c r="Q131" s="154" t="str">
        <f t="shared" si="10"/>
        <v>2-Actifs</v>
      </c>
      <c r="R131" s="153" t="str">
        <f t="shared" si="10"/>
        <v>1700</v>
      </c>
      <c r="S131" s="154">
        <f t="shared" si="10"/>
        <v>0</v>
      </c>
      <c r="T131" s="156" t="str">
        <f>+VLOOKUP($L131,Data_Validation!$A:$D,1,0)</f>
        <v>1772</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013" t="s">
        <v>2412</v>
      </c>
      <c r="B132" s="1013" t="s">
        <v>2413</v>
      </c>
      <c r="C132" s="1015">
        <v>-3987.88</v>
      </c>
      <c r="D132" s="1015">
        <v>0</v>
      </c>
      <c r="E132" s="1015">
        <v>-3987.88</v>
      </c>
      <c r="F132" s="1013" t="s">
        <v>293</v>
      </c>
      <c r="G132" s="1013" t="s">
        <v>2128</v>
      </c>
      <c r="H132" s="949"/>
      <c r="I132" s="948"/>
      <c r="J132" s="948"/>
      <c r="K132" s="948"/>
      <c r="L132" s="153" t="str">
        <f t="shared" si="0"/>
        <v>1773</v>
      </c>
      <c r="M132" s="154" t="str">
        <f t="shared" si="1"/>
        <v>DEPRECIATION &amp; AMORT.</v>
      </c>
      <c r="N132" s="155">
        <f>+IF(OR($Q132=Parametres!$G$2,$Q132=Parametres!$G$3),I132,C132)</f>
        <v>-3987.88</v>
      </c>
      <c r="O132" s="155">
        <f>+IF(OR($Q132=Parametres!$G$2,$Q132=Parametres!$G$3),J132,D132)</f>
        <v>0</v>
      </c>
      <c r="P132" s="155">
        <f>+IF(OR($Q132=Parametres!$G$2,$Q132=Parametres!$G$3),K132,E132)</f>
        <v>-3987.88</v>
      </c>
      <c r="Q132" s="154" t="str">
        <f t="shared" si="10"/>
        <v>2-Actifs</v>
      </c>
      <c r="R132" s="153" t="str">
        <f t="shared" si="10"/>
        <v>1700</v>
      </c>
      <c r="S132" s="154">
        <f t="shared" si="10"/>
        <v>0</v>
      </c>
      <c r="T132" s="156" t="str">
        <f>+VLOOKUP($L132,Data_Validation!$A:$D,1,0)</f>
        <v>1773</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013" t="s">
        <v>2568</v>
      </c>
      <c r="B133" s="1013" t="s">
        <v>2569</v>
      </c>
      <c r="C133" s="1015">
        <v>257686.2</v>
      </c>
      <c r="D133" s="1015">
        <v>1703</v>
      </c>
      <c r="E133" s="1015">
        <v>259389.2</v>
      </c>
      <c r="F133" s="1013" t="s">
        <v>293</v>
      </c>
      <c r="G133" s="1013" t="s">
        <v>2128</v>
      </c>
      <c r="H133" s="949"/>
      <c r="I133" s="948"/>
      <c r="J133" s="948"/>
      <c r="K133" s="948"/>
      <c r="L133" s="153" t="str">
        <f t="shared" si="0"/>
        <v>1786</v>
      </c>
      <c r="M133" s="154" t="str">
        <f t="shared" si="1"/>
        <v>EQUIPEMENT INFORMATIQUE</v>
      </c>
      <c r="N133" s="155">
        <f>+IF(OR($Q133=Parametres!$G$2,$Q133=Parametres!$G$3),I133,C133)</f>
        <v>257686.2</v>
      </c>
      <c r="O133" s="155">
        <f>+IF(OR($Q133=Parametres!$G$2,$Q133=Parametres!$G$3),J133,D133)</f>
        <v>1703</v>
      </c>
      <c r="P133" s="155">
        <f>+IF(OR($Q133=Parametres!$G$2,$Q133=Parametres!$G$3),K133,E133)</f>
        <v>259389.2</v>
      </c>
      <c r="Q133" s="154" t="str">
        <f t="shared" si="10"/>
        <v>2-Actifs</v>
      </c>
      <c r="R133" s="153" t="str">
        <f t="shared" si="10"/>
        <v>1700</v>
      </c>
      <c r="S133" s="154">
        <f t="shared" si="10"/>
        <v>0</v>
      </c>
      <c r="T133" s="156" t="str">
        <f>+VLOOKUP($L133,Data_Validation!$A:$D,1,0)</f>
        <v>1786</v>
      </c>
      <c r="U133" s="156" t="str">
        <f>+VLOOKUP($L133,Data_Validation!$A:$D,3,0)</f>
        <v>Bilan</v>
      </c>
      <c r="V133" s="156" t="str">
        <f>+VLOOKUP($L133,Data_Validation!$A:$D,4,0)</f>
        <v>Équipements Informatique</v>
      </c>
      <c r="W133" s="156" t="str">
        <f>+VLOOKUP($L133,Data_Validation!$A:$E,5,0)</f>
        <v>$</v>
      </c>
      <c r="X133" s="156">
        <f>+VLOOKUP($L133,Data_Validation!$A:$F,6,0)</f>
        <v>0</v>
      </c>
    </row>
    <row r="134" spans="1:24" ht="15" hidden="1" customHeight="1">
      <c r="A134" s="1013" t="s">
        <v>2154</v>
      </c>
      <c r="B134" s="1013" t="s">
        <v>2155</v>
      </c>
      <c r="C134" s="1015">
        <v>-213279.73</v>
      </c>
      <c r="D134" s="1015">
        <v>-1380</v>
      </c>
      <c r="E134" s="1015">
        <v>-214659.73</v>
      </c>
      <c r="F134" s="1013" t="s">
        <v>293</v>
      </c>
      <c r="G134" s="1013" t="s">
        <v>2128</v>
      </c>
      <c r="H134" s="949"/>
      <c r="I134" s="948"/>
      <c r="J134" s="948"/>
      <c r="K134" s="948"/>
      <c r="L134" s="153" t="str">
        <f t="shared" si="0"/>
        <v>1787</v>
      </c>
      <c r="M134" s="154" t="str">
        <f t="shared" si="1"/>
        <v>AMORTISS.EQUIP.INFORMATIQUES</v>
      </c>
      <c r="N134" s="155">
        <f>+IF(OR($Q134=Parametres!$G$2,$Q134=Parametres!$G$3),I134,C134)</f>
        <v>-213279.73</v>
      </c>
      <c r="O134" s="155">
        <f>+IF(OR($Q134=Parametres!$G$2,$Q134=Parametres!$G$3),J134,D134)</f>
        <v>-1380</v>
      </c>
      <c r="P134" s="155">
        <f>+IF(OR($Q134=Parametres!$G$2,$Q134=Parametres!$G$3),K134,E134)</f>
        <v>-214659.73</v>
      </c>
      <c r="Q134" s="154" t="str">
        <f t="shared" si="10"/>
        <v>2-Actifs</v>
      </c>
      <c r="R134" s="153" t="str">
        <f t="shared" si="10"/>
        <v>1700</v>
      </c>
      <c r="S134" s="154">
        <f t="shared" si="10"/>
        <v>0</v>
      </c>
      <c r="T134" s="156" t="str">
        <f>+VLOOKUP($L134,Data_Validation!$A:$D,1,0)</f>
        <v>1787</v>
      </c>
      <c r="U134" s="156" t="str">
        <f>+VLOOKUP($L134,Data_Validation!$A:$D,3,0)</f>
        <v>Bilan</v>
      </c>
      <c r="V134" s="156" t="str">
        <f>+VLOOKUP($L134,Data_Validation!$A:$D,4,0)</f>
        <v>Équipements Informatique</v>
      </c>
      <c r="W134" s="156" t="str">
        <f>+VLOOKUP($L134,Data_Validation!$A:$E,5,0)</f>
        <v>$</v>
      </c>
      <c r="X134" s="156">
        <f>+VLOOKUP($L134,Data_Validation!$A:$F,6,0)</f>
        <v>0</v>
      </c>
    </row>
    <row r="135" spans="1:24" ht="15.75" hidden="1" customHeight="1">
      <c r="A135" s="1013" t="s">
        <v>822</v>
      </c>
      <c r="B135" s="1013" t="s">
        <v>2414</v>
      </c>
      <c r="C135" s="1015">
        <v>119393.66</v>
      </c>
      <c r="D135" s="1015">
        <v>0</v>
      </c>
      <c r="E135" s="1015">
        <v>119393.66</v>
      </c>
      <c r="F135" s="1013" t="s">
        <v>293</v>
      </c>
      <c r="G135" s="1013" t="s">
        <v>2128</v>
      </c>
      <c r="H135" s="949"/>
      <c r="I135" s="948"/>
      <c r="J135" s="948"/>
      <c r="K135" s="948"/>
      <c r="L135" s="153" t="str">
        <f t="shared" si="0"/>
        <v>1792</v>
      </c>
      <c r="M135" s="154" t="str">
        <f t="shared" si="1"/>
        <v>ENSEIGNES</v>
      </c>
      <c r="N135" s="155">
        <f>+IF(OR($Q135=Parametres!$G$2,$Q135=Parametres!$G$3),I135,C135)</f>
        <v>119393.66</v>
      </c>
      <c r="O135" s="155">
        <f>+IF(OR($Q135=Parametres!$G$2,$Q135=Parametres!$G$3),J135,D135)</f>
        <v>0</v>
      </c>
      <c r="P135" s="155">
        <f>+IF(OR($Q135=Parametres!$G$2,$Q135=Parametres!$G$3),K135,E135)</f>
        <v>119393.66</v>
      </c>
      <c r="Q135" s="154" t="str">
        <f t="shared" si="10"/>
        <v>2-Actifs</v>
      </c>
      <c r="R135" s="153" t="str">
        <f t="shared" si="10"/>
        <v>1700</v>
      </c>
      <c r="S135" s="154">
        <f t="shared" si="10"/>
        <v>0</v>
      </c>
      <c r="T135" s="156" t="str">
        <f>+VLOOKUP($L135,Data_Validation!$A:$D,1,0)</f>
        <v>1792</v>
      </c>
      <c r="U135" s="156" t="str">
        <f>+VLOOKUP($L135,Data_Validation!$A:$D,3,0)</f>
        <v>Bilan</v>
      </c>
      <c r="V135" s="156" t="str">
        <f>+VLOOKUP($L135,Data_Validation!$A:$D,4,0)</f>
        <v>Enseigne</v>
      </c>
      <c r="W135" s="156" t="str">
        <f>+VLOOKUP($L135,Data_Validation!$A:$E,5,0)</f>
        <v>$</v>
      </c>
      <c r="X135" s="156">
        <f>+VLOOKUP($L135,Data_Validation!$A:$F,6,0)</f>
        <v>0</v>
      </c>
    </row>
    <row r="136" spans="1:24" ht="15" hidden="1" customHeight="1">
      <c r="A136" s="1013" t="s">
        <v>2195</v>
      </c>
      <c r="B136" s="1013" t="s">
        <v>2196</v>
      </c>
      <c r="C136" s="1015">
        <v>-114810.48</v>
      </c>
      <c r="D136" s="1015">
        <v>-350</v>
      </c>
      <c r="E136" s="1015">
        <v>-115160.48</v>
      </c>
      <c r="F136" s="1013" t="s">
        <v>293</v>
      </c>
      <c r="G136" s="1013" t="s">
        <v>2128</v>
      </c>
      <c r="H136" s="949"/>
      <c r="I136" s="948"/>
      <c r="J136" s="948"/>
      <c r="K136" s="948"/>
      <c r="L136" s="153" t="str">
        <f t="shared" si="0"/>
        <v>1793</v>
      </c>
      <c r="M136" s="154" t="str">
        <f t="shared" si="1"/>
        <v>AMORT. CUM. ENSEIGNES</v>
      </c>
      <c r="N136" s="155">
        <f>+IF(OR($Q136=Parametres!$G$2,$Q136=Parametres!$G$3),I136,C136)</f>
        <v>-114810.48</v>
      </c>
      <c r="O136" s="155">
        <f>+IF(OR($Q136=Parametres!$G$2,$Q136=Parametres!$G$3),J136,D136)</f>
        <v>-350</v>
      </c>
      <c r="P136" s="155">
        <f>+IF(OR($Q136=Parametres!$G$2,$Q136=Parametres!$G$3),K136,E136)</f>
        <v>-115160.48</v>
      </c>
      <c r="Q136" s="154" t="str">
        <f t="shared" si="10"/>
        <v>2-Actifs</v>
      </c>
      <c r="R136" s="153" t="str">
        <f t="shared" si="10"/>
        <v>1700</v>
      </c>
      <c r="S136" s="154">
        <f t="shared" si="10"/>
        <v>0</v>
      </c>
      <c r="T136" s="156" t="str">
        <f>+VLOOKUP($L136,Data_Validation!$A:$D,1,0)</f>
        <v>1793</v>
      </c>
      <c r="U136" s="156" t="str">
        <f>+VLOOKUP($L136,Data_Validation!$A:$D,3,0)</f>
        <v>Bilan</v>
      </c>
      <c r="V136" s="156" t="str">
        <f>+VLOOKUP($L136,Data_Validation!$A:$D,4,0)</f>
        <v>Enseigne</v>
      </c>
      <c r="W136" s="156" t="str">
        <f>+VLOOKUP($L136,Data_Validation!$A:$E,5,0)</f>
        <v>$</v>
      </c>
      <c r="X136" s="156">
        <f>+VLOOKUP($L136,Data_Validation!$A:$F,6,0)</f>
        <v>0</v>
      </c>
    </row>
    <row r="137" spans="1:24" ht="15" hidden="1" customHeight="1">
      <c r="A137" s="1013" t="s">
        <v>2415</v>
      </c>
      <c r="B137" s="1013" t="s">
        <v>2416</v>
      </c>
      <c r="C137" s="1015">
        <v>1623600</v>
      </c>
      <c r="D137" s="1015">
        <v>0</v>
      </c>
      <c r="E137" s="1015">
        <v>1623600</v>
      </c>
      <c r="F137" s="1013" t="s">
        <v>293</v>
      </c>
      <c r="G137" s="1013" t="s">
        <v>2416</v>
      </c>
      <c r="H137" s="949"/>
      <c r="I137" s="948"/>
      <c r="J137" s="948"/>
      <c r="K137" s="948"/>
      <c r="L137" s="153" t="str">
        <f t="shared" si="0"/>
        <v>1804</v>
      </c>
      <c r="M137" s="154" t="str">
        <f t="shared" si="1"/>
        <v>RECEVABLE-PROP. &amp; EMPL.</v>
      </c>
      <c r="N137" s="155">
        <f>+IF(OR($Q137=Parametres!$G$2,$Q137=Parametres!$G$3),I137,C137)</f>
        <v>1623600</v>
      </c>
      <c r="O137" s="155">
        <f>+IF(OR($Q137=Parametres!$G$2,$Q137=Parametres!$G$3),J137,D137)</f>
        <v>0</v>
      </c>
      <c r="P137" s="155">
        <f>+IF(OR($Q137=Parametres!$G$2,$Q137=Parametres!$G$3),K137,E137)</f>
        <v>1623600</v>
      </c>
      <c r="Q137" s="154" t="str">
        <f t="shared" si="10"/>
        <v>2-Actifs</v>
      </c>
      <c r="R137" s="153" t="str">
        <f t="shared" si="10"/>
        <v>1804</v>
      </c>
      <c r="S137" s="154">
        <f t="shared" si="10"/>
        <v>0</v>
      </c>
      <c r="T137" s="156" t="str">
        <f>+VLOOKUP($L137,Data_Validation!$A:$D,1,0)</f>
        <v>1804</v>
      </c>
      <c r="U137" s="156" t="str">
        <f>+VLOOKUP($L137,Data_Validation!$A:$D,3,0)</f>
        <v>Bilan</v>
      </c>
      <c r="V137" s="156" t="str">
        <f>+VLOOKUP($L137,Data_Validation!$A:$D,4,0)</f>
        <v>Avances à Recevoir Long Terme</v>
      </c>
      <c r="W137" s="156" t="str">
        <f>+VLOOKUP($L137,Data_Validation!$A:$E,5,0)</f>
        <v>$</v>
      </c>
      <c r="X137" s="156">
        <f>+VLOOKUP($L137,Data_Validation!$A:$F,6,0)</f>
        <v>0</v>
      </c>
    </row>
    <row r="138" spans="1:24" ht="15" hidden="1" customHeight="1">
      <c r="A138" s="1013" t="s">
        <v>2752</v>
      </c>
      <c r="B138" s="1013" t="s">
        <v>2753</v>
      </c>
      <c r="C138" s="1015">
        <v>8441.52</v>
      </c>
      <c r="D138" s="1015">
        <v>7248.76</v>
      </c>
      <c r="E138" s="1015">
        <v>15690.28</v>
      </c>
      <c r="F138" s="1013" t="s">
        <v>293</v>
      </c>
      <c r="G138" s="1013" t="s">
        <v>2623</v>
      </c>
      <c r="H138" s="949"/>
      <c r="I138" s="948"/>
      <c r="J138" s="948"/>
      <c r="K138" s="948"/>
      <c r="L138" s="153" t="str">
        <f t="shared" si="0"/>
        <v>1806</v>
      </c>
      <c r="M138" s="154" t="str">
        <f t="shared" si="1"/>
        <v>FINANCEMENT RECEVABLE</v>
      </c>
      <c r="N138" s="155">
        <f>+IF(OR($Q138=Parametres!$G$2,$Q138=Parametres!$G$3),I138,C138)</f>
        <v>8441.52</v>
      </c>
      <c r="O138" s="155">
        <f>+IF(OR($Q138=Parametres!$G$2,$Q138=Parametres!$G$3),J138,D138)</f>
        <v>7248.76</v>
      </c>
      <c r="P138" s="155">
        <f>+IF(OR($Q138=Parametres!$G$2,$Q138=Parametres!$G$3),K138,E138)</f>
        <v>15690.28</v>
      </c>
      <c r="Q138" s="154" t="str">
        <f t="shared" si="10"/>
        <v>2-Actifs</v>
      </c>
      <c r="R138" s="153" t="str">
        <f t="shared" si="10"/>
        <v>1382</v>
      </c>
      <c r="S138" s="154">
        <f t="shared" si="10"/>
        <v>0</v>
      </c>
      <c r="T138" s="156" t="str">
        <f>+VLOOKUP($L138,Data_Validation!$A:$D,1,0)</f>
        <v>1806</v>
      </c>
      <c r="U138" s="156" t="str">
        <f>+VLOOKUP($L138,Data_Validation!$A:$D,3,0)</f>
        <v>Bilan</v>
      </c>
      <c r="V138" s="156" t="str">
        <f>+VLOOKUP($L138,Data_Validation!$A:$D,4,0)</f>
        <v>Recevables Autres</v>
      </c>
      <c r="W138" s="156" t="str">
        <f>+VLOOKUP($L138,Data_Validation!$A:$E,5,0)</f>
        <v>$</v>
      </c>
      <c r="X138" s="156">
        <f>+VLOOKUP($L138,Data_Validation!$A:$F,6,0)</f>
        <v>0</v>
      </c>
    </row>
    <row r="139" spans="1:24" ht="15.75" hidden="1" customHeight="1">
      <c r="A139" s="1013" t="s">
        <v>2846</v>
      </c>
      <c r="B139" s="1013" t="s">
        <v>2847</v>
      </c>
      <c r="C139" s="1015">
        <v>-10393890.689999999</v>
      </c>
      <c r="D139" s="1015">
        <v>-232851.05</v>
      </c>
      <c r="E139" s="1015">
        <v>-10626741.74</v>
      </c>
      <c r="F139" s="1013" t="s">
        <v>282</v>
      </c>
      <c r="G139" s="1013" t="s">
        <v>2847</v>
      </c>
      <c r="H139" s="949"/>
      <c r="I139" s="948"/>
      <c r="J139" s="948"/>
      <c r="K139" s="948"/>
      <c r="L139" s="153" t="str">
        <f t="shared" si="0"/>
        <v>2101</v>
      </c>
      <c r="M139" s="154" t="str">
        <f t="shared" si="1"/>
        <v>NOTE A PAYER VEH. NEUFS VOLKS</v>
      </c>
      <c r="N139" s="155">
        <f>+IF(OR($Q139=Parametres!$G$2,$Q139=Parametres!$G$3),I139,C139)</f>
        <v>-10393890.689999999</v>
      </c>
      <c r="O139" s="155">
        <f>+IF(OR($Q139=Parametres!$G$2,$Q139=Parametres!$G$3),J139,D139)</f>
        <v>-232851.05</v>
      </c>
      <c r="P139" s="155">
        <f>+IF(OR($Q139=Parametres!$G$2,$Q139=Parametres!$G$3),K139,E139)</f>
        <v>-10626741.74</v>
      </c>
      <c r="Q139" s="154" t="str">
        <f t="shared" si="10"/>
        <v>3-Passifs</v>
      </c>
      <c r="R139" s="153" t="str">
        <f t="shared" si="10"/>
        <v>2101</v>
      </c>
      <c r="S139" s="154">
        <f t="shared" si="10"/>
        <v>0</v>
      </c>
      <c r="T139" s="156" t="str">
        <f>+VLOOKUP($L139,Data_Validation!$A:$D,1,0)</f>
        <v>2101</v>
      </c>
      <c r="U139" s="156" t="str">
        <f>+VLOOKUP($L139,Data_Validation!$A:$D,3,0)</f>
        <v>Bilan</v>
      </c>
      <c r="V139" s="156" t="str">
        <f>+VLOOKUP($L139,Data_Validation!$A:$D,4,0)</f>
        <v>Effet à Payer Véhicules Neufs</v>
      </c>
      <c r="W139" s="156" t="str">
        <f>+VLOOKUP($L139,Data_Validation!$A:$E,5,0)</f>
        <v>$</v>
      </c>
      <c r="X139" s="156">
        <f>+VLOOKUP($L139,Data_Validation!$A:$F,6,0)</f>
        <v>0</v>
      </c>
    </row>
    <row r="140" spans="1:24" ht="15" hidden="1" customHeight="1">
      <c r="A140" s="1013" t="s">
        <v>2036</v>
      </c>
      <c r="B140" s="1013" t="s">
        <v>2037</v>
      </c>
      <c r="C140" s="1015">
        <v>0</v>
      </c>
      <c r="D140" s="1015">
        <v>-313211.68</v>
      </c>
      <c r="E140" s="1015">
        <v>-313211.68</v>
      </c>
      <c r="F140" s="1013" t="s">
        <v>282</v>
      </c>
      <c r="G140" s="1013" t="s">
        <v>2037</v>
      </c>
      <c r="H140" s="949"/>
      <c r="I140" s="948"/>
      <c r="J140" s="948"/>
      <c r="K140" s="948"/>
      <c r="L140" s="153" t="str">
        <f t="shared" si="0"/>
        <v>2103</v>
      </c>
      <c r="M140" s="154" t="str">
        <f t="shared" si="1"/>
        <v>NOTE PAYABLE-FIN. VEH. USAG.</v>
      </c>
      <c r="N140" s="155">
        <f>+IF(OR($Q140=Parametres!$G$2,$Q140=Parametres!$G$3),I140,C140)</f>
        <v>0</v>
      </c>
      <c r="O140" s="155">
        <f>+IF(OR($Q140=Parametres!$G$2,$Q140=Parametres!$G$3),J140,D140)</f>
        <v>-313211.68</v>
      </c>
      <c r="P140" s="155">
        <f>+IF(OR($Q140=Parametres!$G$2,$Q140=Parametres!$G$3),K140,E140)</f>
        <v>-313211.68</v>
      </c>
      <c r="Q140" s="154" t="str">
        <f t="shared" si="10"/>
        <v>3-Passifs</v>
      </c>
      <c r="R140" s="153" t="str">
        <f t="shared" si="10"/>
        <v>2103</v>
      </c>
      <c r="S140" s="154">
        <f t="shared" si="10"/>
        <v>0</v>
      </c>
      <c r="T140" s="156" t="str">
        <f>+VLOOKUP($L140,Data_Validation!$A:$D,1,0)</f>
        <v>2103</v>
      </c>
      <c r="U140" s="156" t="str">
        <f>+VLOOKUP($L140,Data_Validation!$A:$D,3,0)</f>
        <v>Bilan</v>
      </c>
      <c r="V140" s="156" t="str">
        <f>+VLOOKUP($L140,Data_Validation!$A:$D,4,0)</f>
        <v>Effet à Payer Véhicules Usagés</v>
      </c>
      <c r="W140" s="156" t="str">
        <f>+VLOOKUP($L140,Data_Validation!$A:$E,5,0)</f>
        <v>$</v>
      </c>
      <c r="X140" s="156">
        <f>+VLOOKUP($L140,Data_Validation!$A:$F,6,0)</f>
        <v>0</v>
      </c>
    </row>
    <row r="141" spans="1:24" ht="15" hidden="1" customHeight="1">
      <c r="A141" s="1013" t="s">
        <v>2417</v>
      </c>
      <c r="B141" s="1013" t="s">
        <v>2418</v>
      </c>
      <c r="C141" s="1015">
        <v>-15810</v>
      </c>
      <c r="D141" s="1015">
        <v>0</v>
      </c>
      <c r="E141" s="1015">
        <v>-15810</v>
      </c>
      <c r="F141" s="1013" t="s">
        <v>282</v>
      </c>
      <c r="G141" s="1013" t="s">
        <v>2418</v>
      </c>
      <c r="H141" s="949"/>
      <c r="I141" s="948"/>
      <c r="J141" s="948"/>
      <c r="K141" s="948"/>
      <c r="L141" s="153" t="str">
        <f t="shared" si="0"/>
        <v>2131</v>
      </c>
      <c r="M141" s="154" t="str">
        <f t="shared" si="1"/>
        <v>PORTION COURANTE PRET</v>
      </c>
      <c r="N141" s="155">
        <f>+IF(OR($Q141=Parametres!$G$2,$Q141=Parametres!$G$3),I141,C141)</f>
        <v>-15810</v>
      </c>
      <c r="O141" s="155">
        <f>+IF(OR($Q141=Parametres!$G$2,$Q141=Parametres!$G$3),J141,D141)</f>
        <v>0</v>
      </c>
      <c r="P141" s="155">
        <f>+IF(OR($Q141=Parametres!$G$2,$Q141=Parametres!$G$3),K141,E141)</f>
        <v>-15810</v>
      </c>
      <c r="Q141" s="154" t="str">
        <f t="shared" si="10"/>
        <v>3-Passifs</v>
      </c>
      <c r="R141" s="153" t="str">
        <f t="shared" si="10"/>
        <v>2131</v>
      </c>
      <c r="S141" s="154">
        <f t="shared" si="10"/>
        <v>0</v>
      </c>
      <c r="T141" s="156" t="str">
        <f>+VLOOKUP($L141,Data_Validation!$A:$D,1,0)</f>
        <v>2131</v>
      </c>
      <c r="U141" s="156" t="str">
        <f>+VLOOKUP($L141,Data_Validation!$A:$D,3,0)</f>
        <v>Bilan</v>
      </c>
      <c r="V141" s="156" t="str">
        <f>+VLOOKUP($L141,Data_Validation!$A:$D,4,0)</f>
        <v>Portion Court Terme de la Dette Long Terme</v>
      </c>
      <c r="W141" s="156" t="str">
        <f>+VLOOKUP($L141,Data_Validation!$A:$E,5,0)</f>
        <v>$</v>
      </c>
      <c r="X141" s="156">
        <f>+VLOOKUP($L141,Data_Validation!$A:$F,6,0)</f>
        <v>0</v>
      </c>
    </row>
    <row r="142" spans="1:24" ht="15" hidden="1" customHeight="1">
      <c r="A142" s="1013" t="s">
        <v>2203</v>
      </c>
      <c r="B142" s="1013" t="s">
        <v>2204</v>
      </c>
      <c r="C142" s="1015">
        <v>-1244.43</v>
      </c>
      <c r="D142" s="1015">
        <v>69.84</v>
      </c>
      <c r="E142" s="1015">
        <v>-1174.5899999999999</v>
      </c>
      <c r="F142" s="1013" t="s">
        <v>282</v>
      </c>
      <c r="G142" s="1013" t="s">
        <v>2204</v>
      </c>
      <c r="H142" s="949"/>
      <c r="I142" s="948"/>
      <c r="J142" s="948"/>
      <c r="K142" s="948"/>
      <c r="L142" s="153" t="str">
        <f t="shared" si="0"/>
        <v>2220</v>
      </c>
      <c r="M142" s="154" t="str">
        <f t="shared" si="1"/>
        <v>TPA A PAYER</v>
      </c>
      <c r="N142" s="155">
        <f>+IF(OR($Q142=Parametres!$G$2,$Q142=Parametres!$G$3),I142,C142)</f>
        <v>-1244.43</v>
      </c>
      <c r="O142" s="155">
        <f>+IF(OR($Q142=Parametres!$G$2,$Q142=Parametres!$G$3),J142,D142)</f>
        <v>69.84</v>
      </c>
      <c r="P142" s="155">
        <f>+IF(OR($Q142=Parametres!$G$2,$Q142=Parametres!$G$3),K142,E142)</f>
        <v>-1174.5899999999999</v>
      </c>
      <c r="Q142" s="154" t="str">
        <f t="shared" si="10"/>
        <v>3-Passifs</v>
      </c>
      <c r="R142" s="153" t="str">
        <f t="shared" si="10"/>
        <v>2220</v>
      </c>
      <c r="S142" s="154">
        <f t="shared" si="10"/>
        <v>0</v>
      </c>
      <c r="T142" s="156" t="str">
        <f>+VLOOKUP($L142,Data_Validation!$A:$D,1,0)</f>
        <v>2220</v>
      </c>
      <c r="U142" s="156" t="str">
        <f>+VLOOKUP($L142,Data_Validation!$A:$D,3,0)</f>
        <v>Bilan</v>
      </c>
      <c r="V142" s="156" t="str">
        <f>+VLOOKUP($L142,Data_Validation!$A:$D,4,0)</f>
        <v>Taxes de Vente à Payer</v>
      </c>
      <c r="W142" s="156" t="str">
        <f>+VLOOKUP($L142,Data_Validation!$A:$E,5,0)</f>
        <v>$</v>
      </c>
      <c r="X142" s="156">
        <f>+VLOOKUP($L142,Data_Validation!$A:$F,6,0)</f>
        <v>0</v>
      </c>
    </row>
    <row r="143" spans="1:24" ht="15.75" hidden="1" customHeight="1">
      <c r="A143" s="1013" t="s">
        <v>2056</v>
      </c>
      <c r="B143" s="1013" t="s">
        <v>2057</v>
      </c>
      <c r="C143" s="1015">
        <v>-70625.16</v>
      </c>
      <c r="D143" s="1015">
        <v>2206.7399999999998</v>
      </c>
      <c r="E143" s="1015">
        <v>-68418.42</v>
      </c>
      <c r="F143" s="1013" t="s">
        <v>282</v>
      </c>
      <c r="G143" s="1013" t="s">
        <v>2057</v>
      </c>
      <c r="H143" s="949"/>
      <c r="I143" s="948"/>
      <c r="J143" s="948"/>
      <c r="K143" s="948"/>
      <c r="L143" s="153" t="str">
        <f t="shared" si="0"/>
        <v>2221</v>
      </c>
      <c r="M143" s="154" t="str">
        <f t="shared" si="1"/>
        <v>TVQ A PAYER</v>
      </c>
      <c r="N143" s="155">
        <f>+IF(OR($Q143=Parametres!$G$2,$Q143=Parametres!$G$3),I143,C143)</f>
        <v>-70625.16</v>
      </c>
      <c r="O143" s="155">
        <f>+IF(OR($Q143=Parametres!$G$2,$Q143=Parametres!$G$3),J143,D143)</f>
        <v>2206.7399999999998</v>
      </c>
      <c r="P143" s="155">
        <f>+IF(OR($Q143=Parametres!$G$2,$Q143=Parametres!$G$3),K143,E143)</f>
        <v>-68418.42</v>
      </c>
      <c r="Q143" s="154" t="str">
        <f t="shared" si="10"/>
        <v>3-Passifs</v>
      </c>
      <c r="R143" s="153" t="str">
        <f t="shared" si="10"/>
        <v>2221</v>
      </c>
      <c r="S143" s="154">
        <f t="shared" si="10"/>
        <v>0</v>
      </c>
      <c r="T143" s="156" t="str">
        <f>+VLOOKUP($L143,Data_Validation!$A:$D,1,0)</f>
        <v>2221</v>
      </c>
      <c r="U143" s="156" t="str">
        <f>+VLOOKUP($L143,Data_Validation!$A:$D,3,0)</f>
        <v>Bilan</v>
      </c>
      <c r="V143" s="156" t="str">
        <f>+VLOOKUP($L143,Data_Validation!$A:$D,4,0)</f>
        <v>Taxes de Vente à Payer</v>
      </c>
      <c r="W143" s="156" t="str">
        <f>+VLOOKUP($L143,Data_Validation!$A:$E,5,0)</f>
        <v>$</v>
      </c>
      <c r="X143" s="156">
        <f>+VLOOKUP($L143,Data_Validation!$A:$F,6,0)</f>
        <v>0</v>
      </c>
    </row>
    <row r="144" spans="1:24" ht="15" hidden="1" customHeight="1">
      <c r="A144" s="1013" t="s">
        <v>2796</v>
      </c>
      <c r="B144" s="1013" t="s">
        <v>2797</v>
      </c>
      <c r="C144" s="1015">
        <v>40167.839999999997</v>
      </c>
      <c r="D144" s="1015">
        <v>-790.99</v>
      </c>
      <c r="E144" s="1015">
        <v>39376.85</v>
      </c>
      <c r="F144" s="1013" t="s">
        <v>282</v>
      </c>
      <c r="G144" s="1013" t="s">
        <v>2057</v>
      </c>
      <c r="H144" s="949"/>
      <c r="I144" s="948"/>
      <c r="J144" s="948"/>
      <c r="K144" s="948"/>
      <c r="L144" s="153" t="str">
        <f t="shared" si="0"/>
        <v>2222</v>
      </c>
      <c r="M144" s="154" t="str">
        <f t="shared" si="1"/>
        <v>TVQ A RECEVOIR</v>
      </c>
      <c r="N144" s="155">
        <f>+IF(OR($Q144=Parametres!$G$2,$Q144=Parametres!$G$3),I144,C144)</f>
        <v>40167.839999999997</v>
      </c>
      <c r="O144" s="155">
        <f>+IF(OR($Q144=Parametres!$G$2,$Q144=Parametres!$G$3),J144,D144)</f>
        <v>-790.99</v>
      </c>
      <c r="P144" s="155">
        <f>+IF(OR($Q144=Parametres!$G$2,$Q144=Parametres!$G$3),K144,E144)</f>
        <v>39376.85</v>
      </c>
      <c r="Q144" s="154" t="str">
        <f t="shared" si="10"/>
        <v>3-Passifs</v>
      </c>
      <c r="R144" s="153" t="str">
        <f t="shared" si="10"/>
        <v>2221</v>
      </c>
      <c r="S144" s="154">
        <f t="shared" si="10"/>
        <v>0</v>
      </c>
      <c r="T144" s="156" t="str">
        <f>+VLOOKUP($L144,Data_Validation!$A:$D,1,0)</f>
        <v>2222</v>
      </c>
      <c r="U144" s="156" t="str">
        <f>+VLOOKUP($L144,Data_Validation!$A:$D,3,0)</f>
        <v>Bilan</v>
      </c>
      <c r="V144" s="156" t="str">
        <f>+VLOOKUP($L144,Data_Validation!$A:$D,4,0)</f>
        <v>Taxes de Vente à Payer</v>
      </c>
      <c r="W144" s="156" t="str">
        <f>+VLOOKUP($L144,Data_Validation!$A:$E,5,0)</f>
        <v>$</v>
      </c>
      <c r="X144" s="156">
        <f>+VLOOKUP($L144,Data_Validation!$A:$F,6,0)</f>
        <v>0</v>
      </c>
    </row>
    <row r="145" spans="1:24" ht="15" hidden="1" customHeight="1">
      <c r="A145" s="1013" t="s">
        <v>2813</v>
      </c>
      <c r="B145" s="1013" t="s">
        <v>2066</v>
      </c>
      <c r="C145" s="1015">
        <v>-193570.86</v>
      </c>
      <c r="D145" s="1015">
        <v>-45132.38</v>
      </c>
      <c r="E145" s="1015">
        <v>-238703.24</v>
      </c>
      <c r="F145" s="1013" t="s">
        <v>282</v>
      </c>
      <c r="G145" s="1013" t="s">
        <v>2066</v>
      </c>
      <c r="H145" s="970"/>
      <c r="I145" s="970"/>
      <c r="J145" s="970"/>
      <c r="K145" s="970"/>
      <c r="L145" s="153" t="str">
        <f t="shared" si="0"/>
        <v>2223</v>
      </c>
      <c r="M145" s="154" t="str">
        <f t="shared" si="1"/>
        <v>TPS A PAYER</v>
      </c>
      <c r="N145" s="155">
        <f>+IF(OR($Q145=Parametres!$G$2,$Q145=Parametres!$G$3),I145,C145)</f>
        <v>-193570.86</v>
      </c>
      <c r="O145" s="155">
        <f>+IF(OR($Q145=Parametres!$G$2,$Q145=Parametres!$G$3),J145,D145)</f>
        <v>-45132.38</v>
      </c>
      <c r="P145" s="155">
        <f>+IF(OR($Q145=Parametres!$G$2,$Q145=Parametres!$G$3),K145,E145)</f>
        <v>-238703.24</v>
      </c>
      <c r="Q145" s="154" t="str">
        <f t="shared" si="10"/>
        <v>3-Passifs</v>
      </c>
      <c r="R145" s="153" t="str">
        <f t="shared" si="10"/>
        <v>2223</v>
      </c>
      <c r="S145" s="154">
        <f t="shared" si="10"/>
        <v>0</v>
      </c>
      <c r="T145" s="156" t="str">
        <f>+VLOOKUP($L145,Data_Validation!$A:$D,1,0)</f>
        <v>2223</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013" t="s">
        <v>2064</v>
      </c>
      <c r="B146" s="1013" t="s">
        <v>2065</v>
      </c>
      <c r="C146" s="1015">
        <v>261473.27</v>
      </c>
      <c r="D146" s="1015">
        <v>-51427.28</v>
      </c>
      <c r="E146" s="1015">
        <v>210045.99</v>
      </c>
      <c r="F146" s="1013" t="s">
        <v>282</v>
      </c>
      <c r="G146" s="1013" t="s">
        <v>2066</v>
      </c>
      <c r="H146" s="970"/>
      <c r="I146" s="970"/>
      <c r="J146" s="970"/>
      <c r="K146" s="970"/>
      <c r="L146" s="153" t="str">
        <f t="shared" si="0"/>
        <v>2224</v>
      </c>
      <c r="M146" s="154" t="str">
        <f t="shared" si="1"/>
        <v>TPS A RECEVOIR</v>
      </c>
      <c r="N146" s="155">
        <f>+IF(OR($Q146=Parametres!$G$2,$Q146=Parametres!$G$3),I146,C146)</f>
        <v>261473.27</v>
      </c>
      <c r="O146" s="155">
        <f>+IF(OR($Q146=Parametres!$G$2,$Q146=Parametres!$G$3),J146,D146)</f>
        <v>-51427.28</v>
      </c>
      <c r="P146" s="155">
        <f>+IF(OR($Q146=Parametres!$G$2,$Q146=Parametres!$G$3),K146,E146)</f>
        <v>210045.99</v>
      </c>
      <c r="Q146" s="154" t="str">
        <f t="shared" ref="Q146:S161" si="11">+F146</f>
        <v>3-Passifs</v>
      </c>
      <c r="R146" s="153" t="str">
        <f t="shared" si="11"/>
        <v>2223</v>
      </c>
      <c r="S146" s="154">
        <f t="shared" si="11"/>
        <v>0</v>
      </c>
      <c r="T146" s="156" t="str">
        <f>+VLOOKUP($L146,Data_Validation!$A:$D,1,0)</f>
        <v>2224</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013" t="s">
        <v>2616</v>
      </c>
      <c r="B147" s="1013" t="s">
        <v>2617</v>
      </c>
      <c r="C147" s="1015">
        <v>-1350</v>
      </c>
      <c r="D147" s="1015">
        <v>-276</v>
      </c>
      <c r="E147" s="1015">
        <v>-1626</v>
      </c>
      <c r="F147" s="1013" t="s">
        <v>282</v>
      </c>
      <c r="G147" s="1013" t="s">
        <v>2057</v>
      </c>
      <c r="H147" s="970"/>
      <c r="I147" s="970"/>
      <c r="J147" s="970"/>
      <c r="K147" s="970"/>
      <c r="L147" s="153" t="str">
        <f t="shared" si="0"/>
        <v>2225</v>
      </c>
      <c r="M147" s="154" t="str">
        <f t="shared" si="1"/>
        <v>DROIT SUR PNEUS</v>
      </c>
      <c r="N147" s="155">
        <f>+IF(OR($Q147=Parametres!$G$2,$Q147=Parametres!$G$3),I147,C147)</f>
        <v>-1350</v>
      </c>
      <c r="O147" s="155">
        <f>+IF(OR($Q147=Parametres!$G$2,$Q147=Parametres!$G$3),J147,D147)</f>
        <v>-276</v>
      </c>
      <c r="P147" s="155">
        <f>+IF(OR($Q147=Parametres!$G$2,$Q147=Parametres!$G$3),K147,E147)</f>
        <v>-1626</v>
      </c>
      <c r="Q147" s="154" t="str">
        <f t="shared" si="11"/>
        <v>3-Passifs</v>
      </c>
      <c r="R147" s="153" t="str">
        <f t="shared" si="11"/>
        <v>2221</v>
      </c>
      <c r="S147" s="154">
        <f t="shared" si="11"/>
        <v>0</v>
      </c>
      <c r="T147" s="156" t="str">
        <f>+VLOOKUP($L147,Data_Validation!$A:$D,1,0)</f>
        <v>2225</v>
      </c>
      <c r="U147" s="156" t="str">
        <f>+VLOOKUP($L147,Data_Validation!$A:$D,3,0)</f>
        <v>Bilan</v>
      </c>
      <c r="V147" s="156" t="str">
        <f>+VLOOKUP($L147,Data_Validation!$A:$D,4,0)</f>
        <v>Taxes de Vente à Payer</v>
      </c>
      <c r="W147" s="156" t="str">
        <f>+VLOOKUP($L147,Data_Validation!$A:$E,5,0)</f>
        <v>$</v>
      </c>
      <c r="X147" s="156">
        <f>+VLOOKUP($L147,Data_Validation!$A:$F,6,0)</f>
        <v>0</v>
      </c>
    </row>
    <row r="148" spans="1:24" ht="15" hidden="1" customHeight="1">
      <c r="A148" s="1013" t="s">
        <v>2818</v>
      </c>
      <c r="B148" s="1013" t="s">
        <v>2819</v>
      </c>
      <c r="C148" s="1015">
        <v>-67259.92</v>
      </c>
      <c r="D148" s="1015">
        <v>-24817.87</v>
      </c>
      <c r="E148" s="1015">
        <v>-92077.79</v>
      </c>
      <c r="F148" s="1013" t="s">
        <v>282</v>
      </c>
      <c r="G148" s="1013" t="s">
        <v>2134</v>
      </c>
      <c r="H148" s="970"/>
      <c r="I148" s="970"/>
      <c r="J148" s="970"/>
      <c r="K148" s="970"/>
      <c r="L148" s="153" t="str">
        <f t="shared" si="0"/>
        <v>2281</v>
      </c>
      <c r="M148" s="154" t="str">
        <f t="shared" si="1"/>
        <v>LIEN A PAYER</v>
      </c>
      <c r="N148" s="155">
        <f>+IF(OR($Q148=Parametres!$G$2,$Q148=Parametres!$G$3),I148,C148)</f>
        <v>-67259.92</v>
      </c>
      <c r="O148" s="155">
        <f>+IF(OR($Q148=Parametres!$G$2,$Q148=Parametres!$G$3),J148,D148)</f>
        <v>-24817.87</v>
      </c>
      <c r="P148" s="155">
        <f>+IF(OR($Q148=Parametres!$G$2,$Q148=Parametres!$G$3),K148,E148)</f>
        <v>-92077.79</v>
      </c>
      <c r="Q148" s="154" t="str">
        <f t="shared" si="11"/>
        <v>3-Passifs</v>
      </c>
      <c r="R148" s="153" t="str">
        <f t="shared" si="11"/>
        <v>2283</v>
      </c>
      <c r="S148" s="154">
        <f t="shared" si="11"/>
        <v>0</v>
      </c>
      <c r="T148" s="156" t="str">
        <f>+VLOOKUP($L148,Data_Validation!$A:$D,1,0)</f>
        <v>2281</v>
      </c>
      <c r="U148" s="156" t="str">
        <f>+VLOOKUP($L148,Data_Validation!$A:$D,3,0)</f>
        <v>Bilan</v>
      </c>
      <c r="V148" s="156" t="str">
        <f>+VLOOKUP($L148,Data_Validation!$A:$D,4,0)</f>
        <v>Autres Comptes à Payer</v>
      </c>
      <c r="W148" s="156" t="str">
        <f>+VLOOKUP($L148,Data_Validation!$A:$E,5,0)</f>
        <v>$</v>
      </c>
      <c r="X148" s="156">
        <f>+VLOOKUP($L148,Data_Validation!$A:$F,6,0)</f>
        <v>0</v>
      </c>
    </row>
    <row r="149" spans="1:24" ht="15" hidden="1" customHeight="1">
      <c r="A149" s="1013" t="s">
        <v>2173</v>
      </c>
      <c r="B149" s="1013" t="s">
        <v>2134</v>
      </c>
      <c r="C149" s="1015">
        <v>-1690</v>
      </c>
      <c r="D149" s="1015">
        <v>-1165</v>
      </c>
      <c r="E149" s="1015">
        <v>-2855</v>
      </c>
      <c r="F149" s="1013" t="s">
        <v>282</v>
      </c>
      <c r="G149" s="1013" t="s">
        <v>2134</v>
      </c>
      <c r="H149" s="970"/>
      <c r="I149" s="970"/>
      <c r="J149" s="970"/>
      <c r="K149" s="970"/>
      <c r="L149" s="153" t="str">
        <f t="shared" si="0"/>
        <v>2283</v>
      </c>
      <c r="M149" s="154" t="str">
        <f t="shared" si="1"/>
        <v>PLAQUE A PAYER</v>
      </c>
      <c r="N149" s="155">
        <f>+IF(OR($Q149=Parametres!$G$2,$Q149=Parametres!$G$3),I149,C149)</f>
        <v>-1690</v>
      </c>
      <c r="O149" s="155">
        <f>+IF(OR($Q149=Parametres!$G$2,$Q149=Parametres!$G$3),J149,D149)</f>
        <v>-1165</v>
      </c>
      <c r="P149" s="155">
        <f>+IF(OR($Q149=Parametres!$G$2,$Q149=Parametres!$G$3),K149,E149)</f>
        <v>-2855</v>
      </c>
      <c r="Q149" s="154" t="str">
        <f t="shared" si="11"/>
        <v>3-Passifs</v>
      </c>
      <c r="R149" s="153" t="str">
        <f t="shared" si="11"/>
        <v>2283</v>
      </c>
      <c r="S149" s="154">
        <f t="shared" si="11"/>
        <v>0</v>
      </c>
      <c r="T149" s="156" t="str">
        <f>+VLOOKUP($L149,Data_Validation!$A:$D,1,0)</f>
        <v>2283</v>
      </c>
      <c r="U149" s="156" t="str">
        <f>+VLOOKUP($L149,Data_Validation!$A:$D,3,0)</f>
        <v>Bilan</v>
      </c>
      <c r="V149" s="156" t="str">
        <f>+VLOOKUP($L149,Data_Validation!$A:$D,4,0)</f>
        <v>Autres Comptes à Payer</v>
      </c>
      <c r="W149" s="156" t="str">
        <f>+VLOOKUP($L149,Data_Validation!$A:$E,5,0)</f>
        <v>$</v>
      </c>
      <c r="X149" s="156">
        <f>+VLOOKUP($L149,Data_Validation!$A:$F,6,0)</f>
        <v>0</v>
      </c>
    </row>
    <row r="150" spans="1:24" ht="15" hidden="1" customHeight="1">
      <c r="A150" s="1013" t="s">
        <v>2772</v>
      </c>
      <c r="B150" s="1013" t="s">
        <v>2773</v>
      </c>
      <c r="C150" s="1015">
        <v>-51387.89</v>
      </c>
      <c r="D150" s="1015">
        <v>-20769.689999999999</v>
      </c>
      <c r="E150" s="1015">
        <v>-72157.58</v>
      </c>
      <c r="F150" s="1013" t="s">
        <v>282</v>
      </c>
      <c r="G150" s="1013" t="s">
        <v>2134</v>
      </c>
      <c r="H150" s="970"/>
      <c r="I150" s="970"/>
      <c r="J150" s="970"/>
      <c r="K150" s="970"/>
      <c r="L150" s="153" t="str">
        <f t="shared" si="0"/>
        <v>2285</v>
      </c>
      <c r="M150" s="154" t="str">
        <f t="shared" si="1"/>
        <v>PROTECTIONS A PAYER</v>
      </c>
      <c r="N150" s="155">
        <f>+IF(OR($Q150=Parametres!$G$2,$Q150=Parametres!$G$3),I150,C150)</f>
        <v>-51387.89</v>
      </c>
      <c r="O150" s="155">
        <f>+IF(OR($Q150=Parametres!$G$2,$Q150=Parametres!$G$3),J150,D150)</f>
        <v>-20769.689999999999</v>
      </c>
      <c r="P150" s="155">
        <f>+IF(OR($Q150=Parametres!$G$2,$Q150=Parametres!$G$3),K150,E150)</f>
        <v>-72157.58</v>
      </c>
      <c r="Q150" s="154" t="str">
        <f t="shared" si="11"/>
        <v>3-Passifs</v>
      </c>
      <c r="R150" s="153" t="str">
        <f t="shared" si="11"/>
        <v>2283</v>
      </c>
      <c r="S150" s="154">
        <f t="shared" si="11"/>
        <v>0</v>
      </c>
      <c r="T150" s="156" t="str">
        <f>+VLOOKUP($L150,Data_Validation!$A:$D,1,0)</f>
        <v>2285</v>
      </c>
      <c r="U150" s="156" t="str">
        <f>+VLOOKUP($L150,Data_Validation!$A:$D,3,0)</f>
        <v>Bilan</v>
      </c>
      <c r="V150" s="156" t="str">
        <f>+VLOOKUP($L150,Data_Validation!$A:$D,4,0)</f>
        <v>Autres Comptes à Payer</v>
      </c>
      <c r="W150" s="156" t="str">
        <f>+VLOOKUP($L150,Data_Validation!$A:$E,5,0)</f>
        <v>$</v>
      </c>
      <c r="X150" s="156">
        <f>+VLOOKUP($L150,Data_Validation!$A:$F,6,0)</f>
        <v>0</v>
      </c>
    </row>
    <row r="151" spans="1:24" ht="15.75" hidden="1" customHeight="1">
      <c r="A151" s="1013" t="s">
        <v>2746</v>
      </c>
      <c r="B151" s="1013" t="s">
        <v>2747</v>
      </c>
      <c r="C151" s="1015">
        <v>-13788.22</v>
      </c>
      <c r="D151" s="1015">
        <v>2999.25</v>
      </c>
      <c r="E151" s="1015">
        <v>-10788.97</v>
      </c>
      <c r="F151" s="1013" t="s">
        <v>282</v>
      </c>
      <c r="G151" s="1013" t="s">
        <v>2134</v>
      </c>
      <c r="H151" s="970"/>
      <c r="I151" s="970"/>
      <c r="J151" s="970"/>
      <c r="K151" s="970"/>
      <c r="L151" s="153" t="str">
        <f t="shared" si="0"/>
        <v>2287</v>
      </c>
      <c r="M151" s="154" t="str">
        <f t="shared" si="1"/>
        <v>A PAYER INVAPLAN</v>
      </c>
      <c r="N151" s="155">
        <f>+IF(OR($Q151=Parametres!$G$2,$Q151=Parametres!$G$3),I151,C151)</f>
        <v>-13788.22</v>
      </c>
      <c r="O151" s="155">
        <f>+IF(OR($Q151=Parametres!$G$2,$Q151=Parametres!$G$3),J151,D151)</f>
        <v>2999.25</v>
      </c>
      <c r="P151" s="155">
        <f>+IF(OR($Q151=Parametres!$G$2,$Q151=Parametres!$G$3),K151,E151)</f>
        <v>-10788.97</v>
      </c>
      <c r="Q151" s="154" t="str">
        <f t="shared" si="11"/>
        <v>3-Passifs</v>
      </c>
      <c r="R151" s="153" t="str">
        <f t="shared" si="11"/>
        <v>2283</v>
      </c>
      <c r="S151" s="154">
        <f t="shared" si="11"/>
        <v>0</v>
      </c>
      <c r="T151" s="156" t="str">
        <f>+VLOOKUP($L151,Data_Validation!$A:$D,1,0)</f>
        <v>2287</v>
      </c>
      <c r="U151" s="156" t="str">
        <f>+VLOOKUP($L151,Data_Validation!$A:$D,3,0)</f>
        <v>Bilan</v>
      </c>
      <c r="V151" s="156" t="str">
        <f>+VLOOKUP($L151,Data_Validation!$A:$D,4,0)</f>
        <v>Autres Comptes à Payer</v>
      </c>
      <c r="W151" s="156" t="str">
        <f>+VLOOKUP($L151,Data_Validation!$A:$E,5,0)</f>
        <v>$</v>
      </c>
      <c r="X151" s="156">
        <f>+VLOOKUP($L151,Data_Validation!$A:$F,6,0)</f>
        <v>0</v>
      </c>
    </row>
    <row r="152" spans="1:24" ht="15" hidden="1" customHeight="1">
      <c r="A152" s="1013" t="s">
        <v>2009</v>
      </c>
      <c r="B152" s="1013" t="s">
        <v>2010</v>
      </c>
      <c r="C152" s="1015">
        <v>-140629.51</v>
      </c>
      <c r="D152" s="1015">
        <v>26166.97</v>
      </c>
      <c r="E152" s="1015">
        <v>-114462.54</v>
      </c>
      <c r="F152" s="1013" t="s">
        <v>282</v>
      </c>
      <c r="G152" s="1013" t="s">
        <v>2010</v>
      </c>
      <c r="H152" s="970"/>
      <c r="I152" s="970"/>
      <c r="J152" s="970"/>
      <c r="K152" s="970"/>
      <c r="L152" s="153" t="str">
        <f t="shared" si="0"/>
        <v>2291</v>
      </c>
      <c r="M152" s="154" t="str">
        <f t="shared" si="1"/>
        <v>COMPTES FOURNISSEURS</v>
      </c>
      <c r="N152" s="155">
        <f>+IF(OR($Q152=Parametres!$G$2,$Q152=Parametres!$G$3),I152,C152)</f>
        <v>-140629.51</v>
      </c>
      <c r="O152" s="155">
        <f>+IF(OR($Q152=Parametres!$G$2,$Q152=Parametres!$G$3),J152,D152)</f>
        <v>26166.97</v>
      </c>
      <c r="P152" s="155">
        <f>+IF(OR($Q152=Parametres!$G$2,$Q152=Parametres!$G$3),K152,E152)</f>
        <v>-114462.54</v>
      </c>
      <c r="Q152" s="154" t="str">
        <f t="shared" si="11"/>
        <v>3-Passifs</v>
      </c>
      <c r="R152" s="153" t="str">
        <f t="shared" si="11"/>
        <v>2291</v>
      </c>
      <c r="S152" s="154">
        <f t="shared" si="11"/>
        <v>0</v>
      </c>
      <c r="T152" s="156" t="str">
        <f>+VLOOKUP($L152,Data_Validation!$A:$D,1,0)</f>
        <v>2291</v>
      </c>
      <c r="U152" s="156" t="str">
        <f>+VLOOKUP($L152,Data_Validation!$A:$D,3,0)</f>
        <v>Bilan</v>
      </c>
      <c r="V152" s="156" t="str">
        <f>+VLOOKUP($L152,Data_Validation!$A:$D,4,0)</f>
        <v>Comptes à Payer Fournisseurs</v>
      </c>
      <c r="W152" s="156" t="str">
        <f>+VLOOKUP($L152,Data_Validation!$A:$E,5,0)</f>
        <v>$</v>
      </c>
      <c r="X152" s="156">
        <f>+VLOOKUP($L152,Data_Validation!$A:$F,6,0)</f>
        <v>0</v>
      </c>
    </row>
    <row r="153" spans="1:24" ht="15" hidden="1" customHeight="1">
      <c r="A153" s="1013" t="s">
        <v>2049</v>
      </c>
      <c r="B153" s="1013" t="s">
        <v>2050</v>
      </c>
      <c r="C153" s="1015">
        <v>0</v>
      </c>
      <c r="D153" s="1015">
        <v>-10598.7</v>
      </c>
      <c r="E153" s="1015">
        <v>-10598.7</v>
      </c>
      <c r="F153" s="1013" t="s">
        <v>282</v>
      </c>
      <c r="G153" s="1013" t="s">
        <v>2010</v>
      </c>
      <c r="H153" s="970"/>
      <c r="I153" s="970"/>
      <c r="J153" s="970"/>
      <c r="K153" s="970"/>
      <c r="L153" s="153" t="str">
        <f t="shared" si="0"/>
        <v>2292</v>
      </c>
      <c r="M153" s="154" t="str">
        <f t="shared" si="1"/>
        <v>ECHANGE ENTRE CONCESSIONNAIRES</v>
      </c>
      <c r="N153" s="155">
        <f>+IF(OR($Q153=Parametres!$G$2,$Q153=Parametres!$G$3),I153,C153)</f>
        <v>0</v>
      </c>
      <c r="O153" s="155">
        <f>+IF(OR($Q153=Parametres!$G$2,$Q153=Parametres!$G$3),J153,D153)</f>
        <v>-10598.7</v>
      </c>
      <c r="P153" s="155">
        <f>+IF(OR($Q153=Parametres!$G$2,$Q153=Parametres!$G$3),K153,E153)</f>
        <v>-10598.7</v>
      </c>
      <c r="Q153" s="154" t="str">
        <f t="shared" si="11"/>
        <v>3-Passifs</v>
      </c>
      <c r="R153" s="153" t="str">
        <f t="shared" si="11"/>
        <v>2291</v>
      </c>
      <c r="S153" s="154">
        <f t="shared" si="11"/>
        <v>0</v>
      </c>
      <c r="T153" s="156" t="str">
        <f>+VLOOKUP($L153,Data_Validation!$A:$D,1,0)</f>
        <v>2292</v>
      </c>
      <c r="U153" s="156" t="str">
        <f>+VLOOKUP($L153,Data_Validation!$A:$D,3,0)</f>
        <v>Bilan</v>
      </c>
      <c r="V153" s="156" t="str">
        <f>+VLOOKUP($L153,Data_Validation!$A:$D,4,0)</f>
        <v>Autres Comptes à Payer</v>
      </c>
      <c r="W153" s="156" t="str">
        <f>+VLOOKUP($L153,Data_Validation!$A:$E,5,0)</f>
        <v>$</v>
      </c>
      <c r="X153" s="156">
        <f>+VLOOKUP($L153,Data_Validation!$A:$F,6,0)</f>
        <v>0</v>
      </c>
    </row>
    <row r="154" spans="1:24" ht="15" hidden="1" customHeight="1">
      <c r="A154" s="1013" t="s">
        <v>2132</v>
      </c>
      <c r="B154" s="1013" t="s">
        <v>2133</v>
      </c>
      <c r="C154" s="1015">
        <v>-2366.2800000000002</v>
      </c>
      <c r="D154" s="1015">
        <v>-4789.25</v>
      </c>
      <c r="E154" s="1015">
        <v>-7155.53</v>
      </c>
      <c r="F154" s="1013" t="s">
        <v>282</v>
      </c>
      <c r="G154" s="1013" t="s">
        <v>2134</v>
      </c>
      <c r="H154" s="970"/>
      <c r="I154" s="970"/>
      <c r="J154" s="970"/>
      <c r="K154" s="970"/>
      <c r="L154" s="153" t="str">
        <f t="shared" si="0"/>
        <v>2293</v>
      </c>
      <c r="M154" s="154" t="str">
        <f t="shared" si="1"/>
        <v>PROVISIONS GARANTIES USAGEES</v>
      </c>
      <c r="N154" s="155">
        <f>+IF(OR($Q154=Parametres!$G$2,$Q154=Parametres!$G$3),I154,C154)</f>
        <v>-2366.2800000000002</v>
      </c>
      <c r="O154" s="155">
        <f>+IF(OR($Q154=Parametres!$G$2,$Q154=Parametres!$G$3),J154,D154)</f>
        <v>-4789.25</v>
      </c>
      <c r="P154" s="155">
        <f>+IF(OR($Q154=Parametres!$G$2,$Q154=Parametres!$G$3),K154,E154)</f>
        <v>-7155.53</v>
      </c>
      <c r="Q154" s="154" t="str">
        <f t="shared" si="11"/>
        <v>3-Passifs</v>
      </c>
      <c r="R154" s="153" t="str">
        <f t="shared" si="11"/>
        <v>2283</v>
      </c>
      <c r="S154" s="154">
        <f t="shared" si="11"/>
        <v>0</v>
      </c>
      <c r="T154" s="156" t="str">
        <f>+VLOOKUP($L154,Data_Validation!$A:$D,1,0)</f>
        <v>2293</v>
      </c>
      <c r="U154" s="156" t="str">
        <f>+VLOOKUP($L154,Data_Validation!$A:$D,3,0)</f>
        <v>Bilan</v>
      </c>
      <c r="V154" s="156" t="str">
        <f>+VLOOKUP($L154,Data_Validation!$A:$D,4,0)</f>
        <v>Autres Courus</v>
      </c>
      <c r="W154" s="156" t="str">
        <f>+VLOOKUP($L154,Data_Validation!$A:$E,5,0)</f>
        <v>$</v>
      </c>
      <c r="X154" s="156">
        <f>+VLOOKUP($L154,Data_Validation!$A:$F,6,0)</f>
        <v>0</v>
      </c>
    </row>
    <row r="155" spans="1:24" ht="15.75" hidden="1" customHeight="1">
      <c r="A155" s="1013" t="s">
        <v>2419</v>
      </c>
      <c r="B155" s="1013" t="s">
        <v>2420</v>
      </c>
      <c r="C155" s="1015">
        <v>-30.06</v>
      </c>
      <c r="D155" s="1015">
        <v>0</v>
      </c>
      <c r="E155" s="1015">
        <v>-30.06</v>
      </c>
      <c r="F155" s="1013" t="s">
        <v>282</v>
      </c>
      <c r="G155" s="1013" t="s">
        <v>2133</v>
      </c>
      <c r="H155" s="970"/>
      <c r="I155" s="970"/>
      <c r="J155" s="970"/>
      <c r="K155" s="970"/>
      <c r="L155" s="153" t="str">
        <f t="shared" si="0"/>
        <v>2295</v>
      </c>
      <c r="M155" s="154" t="str">
        <f t="shared" si="1"/>
        <v>RESERVE ESSENCE</v>
      </c>
      <c r="N155" s="155">
        <f>+IF(OR($Q155=Parametres!$G$2,$Q155=Parametres!$G$3),I155,C155)</f>
        <v>-30.06</v>
      </c>
      <c r="O155" s="155">
        <f>+IF(OR($Q155=Parametres!$G$2,$Q155=Parametres!$G$3),J155,D155)</f>
        <v>0</v>
      </c>
      <c r="P155" s="155">
        <f>+IF(OR($Q155=Parametres!$G$2,$Q155=Parametres!$G$3),K155,E155)</f>
        <v>-30.06</v>
      </c>
      <c r="Q155" s="154" t="str">
        <f t="shared" si="11"/>
        <v>3-Passifs</v>
      </c>
      <c r="R155" s="153" t="str">
        <f t="shared" si="11"/>
        <v>2293</v>
      </c>
      <c r="S155" s="154">
        <f t="shared" si="11"/>
        <v>0</v>
      </c>
      <c r="T155" s="156" t="str">
        <f>+VLOOKUP($L155,Data_Validation!$A:$D,1,0)</f>
        <v>2295</v>
      </c>
      <c r="U155" s="156" t="str">
        <f>+VLOOKUP($L155,Data_Validation!$A:$D,3,0)</f>
        <v>Bilan</v>
      </c>
      <c r="V155" s="156" t="str">
        <f>+VLOOKUP($L155,Data_Validation!$A:$D,4,0)</f>
        <v>Autres Courus</v>
      </c>
      <c r="W155" s="156" t="str">
        <f>+VLOOKUP($L155,Data_Validation!$A:$E,5,0)</f>
        <v>$</v>
      </c>
      <c r="X155" s="156">
        <f>+VLOOKUP($L155,Data_Validation!$A:$F,6,0)</f>
        <v>0</v>
      </c>
    </row>
    <row r="156" spans="1:24" ht="15" hidden="1" customHeight="1">
      <c r="A156" s="1013" t="s">
        <v>2146</v>
      </c>
      <c r="B156" s="1013" t="s">
        <v>2147</v>
      </c>
      <c r="C156" s="1015">
        <v>-9250</v>
      </c>
      <c r="D156" s="1015">
        <v>-4050</v>
      </c>
      <c r="E156" s="1015">
        <v>-13300</v>
      </c>
      <c r="F156" s="1013" t="s">
        <v>282</v>
      </c>
      <c r="G156" s="1013" t="s">
        <v>2134</v>
      </c>
      <c r="H156" s="970"/>
      <c r="I156" s="970"/>
      <c r="J156" s="970"/>
      <c r="K156" s="970"/>
      <c r="L156" s="153" t="str">
        <f t="shared" si="0"/>
        <v>2297</v>
      </c>
      <c r="M156" s="154" t="str">
        <f t="shared" si="1"/>
        <v>RESERVE RENOUVELLEMENT</v>
      </c>
      <c r="N156" s="155">
        <f>+IF(OR($Q156=Parametres!$G$2,$Q156=Parametres!$G$3),I156,C156)</f>
        <v>-9250</v>
      </c>
      <c r="O156" s="155">
        <f>+IF(OR($Q156=Parametres!$G$2,$Q156=Parametres!$G$3),J156,D156)</f>
        <v>-4050</v>
      </c>
      <c r="P156" s="155">
        <f>+IF(OR($Q156=Parametres!$G$2,$Q156=Parametres!$G$3),K156,E156)</f>
        <v>-13300</v>
      </c>
      <c r="Q156" s="154" t="str">
        <f t="shared" si="11"/>
        <v>3-Passifs</v>
      </c>
      <c r="R156" s="153" t="str">
        <f t="shared" si="11"/>
        <v>2283</v>
      </c>
      <c r="S156" s="154">
        <f t="shared" si="11"/>
        <v>0</v>
      </c>
      <c r="T156" s="156" t="str">
        <f>+VLOOKUP($L156,Data_Validation!$A:$D,1,0)</f>
        <v>2297</v>
      </c>
      <c r="U156" s="156" t="str">
        <f>+VLOOKUP($L156,Data_Validation!$A:$D,3,0)</f>
        <v>Bilan</v>
      </c>
      <c r="V156" s="156" t="str">
        <f>+VLOOKUP($L156,Data_Validation!$A:$D,4,0)</f>
        <v>Autres Courus</v>
      </c>
      <c r="W156" s="156" t="str">
        <f>+VLOOKUP($L156,Data_Validation!$A:$E,5,0)</f>
        <v>$</v>
      </c>
      <c r="X156" s="156">
        <f>+VLOOKUP($L156,Data_Validation!$A:$F,6,0)</f>
        <v>0</v>
      </c>
    </row>
    <row r="157" spans="1:24" ht="15" hidden="1" customHeight="1">
      <c r="A157" s="1013" t="s">
        <v>2710</v>
      </c>
      <c r="B157" s="1013" t="s">
        <v>2162</v>
      </c>
      <c r="C157" s="1015">
        <v>2740.37</v>
      </c>
      <c r="D157" s="1015">
        <v>2775.87</v>
      </c>
      <c r="E157" s="1015">
        <v>5516.24</v>
      </c>
      <c r="F157" s="1013" t="s">
        <v>282</v>
      </c>
      <c r="G157" s="1013" t="s">
        <v>2162</v>
      </c>
      <c r="H157" s="970"/>
      <c r="I157" s="970"/>
      <c r="J157" s="970"/>
      <c r="K157" s="970"/>
      <c r="L157" s="153" t="str">
        <f t="shared" si="0"/>
        <v>2315</v>
      </c>
      <c r="M157" s="154" t="str">
        <f t="shared" si="1"/>
        <v>PRIME ASSURANCE GROUPE</v>
      </c>
      <c r="N157" s="155">
        <f>+IF(OR($Q157=Parametres!$G$2,$Q157=Parametres!$G$3),I157,C157)</f>
        <v>2740.37</v>
      </c>
      <c r="O157" s="155">
        <f>+IF(OR($Q157=Parametres!$G$2,$Q157=Parametres!$G$3),J157,D157)</f>
        <v>2775.87</v>
      </c>
      <c r="P157" s="155">
        <f>+IF(OR($Q157=Parametres!$G$2,$Q157=Parametres!$G$3),K157,E157)</f>
        <v>5516.24</v>
      </c>
      <c r="Q157" s="154" t="str">
        <f t="shared" si="11"/>
        <v>3-Passifs</v>
      </c>
      <c r="R157" s="153" t="str">
        <f t="shared" si="11"/>
        <v>2315</v>
      </c>
      <c r="S157" s="154">
        <f t="shared" si="11"/>
        <v>0</v>
      </c>
      <c r="T157" s="156" t="str">
        <f>+VLOOKUP($L157,Data_Validation!$A:$D,1,0)</f>
        <v>2315</v>
      </c>
      <c r="U157" s="156" t="str">
        <f>+VLOOKUP($L157,Data_Validation!$A:$D,3,0)</f>
        <v>Bilan</v>
      </c>
      <c r="V157" s="156" t="str">
        <f>+VLOOKUP($L157,Data_Validation!$A:$D,4,0)</f>
        <v>DAS à Payer</v>
      </c>
      <c r="W157" s="156" t="str">
        <f>+VLOOKUP($L157,Data_Validation!$A:$E,5,0)</f>
        <v>$</v>
      </c>
      <c r="X157" s="156">
        <f>+VLOOKUP($L157,Data_Validation!$A:$F,6,0)</f>
        <v>0</v>
      </c>
    </row>
    <row r="158" spans="1:24" ht="15" hidden="1" customHeight="1">
      <c r="A158" s="1013" t="s">
        <v>2160</v>
      </c>
      <c r="B158" s="1013" t="s">
        <v>2161</v>
      </c>
      <c r="C158" s="1015">
        <v>1597.05</v>
      </c>
      <c r="D158" s="1015">
        <v>2025.83</v>
      </c>
      <c r="E158" s="1015">
        <v>3622.88</v>
      </c>
      <c r="F158" s="1013" t="s">
        <v>282</v>
      </c>
      <c r="G158" s="1013" t="s">
        <v>2162</v>
      </c>
      <c r="H158" s="970"/>
      <c r="I158" s="970"/>
      <c r="J158" s="970"/>
      <c r="K158" s="970"/>
      <c r="L158" s="153" t="str">
        <f t="shared" si="0"/>
        <v>2335</v>
      </c>
      <c r="M158" s="154" t="str">
        <f t="shared" si="1"/>
        <v>COMITE SOCIAL</v>
      </c>
      <c r="N158" s="155">
        <f>+IF(OR($Q158=Parametres!$G$2,$Q158=Parametres!$G$3),I158,C158)</f>
        <v>1597.05</v>
      </c>
      <c r="O158" s="155">
        <f>+IF(OR($Q158=Parametres!$G$2,$Q158=Parametres!$G$3),J158,D158)</f>
        <v>2025.83</v>
      </c>
      <c r="P158" s="155">
        <f>+IF(OR($Q158=Parametres!$G$2,$Q158=Parametres!$G$3),K158,E158)</f>
        <v>3622.88</v>
      </c>
      <c r="Q158" s="154" t="str">
        <f t="shared" si="11"/>
        <v>3-Passifs</v>
      </c>
      <c r="R158" s="153" t="str">
        <f t="shared" si="11"/>
        <v>2315</v>
      </c>
      <c r="S158" s="154">
        <f t="shared" si="11"/>
        <v>0</v>
      </c>
      <c r="T158" s="156" t="str">
        <f>+VLOOKUP($L158,Data_Validation!$A:$D,1,0)</f>
        <v>2335</v>
      </c>
      <c r="U158" s="156" t="str">
        <f>+VLOOKUP($L158,Data_Validation!$A:$D,3,0)</f>
        <v>Bilan</v>
      </c>
      <c r="V158" s="156" t="str">
        <f>+VLOOKUP($L158,Data_Validation!$A:$D,4,0)</f>
        <v>DAS à Payer</v>
      </c>
      <c r="W158" s="156" t="str">
        <f>+VLOOKUP($L158,Data_Validation!$A:$E,5,0)</f>
        <v>$</v>
      </c>
      <c r="X158" s="156">
        <f>+VLOOKUP($L158,Data_Validation!$A:$F,6,0)</f>
        <v>0</v>
      </c>
    </row>
    <row r="159" spans="1:24" ht="15.75" hidden="1" customHeight="1">
      <c r="A159" s="1013" t="s">
        <v>2749</v>
      </c>
      <c r="B159" s="1013" t="s">
        <v>2750</v>
      </c>
      <c r="C159" s="1015">
        <v>-19056.810000000001</v>
      </c>
      <c r="D159" s="1015">
        <v>-1759.3</v>
      </c>
      <c r="E159" s="1015">
        <v>-20816.11</v>
      </c>
      <c r="F159" s="1013" t="s">
        <v>282</v>
      </c>
      <c r="G159" s="1013" t="s">
        <v>2162</v>
      </c>
      <c r="H159" s="970"/>
      <c r="I159" s="970"/>
      <c r="J159" s="970"/>
      <c r="K159" s="970"/>
      <c r="L159" s="153" t="str">
        <f t="shared" si="0"/>
        <v>2342</v>
      </c>
      <c r="M159" s="154" t="str">
        <f t="shared" si="1"/>
        <v>REER STANDARD LIFE</v>
      </c>
      <c r="N159" s="155">
        <f>+IF(OR($Q159=Parametres!$G$2,$Q159=Parametres!$G$3),I159,C159)</f>
        <v>-19056.810000000001</v>
      </c>
      <c r="O159" s="155">
        <f>+IF(OR($Q159=Parametres!$G$2,$Q159=Parametres!$G$3),J159,D159)</f>
        <v>-1759.3</v>
      </c>
      <c r="P159" s="155">
        <f>+IF(OR($Q159=Parametres!$G$2,$Q159=Parametres!$G$3),K159,E159)</f>
        <v>-20816.11</v>
      </c>
      <c r="Q159" s="154" t="str">
        <f t="shared" si="11"/>
        <v>3-Passifs</v>
      </c>
      <c r="R159" s="153" t="str">
        <f t="shared" si="11"/>
        <v>2315</v>
      </c>
      <c r="S159" s="154">
        <f t="shared" si="11"/>
        <v>0</v>
      </c>
      <c r="T159" s="156" t="str">
        <f>+VLOOKUP($L159,Data_Validation!$A:$D,1,0)</f>
        <v>2342</v>
      </c>
      <c r="U159" s="156" t="str">
        <f>+VLOOKUP($L159,Data_Validation!$A:$D,3,0)</f>
        <v>Bilan</v>
      </c>
      <c r="V159" s="156" t="str">
        <f>+VLOOKUP($L159,Data_Validation!$A:$D,4,0)</f>
        <v>DAS à Payer</v>
      </c>
      <c r="W159" s="156" t="str">
        <f>+VLOOKUP($L159,Data_Validation!$A:$E,5,0)</f>
        <v>$</v>
      </c>
      <c r="X159" s="156">
        <f>+VLOOKUP($L159,Data_Validation!$A:$F,6,0)</f>
        <v>0</v>
      </c>
    </row>
    <row r="160" spans="1:24" ht="15" hidden="1" customHeight="1">
      <c r="A160" s="1013" t="s">
        <v>2582</v>
      </c>
      <c r="B160" s="1013" t="s">
        <v>2583</v>
      </c>
      <c r="C160" s="1015">
        <v>-741.48</v>
      </c>
      <c r="D160" s="1015">
        <v>-44.04</v>
      </c>
      <c r="E160" s="1015">
        <v>-785.52</v>
      </c>
      <c r="F160" s="1013" t="s">
        <v>282</v>
      </c>
      <c r="G160" s="1013" t="s">
        <v>2162</v>
      </c>
      <c r="H160" s="970"/>
      <c r="I160" s="971"/>
      <c r="J160" s="971"/>
      <c r="K160" s="971"/>
      <c r="L160" s="153" t="str">
        <f t="shared" si="0"/>
        <v>2343</v>
      </c>
      <c r="M160" s="154" t="str">
        <f t="shared" si="1"/>
        <v>COMITE PARITAIRE</v>
      </c>
      <c r="N160" s="155">
        <f>+IF(OR($Q160=Parametres!$G$2,$Q160=Parametres!$G$3),I160,C160)</f>
        <v>-741.48</v>
      </c>
      <c r="O160" s="155">
        <f>+IF(OR($Q160=Parametres!$G$2,$Q160=Parametres!$G$3),J160,D160)</f>
        <v>-44.04</v>
      </c>
      <c r="P160" s="155">
        <f>+IF(OR($Q160=Parametres!$G$2,$Q160=Parametres!$G$3),K160,E160)</f>
        <v>-785.52</v>
      </c>
      <c r="Q160" s="154" t="str">
        <f t="shared" si="11"/>
        <v>3-Passifs</v>
      </c>
      <c r="R160" s="153" t="str">
        <f t="shared" si="11"/>
        <v>2315</v>
      </c>
      <c r="S160" s="154">
        <f t="shared" si="11"/>
        <v>0</v>
      </c>
      <c r="T160" s="156" t="str">
        <f>+VLOOKUP($L160,Data_Validation!$A:$D,1,0)</f>
        <v>2343</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013" t="s">
        <v>536</v>
      </c>
      <c r="B161" s="1013" t="s">
        <v>2185</v>
      </c>
      <c r="C161" s="1015">
        <v>-789</v>
      </c>
      <c r="D161" s="1015">
        <v>-297</v>
      </c>
      <c r="E161" s="1015">
        <v>-1086</v>
      </c>
      <c r="F161" s="1013" t="s">
        <v>282</v>
      </c>
      <c r="G161" s="1013" t="s">
        <v>2162</v>
      </c>
      <c r="H161" s="1014"/>
      <c r="I161" s="1014"/>
      <c r="J161" s="1014"/>
      <c r="K161" s="1014"/>
      <c r="L161" s="153" t="str">
        <f t="shared" si="0"/>
        <v>2344</v>
      </c>
      <c r="M161" s="154" t="str">
        <f t="shared" si="1"/>
        <v>CENTRAIDE</v>
      </c>
      <c r="N161" s="155">
        <f>+IF(OR($Q161=Parametres!$G$2,$Q161=Parametres!$G$3),I161,C161)</f>
        <v>-789</v>
      </c>
      <c r="O161" s="155">
        <f>+IF(OR($Q161=Parametres!$G$2,$Q161=Parametres!$G$3),J161,D161)</f>
        <v>-297</v>
      </c>
      <c r="P161" s="155">
        <f>+IF(OR($Q161=Parametres!$G$2,$Q161=Parametres!$G$3),K161,E161)</f>
        <v>-1086</v>
      </c>
      <c r="Q161" s="154" t="str">
        <f t="shared" si="11"/>
        <v>3-Passifs</v>
      </c>
      <c r="R161" s="153" t="str">
        <f t="shared" si="11"/>
        <v>2315</v>
      </c>
      <c r="S161" s="154">
        <f t="shared" si="11"/>
        <v>0</v>
      </c>
      <c r="T161" s="156" t="str">
        <f>+VLOOKUP($L161,Data_Validation!$A:$D,1,0)</f>
        <v>2344</v>
      </c>
      <c r="U161" s="156" t="str">
        <f>+VLOOKUP($L161,Data_Validation!$A:$D,3,0)</f>
        <v>Bilan</v>
      </c>
      <c r="V161" s="156" t="str">
        <f>+VLOOKUP($L161,Data_Validation!$A:$D,4,0)</f>
        <v>DAS à Payer</v>
      </c>
      <c r="W161" s="156" t="str">
        <f>+VLOOKUP($L161,Data_Validation!$A:$E,5,0)</f>
        <v>$</v>
      </c>
      <c r="X161" s="156">
        <f>+VLOOKUP($L161,Data_Validation!$A:$F,6,0)</f>
        <v>0</v>
      </c>
    </row>
    <row r="162" spans="1:24" ht="15" hidden="1" customHeight="1">
      <c r="A162" s="1013" t="s">
        <v>2193</v>
      </c>
      <c r="B162" s="1013" t="s">
        <v>2194</v>
      </c>
      <c r="C162" s="1015">
        <v>-1256.02</v>
      </c>
      <c r="D162" s="1015">
        <v>-12043.98</v>
      </c>
      <c r="E162" s="1015">
        <v>-13300</v>
      </c>
      <c r="F162" s="1013" t="s">
        <v>282</v>
      </c>
      <c r="G162" s="1013" t="s">
        <v>2194</v>
      </c>
      <c r="H162" s="1014"/>
      <c r="I162" s="1014"/>
      <c r="J162" s="1014"/>
      <c r="K162" s="1014"/>
      <c r="L162" s="153" t="str">
        <f t="shared" si="0"/>
        <v>2401</v>
      </c>
      <c r="M162" s="154" t="str">
        <f t="shared" si="1"/>
        <v>DEPOTS FIDUCIE-VENTE CLIENTS</v>
      </c>
      <c r="N162" s="155">
        <f>+IF(OR($Q162=Parametres!$G$2,$Q162=Parametres!$G$3),I162,C162)</f>
        <v>-1256.02</v>
      </c>
      <c r="O162" s="155">
        <f>+IF(OR($Q162=Parametres!$G$2,$Q162=Parametres!$G$3),J162,D162)</f>
        <v>-12043.98</v>
      </c>
      <c r="P162" s="155">
        <f>+IF(OR($Q162=Parametres!$G$2,$Q162=Parametres!$G$3),K162,E162)</f>
        <v>-13300</v>
      </c>
      <c r="Q162" s="154" t="str">
        <f t="shared" ref="Q162:S177" si="12">+F162</f>
        <v>3-Passifs</v>
      </c>
      <c r="R162" s="153" t="str">
        <f t="shared" si="12"/>
        <v>2401</v>
      </c>
      <c r="S162" s="154">
        <f t="shared" si="12"/>
        <v>0</v>
      </c>
      <c r="T162" s="156" t="str">
        <f>+VLOOKUP($L162,Data_Validation!$A:$D,1,0)</f>
        <v>2401</v>
      </c>
      <c r="U162" s="156" t="str">
        <f>+VLOOKUP($L162,Data_Validation!$A:$D,3,0)</f>
        <v>Bilan</v>
      </c>
      <c r="V162" s="156" t="str">
        <f>+VLOOKUP($L162,Data_Validation!$A:$D,4,0)</f>
        <v>Dépôts de Client</v>
      </c>
      <c r="W162" s="156" t="str">
        <f>+VLOOKUP($L162,Data_Validation!$A:$E,5,0)</f>
        <v>$</v>
      </c>
      <c r="X162" s="156">
        <f>+VLOOKUP($L162,Data_Validation!$A:$F,6,0)</f>
        <v>0</v>
      </c>
    </row>
    <row r="163" spans="1:24" ht="15.75" hidden="1" customHeight="1">
      <c r="A163" s="1013" t="s">
        <v>2600</v>
      </c>
      <c r="B163" s="1013" t="s">
        <v>2601</v>
      </c>
      <c r="C163" s="1015">
        <v>-5168.54</v>
      </c>
      <c r="D163" s="1015">
        <v>-3957.92</v>
      </c>
      <c r="E163" s="1015">
        <v>-9126.4599999999991</v>
      </c>
      <c r="F163" s="1013" t="s">
        <v>282</v>
      </c>
      <c r="G163" s="1013" t="s">
        <v>2601</v>
      </c>
      <c r="H163" s="1014"/>
      <c r="I163" s="1014"/>
      <c r="J163" s="1014"/>
      <c r="K163" s="1014"/>
      <c r="L163" s="153" t="str">
        <f t="shared" si="0"/>
        <v>2501</v>
      </c>
      <c r="M163" s="154" t="str">
        <f t="shared" si="1"/>
        <v>COMMISSION A PAYER</v>
      </c>
      <c r="N163" s="155">
        <f>+IF(OR($Q163=Parametres!$G$2,$Q163=Parametres!$G$3),I163,C163)</f>
        <v>-5168.54</v>
      </c>
      <c r="O163" s="155">
        <f>+IF(OR($Q163=Parametres!$G$2,$Q163=Parametres!$G$3),J163,D163)</f>
        <v>-3957.92</v>
      </c>
      <c r="P163" s="155">
        <f>+IF(OR($Q163=Parametres!$G$2,$Q163=Parametres!$G$3),K163,E163)</f>
        <v>-9126.4599999999991</v>
      </c>
      <c r="Q163" s="154" t="str">
        <f t="shared" si="12"/>
        <v>3-Passifs</v>
      </c>
      <c r="R163" s="153" t="str">
        <f t="shared" si="12"/>
        <v>2501</v>
      </c>
      <c r="S163" s="154">
        <f t="shared" si="12"/>
        <v>0</v>
      </c>
      <c r="T163" s="156" t="str">
        <f>+VLOOKUP($L163,Data_Validation!$A:$D,1,0)</f>
        <v>2501</v>
      </c>
      <c r="U163" s="156" t="str">
        <f>+VLOOKUP($L163,Data_Validation!$A:$D,3,0)</f>
        <v>Bilan</v>
      </c>
      <c r="V163" s="156" t="str">
        <f>+VLOOKUP($L163,Data_Validation!$A:$D,4,0)</f>
        <v>Salaires à Payer</v>
      </c>
      <c r="W163" s="156" t="str">
        <f>+VLOOKUP($L163,Data_Validation!$A:$E,5,0)</f>
        <v>$</v>
      </c>
      <c r="X163" s="156">
        <f>+VLOOKUP($L163,Data_Validation!$A:$F,6,0)</f>
        <v>0</v>
      </c>
    </row>
    <row r="164" spans="1:24" ht="15" hidden="1" customHeight="1">
      <c r="A164" s="1013" t="s">
        <v>2058</v>
      </c>
      <c r="B164" s="1013" t="s">
        <v>2059</v>
      </c>
      <c r="C164" s="1015">
        <v>-7794.19</v>
      </c>
      <c r="D164" s="1015">
        <v>-33711.160000000003</v>
      </c>
      <c r="E164" s="1015">
        <v>-41505.35</v>
      </c>
      <c r="F164" s="1013" t="s">
        <v>282</v>
      </c>
      <c r="G164" s="1013" t="s">
        <v>2059</v>
      </c>
      <c r="H164" s="1014"/>
      <c r="I164" s="1014"/>
      <c r="J164" s="1014"/>
      <c r="K164" s="1014"/>
      <c r="L164" s="153" t="str">
        <f t="shared" si="0"/>
        <v>2503</v>
      </c>
      <c r="M164" s="154" t="str">
        <f t="shared" si="1"/>
        <v>SALAIRES DES EMPLOYES</v>
      </c>
      <c r="N164" s="155">
        <f>+IF(OR($Q164=Parametres!$G$2,$Q164=Parametres!$G$3),I164,C164)</f>
        <v>-7794.19</v>
      </c>
      <c r="O164" s="155">
        <f>+IF(OR($Q164=Parametres!$G$2,$Q164=Parametres!$G$3),J164,D164)</f>
        <v>-33711.160000000003</v>
      </c>
      <c r="P164" s="155">
        <f>+IF(OR($Q164=Parametres!$G$2,$Q164=Parametres!$G$3),K164,E164)</f>
        <v>-41505.35</v>
      </c>
      <c r="Q164" s="154" t="str">
        <f t="shared" si="12"/>
        <v>3-Passifs</v>
      </c>
      <c r="R164" s="153" t="str">
        <f t="shared" si="12"/>
        <v>2503</v>
      </c>
      <c r="S164" s="154">
        <f t="shared" si="12"/>
        <v>0</v>
      </c>
      <c r="T164" s="156" t="str">
        <f>+VLOOKUP($L164,Data_Validation!$A:$D,1,0)</f>
        <v>2503</v>
      </c>
      <c r="U164" s="156" t="str">
        <f>+VLOOKUP($L164,Data_Validation!$A:$D,3,0)</f>
        <v>Bilan</v>
      </c>
      <c r="V164" s="156" t="str">
        <f>+VLOOKUP($L164,Data_Validation!$A:$D,4,0)</f>
        <v>Salaires à Payer</v>
      </c>
      <c r="W164" s="156" t="str">
        <f>+VLOOKUP($L164,Data_Validation!$A:$E,5,0)</f>
        <v>$</v>
      </c>
      <c r="X164" s="156">
        <f>+VLOOKUP($L164,Data_Validation!$A:$F,6,0)</f>
        <v>0</v>
      </c>
    </row>
    <row r="165" spans="1:24" ht="15" hidden="1" customHeight="1">
      <c r="A165" s="1013" t="s">
        <v>2098</v>
      </c>
      <c r="B165" s="1013" t="s">
        <v>2099</v>
      </c>
      <c r="C165" s="1035">
        <v>22178.26</v>
      </c>
      <c r="D165" s="1035">
        <v>-25749.58</v>
      </c>
      <c r="E165" s="1035">
        <v>-3571.32</v>
      </c>
      <c r="F165" s="1013" t="s">
        <v>282</v>
      </c>
      <c r="G165" s="1013" t="s">
        <v>2059</v>
      </c>
      <c r="H165" s="1014"/>
      <c r="I165" s="1015"/>
      <c r="J165" s="1015"/>
      <c r="K165" s="1015"/>
      <c r="L165" s="153" t="str">
        <f t="shared" si="0"/>
        <v>2505</v>
      </c>
      <c r="M165" s="154" t="str">
        <f t="shared" si="1"/>
        <v>JOURS FERIES</v>
      </c>
      <c r="N165" s="155">
        <f>+IF(OR($Q165=Parametres!$G$2,$Q165=Parametres!$G$3),I165,C165)</f>
        <v>22178.26</v>
      </c>
      <c r="O165" s="155">
        <f>+IF(OR($Q165=Parametres!$G$2,$Q165=Parametres!$G$3),J165,D165)</f>
        <v>-25749.58</v>
      </c>
      <c r="P165" s="155">
        <f>+IF(OR($Q165=Parametres!$G$2,$Q165=Parametres!$G$3),K165,E165)</f>
        <v>-3571.32</v>
      </c>
      <c r="Q165" s="154" t="str">
        <f t="shared" si="12"/>
        <v>3-Passifs</v>
      </c>
      <c r="R165" s="153" t="str">
        <f t="shared" si="12"/>
        <v>2503</v>
      </c>
      <c r="S165" s="154">
        <f t="shared" si="12"/>
        <v>0</v>
      </c>
      <c r="T165" s="156" t="str">
        <f>+VLOOKUP($L165,Data_Validation!$A:$D,1,0)</f>
        <v>2505</v>
      </c>
      <c r="U165" s="156" t="str">
        <f>+VLOOKUP($L165,Data_Validation!$A:$D,3,0)</f>
        <v>Bilan</v>
      </c>
      <c r="V165" s="156" t="str">
        <f>+VLOOKUP($L165,Data_Validation!$A:$D,4,0)</f>
        <v>Salaires à Payer</v>
      </c>
      <c r="W165" s="156" t="str">
        <f>+VLOOKUP($L165,Data_Validation!$A:$E,5,0)</f>
        <v>$</v>
      </c>
      <c r="X165" s="156">
        <f>+VLOOKUP($L165,Data_Validation!$A:$F,6,0)</f>
        <v>0</v>
      </c>
    </row>
    <row r="166" spans="1:24" ht="15" hidden="1" customHeight="1">
      <c r="A166" s="1013" t="s">
        <v>2094</v>
      </c>
      <c r="B166" s="1013" t="s">
        <v>2095</v>
      </c>
      <c r="C166" s="1015">
        <v>-170609.78</v>
      </c>
      <c r="D166" s="1015">
        <v>3208.47</v>
      </c>
      <c r="E166" s="1015">
        <v>-167401.31</v>
      </c>
      <c r="F166" s="1013" t="s">
        <v>282</v>
      </c>
      <c r="G166" s="1013" t="s">
        <v>2059</v>
      </c>
      <c r="H166" s="1014"/>
      <c r="I166" s="1014"/>
      <c r="J166" s="1014"/>
      <c r="K166" s="1014"/>
      <c r="L166" s="153" t="str">
        <f t="shared" si="0"/>
        <v>2509</v>
      </c>
      <c r="M166" s="154" t="str">
        <f t="shared" si="1"/>
        <v>SALAIRES DE VACANCES</v>
      </c>
      <c r="N166" s="155">
        <f>+IF(OR($Q166=Parametres!$G$2,$Q166=Parametres!$G$3),I166,C166)</f>
        <v>-170609.78</v>
      </c>
      <c r="O166" s="155">
        <f>+IF(OR($Q166=Parametres!$G$2,$Q166=Parametres!$G$3),J166,D166)</f>
        <v>3208.47</v>
      </c>
      <c r="P166" s="155">
        <f>+IF(OR($Q166=Parametres!$G$2,$Q166=Parametres!$G$3),K166,E166)</f>
        <v>-167401.31</v>
      </c>
      <c r="Q166" s="154" t="str">
        <f t="shared" si="12"/>
        <v>3-Passifs</v>
      </c>
      <c r="R166" s="153" t="str">
        <f t="shared" si="12"/>
        <v>2503</v>
      </c>
      <c r="S166" s="154">
        <f t="shared" si="12"/>
        <v>0</v>
      </c>
      <c r="T166" s="156" t="str">
        <f>+VLOOKUP($L166,Data_Validation!$A:$D,1,0)</f>
        <v>2509</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013" t="s">
        <v>2188</v>
      </c>
      <c r="B167" s="1013" t="s">
        <v>2189</v>
      </c>
      <c r="C167" s="1035">
        <v>9332.08</v>
      </c>
      <c r="D167" s="1014">
        <v>896.8</v>
      </c>
      <c r="E167" s="1035">
        <v>10228.879999999999</v>
      </c>
      <c r="F167" s="1013" t="s">
        <v>282</v>
      </c>
      <c r="G167" s="1013" t="s">
        <v>2059</v>
      </c>
      <c r="H167" s="1014"/>
      <c r="I167" s="1015"/>
      <c r="J167" s="1015"/>
      <c r="K167" s="1015"/>
      <c r="L167" s="153" t="str">
        <f t="shared" si="0"/>
        <v>2511</v>
      </c>
      <c r="M167" s="154" t="str">
        <f t="shared" si="1"/>
        <v>JOURNEE MALADIE</v>
      </c>
      <c r="N167" s="155">
        <f>+IF(OR($Q167=Parametres!$G$2,$Q167=Parametres!$G$3),I167,C167)</f>
        <v>9332.08</v>
      </c>
      <c r="O167" s="155">
        <f>+IF(OR($Q167=Parametres!$G$2,$Q167=Parametres!$G$3),J167,D167)</f>
        <v>896.8</v>
      </c>
      <c r="P167" s="155">
        <f>+IF(OR($Q167=Parametres!$G$2,$Q167=Parametres!$G$3),K167,E167)</f>
        <v>10228.879999999999</v>
      </c>
      <c r="Q167" s="154" t="str">
        <f t="shared" si="12"/>
        <v>3-Passifs</v>
      </c>
      <c r="R167" s="153" t="str">
        <f t="shared" si="12"/>
        <v>2503</v>
      </c>
      <c r="S167" s="154">
        <f t="shared" si="12"/>
        <v>0</v>
      </c>
      <c r="T167" s="156" t="str">
        <f>+VLOOKUP($L167,Data_Validation!$A:$D,1,0)</f>
        <v>2511</v>
      </c>
      <c r="U167" s="156" t="str">
        <f>+VLOOKUP($L167,Data_Validation!$A:$D,3,0)</f>
        <v>Bilan</v>
      </c>
      <c r="V167" s="156" t="str">
        <f>+VLOOKUP($L167,Data_Validation!$A:$D,4,0)</f>
        <v>Salaires à Payer</v>
      </c>
      <c r="W167" s="156" t="str">
        <f>+VLOOKUP($L167,Data_Validation!$A:$E,5,0)</f>
        <v>$</v>
      </c>
      <c r="X167" s="156">
        <f>+VLOOKUP($L167,Data_Validation!$A:$F,6,0)</f>
        <v>0</v>
      </c>
    </row>
    <row r="168" spans="1:24" ht="15.75" hidden="1" customHeight="1">
      <c r="A168" s="1013" t="s">
        <v>2689</v>
      </c>
      <c r="B168" s="1013" t="s">
        <v>2690</v>
      </c>
      <c r="C168" s="1015">
        <v>-53726.75</v>
      </c>
      <c r="D168" s="1015">
        <v>1317.5</v>
      </c>
      <c r="E168" s="1015">
        <v>-52409.25</v>
      </c>
      <c r="F168" s="1013" t="s">
        <v>282</v>
      </c>
      <c r="G168" s="1013" t="s">
        <v>2690</v>
      </c>
      <c r="H168" s="1014"/>
      <c r="I168" s="1014"/>
      <c r="J168" s="1014"/>
      <c r="K168" s="1014"/>
      <c r="L168" s="153" t="str">
        <f t="shared" si="0"/>
        <v>2801</v>
      </c>
      <c r="M168" s="154" t="str">
        <f t="shared" si="1"/>
        <v>PRET CIBC</v>
      </c>
      <c r="N168" s="155">
        <f>+IF(OR($Q168=Parametres!$G$2,$Q168=Parametres!$G$3),I168,C168)</f>
        <v>-53726.75</v>
      </c>
      <c r="O168" s="155">
        <f>+IF(OR($Q168=Parametres!$G$2,$Q168=Parametres!$G$3),J168,D168)</f>
        <v>1317.5</v>
      </c>
      <c r="P168" s="155">
        <f>+IF(OR($Q168=Parametres!$G$2,$Q168=Parametres!$G$3),K168,E168)</f>
        <v>-52409.25</v>
      </c>
      <c r="Q168" s="154" t="str">
        <f t="shared" si="12"/>
        <v>3-Passifs</v>
      </c>
      <c r="R168" s="153" t="str">
        <f t="shared" si="12"/>
        <v>2801</v>
      </c>
      <c r="S168" s="154">
        <f t="shared" si="12"/>
        <v>0</v>
      </c>
      <c r="T168" s="156" t="str">
        <f>+VLOOKUP($L168,Data_Validation!$A:$D,1,0)</f>
        <v>2801</v>
      </c>
      <c r="U168" s="156" t="str">
        <f>+VLOOKUP($L168,Data_Validation!$A:$D,3,0)</f>
        <v>Bilan</v>
      </c>
      <c r="V168" s="156" t="str">
        <f>+VLOOKUP($L168,Data_Validation!$A:$D,4,0)</f>
        <v>Dette à Long Terme</v>
      </c>
      <c r="W168" s="156" t="str">
        <f>+VLOOKUP($L168,Data_Validation!$A:$E,5,0)</f>
        <v>$</v>
      </c>
      <c r="X168" s="156">
        <f>+VLOOKUP($L168,Data_Validation!$A:$F,6,0)</f>
        <v>0</v>
      </c>
    </row>
    <row r="169" spans="1:24" ht="15" hidden="1" customHeight="1">
      <c r="A169" s="1013" t="s">
        <v>827</v>
      </c>
      <c r="B169" s="1013" t="s">
        <v>2190</v>
      </c>
      <c r="C169" s="1035">
        <v>-21075.35</v>
      </c>
      <c r="D169" s="1014">
        <v>-241.99</v>
      </c>
      <c r="E169" s="1035">
        <v>-21317.34</v>
      </c>
      <c r="F169" s="1013" t="s">
        <v>282</v>
      </c>
      <c r="G169" s="1013" t="s">
        <v>2190</v>
      </c>
      <c r="H169" s="1014"/>
      <c r="I169" s="1015"/>
      <c r="J169" s="1015"/>
      <c r="K169" s="1015"/>
      <c r="L169" s="153" t="str">
        <f t="shared" si="0"/>
        <v>2901</v>
      </c>
      <c r="M169" s="154" t="str">
        <f t="shared" si="1"/>
        <v>RESERVE CARTES PRIVILEGE</v>
      </c>
      <c r="N169" s="155">
        <f>+IF(OR($Q169=Parametres!$G$2,$Q169=Parametres!$G$3),I169,C169)</f>
        <v>-21075.35</v>
      </c>
      <c r="O169" s="155">
        <f>+IF(OR($Q169=Parametres!$G$2,$Q169=Parametres!$G$3),J169,D169)</f>
        <v>-241.99</v>
      </c>
      <c r="P169" s="155">
        <f>+IF(OR($Q169=Parametres!$G$2,$Q169=Parametres!$G$3),K169,E169)</f>
        <v>-21317.34</v>
      </c>
      <c r="Q169" s="154" t="str">
        <f t="shared" si="12"/>
        <v>3-Passifs</v>
      </c>
      <c r="R169" s="153" t="str">
        <f t="shared" si="12"/>
        <v>2901</v>
      </c>
      <c r="S169" s="154">
        <f t="shared" si="12"/>
        <v>0</v>
      </c>
      <c r="T169" s="156" t="str">
        <f>+VLOOKUP($L169,Data_Validation!$A:$D,1,0)</f>
        <v>2901</v>
      </c>
      <c r="U169" s="156" t="str">
        <f>+VLOOKUP($L169,Data_Validation!$A:$D,3,0)</f>
        <v>Bilan</v>
      </c>
      <c r="V169" s="156" t="str">
        <f>+VLOOKUP($L169,Data_Validation!$A:$D,4,0)</f>
        <v>Autres Courus</v>
      </c>
      <c r="W169" s="156" t="str">
        <f>+VLOOKUP($L169,Data_Validation!$A:$E,5,0)</f>
        <v>$</v>
      </c>
      <c r="X169" s="156">
        <f>+VLOOKUP($L169,Data_Validation!$A:$F,6,0)</f>
        <v>0</v>
      </c>
    </row>
    <row r="170" spans="1:24" ht="15" hidden="1" customHeight="1">
      <c r="A170" s="1013" t="s">
        <v>2423</v>
      </c>
      <c r="B170" s="1013" t="s">
        <v>2424</v>
      </c>
      <c r="C170" s="1015">
        <v>-2350000</v>
      </c>
      <c r="D170" s="1015">
        <v>0</v>
      </c>
      <c r="E170" s="1015">
        <v>-2350000</v>
      </c>
      <c r="F170" s="1013" t="s">
        <v>831</v>
      </c>
      <c r="G170" s="1013" t="s">
        <v>2424</v>
      </c>
      <c r="H170" s="1014"/>
      <c r="I170" s="1014"/>
      <c r="J170" s="1014"/>
      <c r="K170" s="1014"/>
      <c r="L170" s="153" t="str">
        <f t="shared" si="0"/>
        <v>3001</v>
      </c>
      <c r="M170" s="154" t="str">
        <f t="shared" si="1"/>
        <v>ACTIONS CATEGORIE 1</v>
      </c>
      <c r="N170" s="155">
        <f>+IF(OR($Q170=Parametres!$G$2,$Q170=Parametres!$G$3),I170,C170)</f>
        <v>-2350000</v>
      </c>
      <c r="O170" s="155">
        <f>+IF(OR($Q170=Parametres!$G$2,$Q170=Parametres!$G$3),J170,D170)</f>
        <v>0</v>
      </c>
      <c r="P170" s="155">
        <f>+IF(OR($Q170=Parametres!$G$2,$Q170=Parametres!$G$3),K170,E170)</f>
        <v>-2350000</v>
      </c>
      <c r="Q170" s="154" t="str">
        <f t="shared" si="12"/>
        <v>4-Valeur nette</v>
      </c>
      <c r="R170" s="153" t="str">
        <f t="shared" si="12"/>
        <v>3001</v>
      </c>
      <c r="S170" s="154">
        <f t="shared" si="12"/>
        <v>0</v>
      </c>
      <c r="T170" s="156" t="str">
        <f>+VLOOKUP($L170,Data_Validation!$A:$D,1,0)</f>
        <v>3001</v>
      </c>
      <c r="U170" s="156" t="str">
        <f>+VLOOKUP($L170,Data_Validation!$A:$D,3,0)</f>
        <v>Bilan</v>
      </c>
      <c r="V170" s="156" t="str">
        <f>+VLOOKUP($L170,Data_Validation!$A:$D,4,0)</f>
        <v>Capital Actions</v>
      </c>
      <c r="W170" s="156" t="str">
        <f>+VLOOKUP($L170,Data_Validation!$A:$E,5,0)</f>
        <v>$</v>
      </c>
      <c r="X170" s="156">
        <f>+VLOOKUP($L170,Data_Validation!$A:$F,6,0)</f>
        <v>0</v>
      </c>
    </row>
    <row r="171" spans="1:24" ht="15" hidden="1" customHeight="1">
      <c r="A171" s="1013" t="s">
        <v>2425</v>
      </c>
      <c r="B171" s="1013" t="s">
        <v>2426</v>
      </c>
      <c r="C171" s="1035">
        <v>-1846000</v>
      </c>
      <c r="D171" s="1014">
        <v>0</v>
      </c>
      <c r="E171" s="1035">
        <v>-1846000</v>
      </c>
      <c r="F171" s="1013" t="s">
        <v>831</v>
      </c>
      <c r="G171" s="1013" t="s">
        <v>2424</v>
      </c>
      <c r="H171" s="1014"/>
      <c r="I171" s="1015"/>
      <c r="J171" s="1015"/>
      <c r="K171" s="1015"/>
      <c r="L171" s="153" t="str">
        <f t="shared" si="0"/>
        <v>3003</v>
      </c>
      <c r="M171" s="154" t="str">
        <f t="shared" si="1"/>
        <v>APPORT / RETRAIT</v>
      </c>
      <c r="N171" s="155">
        <f>+IF(OR($Q171=Parametres!$G$2,$Q171=Parametres!$G$3),I171,C171)</f>
        <v>-1846000</v>
      </c>
      <c r="O171" s="155">
        <f>+IF(OR($Q171=Parametres!$G$2,$Q171=Parametres!$G$3),J171,D171)</f>
        <v>0</v>
      </c>
      <c r="P171" s="155">
        <f>+IF(OR($Q171=Parametres!$G$2,$Q171=Parametres!$G$3),K171,E171)</f>
        <v>-1846000</v>
      </c>
      <c r="Q171" s="154" t="str">
        <f t="shared" si="12"/>
        <v>4-Valeur nette</v>
      </c>
      <c r="R171" s="153" t="str">
        <f t="shared" si="12"/>
        <v>3001</v>
      </c>
      <c r="S171" s="154">
        <f t="shared" si="12"/>
        <v>0</v>
      </c>
      <c r="T171" s="156" t="str">
        <f>+VLOOKUP($L171,Data_Validation!$A:$D,1,0)</f>
        <v>3003</v>
      </c>
      <c r="U171" s="156" t="str">
        <f>+VLOOKUP($L171,Data_Validation!$A:$D,3,0)</f>
        <v>Bilan</v>
      </c>
      <c r="V171" s="156" t="str">
        <f>+VLOOKUP($L171,Data_Validation!$A:$D,4,0)</f>
        <v>Apport</v>
      </c>
      <c r="W171" s="156" t="str">
        <f>+VLOOKUP($L171,Data_Validation!$A:$E,5,0)</f>
        <v>$</v>
      </c>
      <c r="X171" s="156">
        <f>+VLOOKUP($L171,Data_Validation!$A:$F,6,0)</f>
        <v>0</v>
      </c>
    </row>
    <row r="172" spans="1:24" ht="15.75" hidden="1" customHeight="1">
      <c r="A172" s="1013" t="s">
        <v>2427</v>
      </c>
      <c r="B172" s="1013" t="s">
        <v>2428</v>
      </c>
      <c r="C172" s="1015">
        <v>-347547.5</v>
      </c>
      <c r="D172" s="1015">
        <v>0</v>
      </c>
      <c r="E172" s="1015">
        <v>-347547.5</v>
      </c>
      <c r="F172" s="1013" t="s">
        <v>831</v>
      </c>
      <c r="G172" s="1013" t="s">
        <v>2424</v>
      </c>
      <c r="H172" s="1014"/>
      <c r="I172" s="1014"/>
      <c r="J172" s="1014"/>
      <c r="K172" s="1014"/>
      <c r="L172" s="153" t="str">
        <f t="shared" si="0"/>
        <v>3007</v>
      </c>
      <c r="M172" s="154" t="str">
        <f t="shared" si="1"/>
        <v>ACTIONS PARTICIPANTES</v>
      </c>
      <c r="N172" s="155">
        <f>+IF(OR($Q172=Parametres!$G$2,$Q172=Parametres!$G$3),I172,C172)</f>
        <v>-347547.5</v>
      </c>
      <c r="O172" s="155">
        <f>+IF(OR($Q172=Parametres!$G$2,$Q172=Parametres!$G$3),J172,D172)</f>
        <v>0</v>
      </c>
      <c r="P172" s="155">
        <f>+IF(OR($Q172=Parametres!$G$2,$Q172=Parametres!$G$3),K172,E172)</f>
        <v>-347547.5</v>
      </c>
      <c r="Q172" s="154" t="str">
        <f t="shared" si="12"/>
        <v>4-Valeur nette</v>
      </c>
      <c r="R172" s="153" t="str">
        <f t="shared" si="12"/>
        <v>3001</v>
      </c>
      <c r="S172" s="154">
        <f t="shared" si="12"/>
        <v>0</v>
      </c>
      <c r="T172" s="156" t="str">
        <f>+VLOOKUP($L172,Data_Validation!$A:$D,1,0)</f>
        <v>3007</v>
      </c>
      <c r="U172" s="156" t="str">
        <f>+VLOOKUP($L172,Data_Validation!$A:$D,3,0)</f>
        <v>Bilan</v>
      </c>
      <c r="V172" s="156" t="str">
        <f>+VLOOKUP($L172,Data_Validation!$A:$D,4,0)</f>
        <v>Capital Actions</v>
      </c>
      <c r="W172" s="156">
        <f>+VLOOKUP($L172,Data_Validation!$A:$E,5,0)</f>
        <v>0</v>
      </c>
      <c r="X172" s="156">
        <f>+VLOOKUP($L172,Data_Validation!$A:$F,6,0)</f>
        <v>0</v>
      </c>
    </row>
    <row r="173" spans="1:24" ht="15" hidden="1" customHeight="1">
      <c r="A173" s="1013" t="s">
        <v>2429</v>
      </c>
      <c r="B173" s="1013" t="s">
        <v>2430</v>
      </c>
      <c r="C173" s="1035">
        <v>-231711.86</v>
      </c>
      <c r="D173" s="1014">
        <v>0</v>
      </c>
      <c r="E173" s="1035">
        <v>-231711.86</v>
      </c>
      <c r="F173" s="1013" t="s">
        <v>831</v>
      </c>
      <c r="G173" s="1013" t="s">
        <v>2424</v>
      </c>
      <c r="H173" s="1014"/>
      <c r="I173" s="1015"/>
      <c r="J173" s="1015"/>
      <c r="K173" s="1015"/>
      <c r="L173" s="153" t="str">
        <f t="shared" si="0"/>
        <v>3201</v>
      </c>
      <c r="M173" s="154" t="str">
        <f t="shared" si="1"/>
        <v>BENEFICES NON-REPARTIS</v>
      </c>
      <c r="N173" s="155">
        <f>+IF(OR($Q173=Parametres!$G$2,$Q173=Parametres!$G$3),I173,C173)</f>
        <v>-231711.86</v>
      </c>
      <c r="O173" s="155">
        <f>+IF(OR($Q173=Parametres!$G$2,$Q173=Parametres!$G$3),J173,D173)</f>
        <v>0</v>
      </c>
      <c r="P173" s="155">
        <f>+IF(OR($Q173=Parametres!$G$2,$Q173=Parametres!$G$3),K173,E173)</f>
        <v>-231711.86</v>
      </c>
      <c r="Q173" s="154" t="str">
        <f t="shared" si="12"/>
        <v>4-Valeur nette</v>
      </c>
      <c r="R173" s="153" t="str">
        <f t="shared" si="12"/>
        <v>3001</v>
      </c>
      <c r="S173" s="154">
        <f t="shared" si="12"/>
        <v>0</v>
      </c>
      <c r="T173" s="156" t="str">
        <f>+VLOOKUP($L173,Data_Validation!$A:$D,1,0)</f>
        <v>3201</v>
      </c>
      <c r="U173" s="156" t="str">
        <f>+VLOOKUP($L173,Data_Validation!$A:$D,3,0)</f>
        <v>Bilan</v>
      </c>
      <c r="V173" s="156" t="str">
        <f>+VLOOKUP($L173,Data_Validation!$A:$D,4,0)</f>
        <v>Bénéfices non répartis</v>
      </c>
      <c r="W173" s="156" t="str">
        <f>+VLOOKUP($L173,Data_Validation!$A:$E,5,0)</f>
        <v>$</v>
      </c>
      <c r="X173" s="156">
        <f>+VLOOKUP($L173,Data_Validation!$A:$F,6,0)</f>
        <v>0</v>
      </c>
    </row>
    <row r="174" spans="1:24" ht="15" hidden="1" customHeight="1">
      <c r="A174" s="1013" t="s">
        <v>2025</v>
      </c>
      <c r="B174" s="1013" t="s">
        <v>2026</v>
      </c>
      <c r="C174" s="1015">
        <v>-22912.21</v>
      </c>
      <c r="D174" s="1015">
        <v>-162929.95000000001</v>
      </c>
      <c r="E174" s="1015">
        <v>-185842.16</v>
      </c>
      <c r="F174" s="1013" t="s">
        <v>285</v>
      </c>
      <c r="G174" s="1013" t="s">
        <v>2026</v>
      </c>
      <c r="H174" s="1014"/>
      <c r="I174" s="1014"/>
      <c r="J174" s="1014"/>
      <c r="K174" s="1014"/>
      <c r="L174" s="153" t="str">
        <f t="shared" si="0"/>
        <v>4100</v>
      </c>
      <c r="M174" s="154" t="str">
        <f t="shared" si="1"/>
        <v>VTE - RACHAT BAIL VW</v>
      </c>
      <c r="N174" s="155">
        <f>+IF(OR($Q174=Parametres!$G$2,$Q174=Parametres!$G$3),I174,C174)</f>
        <v>-22912.21</v>
      </c>
      <c r="O174" s="155">
        <f>+IF(OR($Q174=Parametres!$G$2,$Q174=Parametres!$G$3),J174,D174)</f>
        <v>-162929.95000000001</v>
      </c>
      <c r="P174" s="155">
        <f>+IF(OR($Q174=Parametres!$G$2,$Q174=Parametres!$G$3),K174,E174)</f>
        <v>-185842.16</v>
      </c>
      <c r="Q174" s="154" t="str">
        <f t="shared" si="12"/>
        <v>5-Ventes</v>
      </c>
      <c r="R174" s="153" t="str">
        <f t="shared" si="12"/>
        <v>4100</v>
      </c>
      <c r="S174" s="154">
        <f t="shared" si="12"/>
        <v>0</v>
      </c>
      <c r="T174" s="156" t="str">
        <f>+VLOOKUP($L174,Data_Validation!$A:$D,1,0)</f>
        <v>4100</v>
      </c>
      <c r="U174" s="156" t="str">
        <f>+VLOOKUP($L174,Data_Validation!$A:$D,3,0)</f>
        <v>Véhicules neufs</v>
      </c>
      <c r="V174" s="156" t="str">
        <f>+VLOOKUP($L174,Data_Validation!$A:$D,4,0)</f>
        <v>Rachat bail</v>
      </c>
      <c r="W174" s="156" t="str">
        <f>+VLOOKUP($L174,Data_Validation!$A:$E,5,0)</f>
        <v>$</v>
      </c>
      <c r="X174" s="156" t="str">
        <f>+VLOOKUP($L174,Data_Validation!$A:$F,6,0)</f>
        <v>Oui</v>
      </c>
    </row>
    <row r="175" spans="1:24" ht="15" hidden="1" customHeight="1">
      <c r="A175" s="1013" t="s">
        <v>2482</v>
      </c>
      <c r="B175" s="1013" t="s">
        <v>2483</v>
      </c>
      <c r="C175" s="1014"/>
      <c r="D175" s="1014"/>
      <c r="E175" s="1014"/>
      <c r="F175" s="1013" t="s">
        <v>4</v>
      </c>
      <c r="G175" s="1013" t="s">
        <v>2026</v>
      </c>
      <c r="H175" s="1014"/>
      <c r="I175" s="1015">
        <v>-1</v>
      </c>
      <c r="J175" s="1015">
        <v>-11</v>
      </c>
      <c r="K175" s="1015">
        <v>-12</v>
      </c>
      <c r="L175" s="153" t="str">
        <f t="shared" si="0"/>
        <v>4100@</v>
      </c>
      <c r="M175" s="154" t="str">
        <f t="shared" si="1"/>
        <v>RESERVE</v>
      </c>
      <c r="N175" s="155">
        <f>+IF(OR($Q175=Parametres!$G$2,$Q175=Parametres!$G$3),I175,C175)</f>
        <v>-1</v>
      </c>
      <c r="O175" s="155">
        <f>+IF(OR($Q175=Parametres!$G$2,$Q175=Parametres!$G$3),J175,D175)</f>
        <v>-11</v>
      </c>
      <c r="P175" s="155">
        <f>+IF(OR($Q175=Parametres!$G$2,$Q175=Parametres!$G$3),K175,E175)</f>
        <v>-12</v>
      </c>
      <c r="Q175" s="154" t="str">
        <f t="shared" si="12"/>
        <v>10-Compte compteur</v>
      </c>
      <c r="R175" s="153" t="str">
        <f t="shared" si="12"/>
        <v>4100</v>
      </c>
      <c r="S175" s="154">
        <f t="shared" si="12"/>
        <v>0</v>
      </c>
      <c r="T175" s="156" t="str">
        <f>+VLOOKUP($L175,Data_Validation!$A:$D,1,0)</f>
        <v>4100@</v>
      </c>
      <c r="U175" s="156" t="str">
        <f>+VLOOKUP($L175,Data_Validation!$A:$D,3,0)</f>
        <v>Véhicules neufs</v>
      </c>
      <c r="V175" s="156" t="str">
        <f>+VLOOKUP($L175,Data_Validation!$A:$D,4,0)</f>
        <v>Rachat bail</v>
      </c>
      <c r="W175" s="156" t="str">
        <f>+VLOOKUP($L175,Data_Validation!$A:$E,5,0)</f>
        <v>NB</v>
      </c>
      <c r="X175" s="156">
        <f>+VLOOKUP($L175,Data_Validation!$A:$F,6,0)</f>
        <v>0</v>
      </c>
    </row>
    <row r="176" spans="1:24" ht="15.75" hidden="1" customHeight="1">
      <c r="A176" s="1013" t="s">
        <v>2431</v>
      </c>
      <c r="B176" s="1013" t="s">
        <v>2432</v>
      </c>
      <c r="C176" s="1015">
        <v>-97400.77</v>
      </c>
      <c r="D176" s="1015">
        <v>-103591.5</v>
      </c>
      <c r="E176" s="1015">
        <v>-200992.27</v>
      </c>
      <c r="F176" s="1013" t="s">
        <v>285</v>
      </c>
      <c r="G176" s="1013" t="s">
        <v>2432</v>
      </c>
      <c r="H176" s="1014"/>
      <c r="I176" s="1014"/>
      <c r="J176" s="1014"/>
      <c r="K176" s="1014"/>
      <c r="L176" s="153" t="str">
        <f t="shared" si="0"/>
        <v>4101</v>
      </c>
      <c r="M176" s="154" t="str">
        <f t="shared" si="1"/>
        <v>VTE - NEW BEETLE</v>
      </c>
      <c r="N176" s="155">
        <f>+IF(OR($Q176=Parametres!$G$2,$Q176=Parametres!$G$3),I176,C176)</f>
        <v>-97400.77</v>
      </c>
      <c r="O176" s="155">
        <f>+IF(OR($Q176=Parametres!$G$2,$Q176=Parametres!$G$3),J176,D176)</f>
        <v>-103591.5</v>
      </c>
      <c r="P176" s="155">
        <f>+IF(OR($Q176=Parametres!$G$2,$Q176=Parametres!$G$3),K176,E176)</f>
        <v>-200992.27</v>
      </c>
      <c r="Q176" s="154" t="str">
        <f t="shared" si="12"/>
        <v>5-Ventes</v>
      </c>
      <c r="R176" s="153" t="str">
        <f t="shared" si="12"/>
        <v>4101</v>
      </c>
      <c r="S176" s="154">
        <f t="shared" si="12"/>
        <v>0</v>
      </c>
      <c r="T176" s="156" t="str">
        <f>+VLOOKUP($L176,Data_Validation!$A:$D,1,0)</f>
        <v>4101</v>
      </c>
      <c r="U176" s="156" t="str">
        <f>+VLOOKUP($L176,Data_Validation!$A:$D,3,0)</f>
        <v>Véhicules neufs</v>
      </c>
      <c r="V176" s="156" t="str">
        <f>+VLOOKUP($L176,Data_Validation!$A:$D,4,0)</f>
        <v>Autos détail</v>
      </c>
      <c r="W176" s="156" t="str">
        <f>+VLOOKUP($L176,Data_Validation!$A:$E,5,0)</f>
        <v>$</v>
      </c>
      <c r="X176" s="156" t="str">
        <f>+VLOOKUP($L176,Data_Validation!$A:$F,6,0)</f>
        <v>Oui</v>
      </c>
    </row>
    <row r="177" spans="1:24" ht="15" hidden="1" customHeight="1">
      <c r="A177" s="1013" t="s">
        <v>2484</v>
      </c>
      <c r="B177" s="1013" t="s">
        <v>2485</v>
      </c>
      <c r="C177" s="1014"/>
      <c r="D177" s="1014"/>
      <c r="E177" s="1014"/>
      <c r="F177" s="1013" t="s">
        <v>4</v>
      </c>
      <c r="G177" s="1013" t="s">
        <v>2432</v>
      </c>
      <c r="H177" s="1014"/>
      <c r="I177" s="1015">
        <v>-3</v>
      </c>
      <c r="J177" s="1015">
        <v>-4</v>
      </c>
      <c r="K177" s="1015">
        <v>-7</v>
      </c>
      <c r="L177" s="153" t="str">
        <f t="shared" si="0"/>
        <v>4101@</v>
      </c>
      <c r="M177" s="154" t="str">
        <f t="shared" si="1"/>
        <v>VTES NEW BEETLE</v>
      </c>
      <c r="N177" s="155">
        <f>+IF(OR($Q177=Parametres!$G$2,$Q177=Parametres!$G$3),I177,C177)</f>
        <v>-3</v>
      </c>
      <c r="O177" s="155">
        <f>+IF(OR($Q177=Parametres!$G$2,$Q177=Parametres!$G$3),J177,D177)</f>
        <v>-4</v>
      </c>
      <c r="P177" s="155">
        <f>+IF(OR($Q177=Parametres!$G$2,$Q177=Parametres!$G$3),K177,E177)</f>
        <v>-7</v>
      </c>
      <c r="Q177" s="154" t="str">
        <f t="shared" si="12"/>
        <v>10-Compte compteur</v>
      </c>
      <c r="R177" s="153" t="str">
        <f t="shared" si="12"/>
        <v>4101</v>
      </c>
      <c r="S177" s="154">
        <f t="shared" si="12"/>
        <v>0</v>
      </c>
      <c r="T177" s="156" t="str">
        <f>+VLOOKUP($L177,Data_Validation!$A:$D,1,0)</f>
        <v>4101@</v>
      </c>
      <c r="U177" s="156" t="str">
        <f>+VLOOKUP($L177,Data_Validation!$A:$D,3,0)</f>
        <v>Véhicules neufs</v>
      </c>
      <c r="V177" s="156" t="str">
        <f>+VLOOKUP($L177,Data_Validation!$A:$D,4,0)</f>
        <v>Autos détail</v>
      </c>
      <c r="W177" s="156" t="str">
        <f>+VLOOKUP($L177,Data_Validation!$A:$E,5,0)</f>
        <v>NB</v>
      </c>
      <c r="X177" s="156">
        <f>+VLOOKUP($L177,Data_Validation!$A:$F,6,0)</f>
        <v>0</v>
      </c>
    </row>
    <row r="178" spans="1:24" ht="15" hidden="1" customHeight="1">
      <c r="A178" s="1013" t="s">
        <v>2018</v>
      </c>
      <c r="B178" s="1013" t="s">
        <v>2019</v>
      </c>
      <c r="C178" s="1015">
        <v>-331578.25</v>
      </c>
      <c r="D178" s="1015">
        <v>-268407.21999999997</v>
      </c>
      <c r="E178" s="1015">
        <v>-599985.47</v>
      </c>
      <c r="F178" s="1013" t="s">
        <v>285</v>
      </c>
      <c r="G178" s="1013" t="s">
        <v>2019</v>
      </c>
      <c r="H178" s="1014"/>
      <c r="I178" s="1014"/>
      <c r="J178" s="1014"/>
      <c r="K178" s="1014"/>
      <c r="L178" s="153" t="str">
        <f t="shared" si="0"/>
        <v>4107</v>
      </c>
      <c r="M178" s="154" t="str">
        <f t="shared" si="1"/>
        <v>VTE - GOLF A6</v>
      </c>
      <c r="N178" s="155">
        <f>+IF(OR($Q178=Parametres!$G$2,$Q178=Parametres!$G$3),I178,C178)</f>
        <v>-331578.25</v>
      </c>
      <c r="O178" s="155">
        <f>+IF(OR($Q178=Parametres!$G$2,$Q178=Parametres!$G$3),J178,D178)</f>
        <v>-268407.21999999997</v>
      </c>
      <c r="P178" s="155">
        <f>+IF(OR($Q178=Parametres!$G$2,$Q178=Parametres!$G$3),K178,E178)</f>
        <v>-599985.47</v>
      </c>
      <c r="Q178" s="154" t="str">
        <f t="shared" ref="Q178:S193" si="13">+F178</f>
        <v>5-Ventes</v>
      </c>
      <c r="R178" s="153" t="str">
        <f t="shared" si="13"/>
        <v>4107</v>
      </c>
      <c r="S178" s="154">
        <f t="shared" si="13"/>
        <v>0</v>
      </c>
      <c r="T178" s="156" t="str">
        <f>+VLOOKUP($L178,Data_Validation!$A:$D,1,0)</f>
        <v>4107</v>
      </c>
      <c r="U178" s="156" t="str">
        <f>+VLOOKUP($L178,Data_Validation!$A:$D,3,0)</f>
        <v>Véhicules neufs</v>
      </c>
      <c r="V178" s="156" t="str">
        <f>+VLOOKUP($L178,Data_Validation!$A:$D,4,0)</f>
        <v>Autos détail</v>
      </c>
      <c r="W178" s="156" t="str">
        <f>+VLOOKUP($L178,Data_Validation!$A:$E,5,0)</f>
        <v>$</v>
      </c>
      <c r="X178" s="156" t="str">
        <f>+VLOOKUP($L178,Data_Validation!$A:$F,6,0)</f>
        <v>Oui</v>
      </c>
    </row>
    <row r="179" spans="1:24" ht="15" hidden="1" customHeight="1">
      <c r="A179" s="1013" t="s">
        <v>2488</v>
      </c>
      <c r="B179" s="1013" t="s">
        <v>2489</v>
      </c>
      <c r="C179" s="1014"/>
      <c r="D179" s="1014"/>
      <c r="E179" s="1014"/>
      <c r="F179" s="1013" t="s">
        <v>4</v>
      </c>
      <c r="G179" s="1013" t="s">
        <v>2019</v>
      </c>
      <c r="H179" s="1014"/>
      <c r="I179" s="1015">
        <v>-13</v>
      </c>
      <c r="J179" s="1015">
        <v>-10</v>
      </c>
      <c r="K179" s="1015">
        <v>-23</v>
      </c>
      <c r="L179" s="153" t="str">
        <f t="shared" si="0"/>
        <v>4107@</v>
      </c>
      <c r="M179" s="154" t="str">
        <f t="shared" si="1"/>
        <v>UNITES VENDUES GOLF</v>
      </c>
      <c r="N179" s="155">
        <f>+IF(OR($Q179=Parametres!$G$2,$Q179=Parametres!$G$3),I179,C179)</f>
        <v>-13</v>
      </c>
      <c r="O179" s="155">
        <f>+IF(OR($Q179=Parametres!$G$2,$Q179=Parametres!$G$3),J179,D179)</f>
        <v>-10</v>
      </c>
      <c r="P179" s="155">
        <f>+IF(OR($Q179=Parametres!$G$2,$Q179=Parametres!$G$3),K179,E179)</f>
        <v>-23</v>
      </c>
      <c r="Q179" s="154" t="str">
        <f t="shared" si="13"/>
        <v>10-Compte compteur</v>
      </c>
      <c r="R179" s="153" t="str">
        <f t="shared" si="13"/>
        <v>4107</v>
      </c>
      <c r="S179" s="154">
        <f t="shared" si="13"/>
        <v>0</v>
      </c>
      <c r="T179" s="156" t="str">
        <f>+VLOOKUP($L179,Data_Validation!$A:$D,1,0)</f>
        <v>4107@</v>
      </c>
      <c r="U179" s="156" t="str">
        <f>+VLOOKUP($L179,Data_Validation!$A:$D,3,0)</f>
        <v>Véhicules neufs</v>
      </c>
      <c r="V179" s="156" t="str">
        <f>+VLOOKUP($L179,Data_Validation!$A:$D,4,0)</f>
        <v>Autos détail</v>
      </c>
      <c r="W179" s="156" t="str">
        <f>+VLOOKUP($L179,Data_Validation!$A:$E,5,0)</f>
        <v>NB</v>
      </c>
      <c r="X179" s="156">
        <f>+VLOOKUP($L179,Data_Validation!$A:$F,6,0)</f>
        <v>0</v>
      </c>
    </row>
    <row r="180" spans="1:24" ht="15" hidden="1" customHeight="1">
      <c r="A180" s="1013" t="s">
        <v>2435</v>
      </c>
      <c r="B180" s="1013" t="s">
        <v>2436</v>
      </c>
      <c r="C180" s="1015">
        <v>-219523.27</v>
      </c>
      <c r="D180" s="1015">
        <v>0</v>
      </c>
      <c r="E180" s="1015">
        <v>-219523.27</v>
      </c>
      <c r="F180" s="1013" t="s">
        <v>285</v>
      </c>
      <c r="G180" s="1013" t="s">
        <v>2436</v>
      </c>
      <c r="H180" s="1014"/>
      <c r="I180" s="1014"/>
      <c r="J180" s="1014"/>
      <c r="K180" s="1014"/>
      <c r="L180" s="153" t="str">
        <f t="shared" si="0"/>
        <v>4109</v>
      </c>
      <c r="M180" s="154" t="str">
        <f t="shared" si="1"/>
        <v>VTE - GOLF R</v>
      </c>
      <c r="N180" s="155">
        <f>+IF(OR($Q180=Parametres!$G$2,$Q180=Parametres!$G$3),I180,C180)</f>
        <v>-219523.27</v>
      </c>
      <c r="O180" s="155">
        <f>+IF(OR($Q180=Parametres!$G$2,$Q180=Parametres!$G$3),J180,D180)</f>
        <v>0</v>
      </c>
      <c r="P180" s="155">
        <f>+IF(OR($Q180=Parametres!$G$2,$Q180=Parametres!$G$3),K180,E180)</f>
        <v>-219523.27</v>
      </c>
      <c r="Q180" s="154" t="str">
        <f t="shared" si="13"/>
        <v>5-Ventes</v>
      </c>
      <c r="R180" s="153" t="str">
        <f t="shared" si="13"/>
        <v>4109</v>
      </c>
      <c r="S180" s="154">
        <f t="shared" si="13"/>
        <v>0</v>
      </c>
      <c r="T180" s="156" t="str">
        <f>+VLOOKUP($L180,Data_Validation!$A:$D,1,0)</f>
        <v>4109</v>
      </c>
      <c r="U180" s="156" t="str">
        <f>+VLOOKUP($L180,Data_Validation!$A:$D,3,0)</f>
        <v>Véhicules neufs</v>
      </c>
      <c r="V180" s="156" t="str">
        <f>+VLOOKUP($L180,Data_Validation!$A:$D,4,0)</f>
        <v>Autos détail</v>
      </c>
      <c r="W180" s="156" t="str">
        <f>+VLOOKUP($L180,Data_Validation!$A:$E,5,0)</f>
        <v>$</v>
      </c>
      <c r="X180" s="156" t="str">
        <f>+VLOOKUP($L180,Data_Validation!$A:$F,6,0)</f>
        <v>Oui</v>
      </c>
    </row>
    <row r="181" spans="1:24" ht="15.75" hidden="1" customHeight="1">
      <c r="A181" s="1013" t="s">
        <v>2490</v>
      </c>
      <c r="B181" s="1013" t="s">
        <v>2491</v>
      </c>
      <c r="C181" s="1014"/>
      <c r="D181" s="1014"/>
      <c r="E181" s="1014"/>
      <c r="F181" s="1013" t="s">
        <v>4</v>
      </c>
      <c r="G181" s="1013" t="s">
        <v>2436</v>
      </c>
      <c r="H181" s="1014"/>
      <c r="I181" s="1015">
        <v>-5</v>
      </c>
      <c r="J181" s="1015">
        <v>0</v>
      </c>
      <c r="K181" s="1015">
        <v>-5</v>
      </c>
      <c r="L181" s="153" t="str">
        <f t="shared" si="0"/>
        <v>4109@</v>
      </c>
      <c r="M181" s="154" t="str">
        <f t="shared" si="1"/>
        <v># DE VENTE - GOLF R</v>
      </c>
      <c r="N181" s="155">
        <f>+IF(OR($Q181=Parametres!$G$2,$Q181=Parametres!$G$3),I181,C181)</f>
        <v>-5</v>
      </c>
      <c r="O181" s="155">
        <f>+IF(OR($Q181=Parametres!$G$2,$Q181=Parametres!$G$3),J181,D181)</f>
        <v>0</v>
      </c>
      <c r="P181" s="155">
        <f>+IF(OR($Q181=Parametres!$G$2,$Q181=Parametres!$G$3),K181,E181)</f>
        <v>-5</v>
      </c>
      <c r="Q181" s="154" t="str">
        <f t="shared" si="13"/>
        <v>10-Compte compteur</v>
      </c>
      <c r="R181" s="153" t="str">
        <f t="shared" si="13"/>
        <v>4109</v>
      </c>
      <c r="S181" s="154">
        <f t="shared" si="13"/>
        <v>0</v>
      </c>
      <c r="T181" s="156" t="str">
        <f>+VLOOKUP($L181,Data_Validation!$A:$D,1,0)</f>
        <v>4109@</v>
      </c>
      <c r="U181" s="156" t="str">
        <f>+VLOOKUP($L181,Data_Validation!$A:$D,3,0)</f>
        <v>Véhicules neufs</v>
      </c>
      <c r="V181" s="156" t="str">
        <f>+VLOOKUP($L181,Data_Validation!$A:$D,4,0)</f>
        <v>Autos détail</v>
      </c>
      <c r="W181" s="156" t="str">
        <f>+VLOOKUP($L181,Data_Validation!$A:$E,5,0)</f>
        <v>NB</v>
      </c>
      <c r="X181" s="156">
        <f>+VLOOKUP($L181,Data_Validation!$A:$F,6,0)</f>
        <v>0</v>
      </c>
    </row>
    <row r="182" spans="1:24" ht="15.75" hidden="1" customHeight="1">
      <c r="A182" s="1013" t="s">
        <v>2013</v>
      </c>
      <c r="B182" s="1013" t="s">
        <v>2014</v>
      </c>
      <c r="C182" s="1015">
        <v>-620921.86</v>
      </c>
      <c r="D182" s="1015">
        <v>-529525.31000000006</v>
      </c>
      <c r="E182" s="1015">
        <v>-1150447.17</v>
      </c>
      <c r="F182" s="1013" t="s">
        <v>285</v>
      </c>
      <c r="G182" s="1013" t="s">
        <v>2014</v>
      </c>
      <c r="H182" s="1014"/>
      <c r="I182" s="1014"/>
      <c r="J182" s="1014"/>
      <c r="K182" s="1014"/>
      <c r="L182" s="153" t="str">
        <f t="shared" si="0"/>
        <v>4111</v>
      </c>
      <c r="M182" s="154" t="str">
        <f t="shared" si="1"/>
        <v>VTE - JETTA</v>
      </c>
      <c r="N182" s="155">
        <f>+IF(OR($Q182=Parametres!$G$2,$Q182=Parametres!$G$3),I182,C182)</f>
        <v>-620921.86</v>
      </c>
      <c r="O182" s="155">
        <f>+IF(OR($Q182=Parametres!$G$2,$Q182=Parametres!$G$3),J182,D182)</f>
        <v>-529525.31000000006</v>
      </c>
      <c r="P182" s="155">
        <f>+IF(OR($Q182=Parametres!$G$2,$Q182=Parametres!$G$3),K182,E182)</f>
        <v>-1150447.17</v>
      </c>
      <c r="Q182" s="154" t="str">
        <f t="shared" si="13"/>
        <v>5-Ventes</v>
      </c>
      <c r="R182" s="153" t="str">
        <f t="shared" si="13"/>
        <v>4111</v>
      </c>
      <c r="S182" s="154">
        <f t="shared" si="13"/>
        <v>0</v>
      </c>
      <c r="T182" s="156" t="str">
        <f>+VLOOKUP($L182,Data_Validation!$A:$D,1,0)</f>
        <v>4111</v>
      </c>
      <c r="U182" s="156" t="str">
        <f>+VLOOKUP($L182,Data_Validation!$A:$D,3,0)</f>
        <v>Véhicules neufs</v>
      </c>
      <c r="V182" s="156" t="str">
        <f>+VLOOKUP($L182,Data_Validation!$A:$D,4,0)</f>
        <v>Autos détail</v>
      </c>
      <c r="W182" s="156" t="str">
        <f>+VLOOKUP($L182,Data_Validation!$A:$E,5,0)</f>
        <v>$</v>
      </c>
      <c r="X182" s="156" t="str">
        <f>+VLOOKUP($L182,Data_Validation!$A:$F,6,0)</f>
        <v>Oui</v>
      </c>
    </row>
    <row r="183" spans="1:24" ht="15.75" hidden="1" customHeight="1">
      <c r="A183" s="1013" t="s">
        <v>2492</v>
      </c>
      <c r="B183" s="1013" t="s">
        <v>2493</v>
      </c>
      <c r="C183" s="1014"/>
      <c r="D183" s="1014"/>
      <c r="E183" s="1014"/>
      <c r="F183" s="1013" t="s">
        <v>4</v>
      </c>
      <c r="G183" s="1013" t="s">
        <v>2014</v>
      </c>
      <c r="H183" s="1014"/>
      <c r="I183" s="1015">
        <v>-25</v>
      </c>
      <c r="J183" s="1015">
        <v>-19</v>
      </c>
      <c r="K183" s="1015">
        <v>-44</v>
      </c>
      <c r="L183" s="153" t="str">
        <f t="shared" si="0"/>
        <v>4111@</v>
      </c>
      <c r="M183" s="154" t="str">
        <f t="shared" si="1"/>
        <v>UNITES VENDUES - JETTA</v>
      </c>
      <c r="N183" s="155">
        <f>+IF(OR($Q183=Parametres!$G$2,$Q183=Parametres!$G$3),I183,C183)</f>
        <v>-25</v>
      </c>
      <c r="O183" s="155">
        <f>+IF(OR($Q183=Parametres!$G$2,$Q183=Parametres!$G$3),J183,D183)</f>
        <v>-19</v>
      </c>
      <c r="P183" s="155">
        <f>+IF(OR($Q183=Parametres!$G$2,$Q183=Parametres!$G$3),K183,E183)</f>
        <v>-44</v>
      </c>
      <c r="Q183" s="154" t="str">
        <f t="shared" si="13"/>
        <v>10-Compte compteur</v>
      </c>
      <c r="R183" s="153" t="str">
        <f t="shared" si="13"/>
        <v>4111</v>
      </c>
      <c r="S183" s="154">
        <f t="shared" si="13"/>
        <v>0</v>
      </c>
      <c r="T183" s="156" t="str">
        <f>+VLOOKUP($L183,Data_Validation!$A:$D,1,0)</f>
        <v>4111@</v>
      </c>
      <c r="U183" s="156" t="str">
        <f>+VLOOKUP($L183,Data_Validation!$A:$D,3,0)</f>
        <v>Véhicules neufs</v>
      </c>
      <c r="V183" s="156" t="str">
        <f>+VLOOKUP($L183,Data_Validation!$A:$D,4,0)</f>
        <v>Autos détail</v>
      </c>
      <c r="W183" s="156" t="str">
        <f>+VLOOKUP($L183,Data_Validation!$A:$E,5,0)</f>
        <v>NB</v>
      </c>
      <c r="X183" s="156">
        <f>+VLOOKUP($L183,Data_Validation!$A:$F,6,0)</f>
        <v>0</v>
      </c>
    </row>
    <row r="184" spans="1:24" ht="15.75" hidden="1" customHeight="1">
      <c r="A184" s="1013" t="s">
        <v>2437</v>
      </c>
      <c r="B184" s="1013" t="s">
        <v>2438</v>
      </c>
      <c r="C184" s="1015">
        <v>-304390.38</v>
      </c>
      <c r="D184" s="1015">
        <v>-170455.7</v>
      </c>
      <c r="E184" s="1015">
        <v>-474846.08</v>
      </c>
      <c r="F184" s="1013" t="s">
        <v>285</v>
      </c>
      <c r="G184" s="1013" t="s">
        <v>2438</v>
      </c>
      <c r="H184" s="1014"/>
      <c r="I184" s="1014"/>
      <c r="J184" s="1014"/>
      <c r="K184" s="1014"/>
      <c r="L184" s="153" t="str">
        <f t="shared" si="0"/>
        <v>4113</v>
      </c>
      <c r="M184" s="154" t="str">
        <f t="shared" si="1"/>
        <v>VTE - GOLF (FAMILIALE)</v>
      </c>
      <c r="N184" s="155">
        <f>+IF(OR($Q184=Parametres!$G$2,$Q184=Parametres!$G$3),I184,C184)</f>
        <v>-304390.38</v>
      </c>
      <c r="O184" s="155">
        <f>+IF(OR($Q184=Parametres!$G$2,$Q184=Parametres!$G$3),J184,D184)</f>
        <v>-170455.7</v>
      </c>
      <c r="P184" s="155">
        <f>+IF(OR($Q184=Parametres!$G$2,$Q184=Parametres!$G$3),K184,E184)</f>
        <v>-474846.08</v>
      </c>
      <c r="Q184" s="154" t="str">
        <f t="shared" si="13"/>
        <v>5-Ventes</v>
      </c>
      <c r="R184" s="153" t="str">
        <f t="shared" si="13"/>
        <v>4113</v>
      </c>
      <c r="S184" s="154">
        <f t="shared" si="13"/>
        <v>0</v>
      </c>
      <c r="T184" s="156" t="str">
        <f>+VLOOKUP($L184,Data_Validation!$A:$D,1,0)</f>
        <v>4113</v>
      </c>
      <c r="U184" s="156" t="str">
        <f>+VLOOKUP($L184,Data_Validation!$A:$D,3,0)</f>
        <v>Véhicules neufs</v>
      </c>
      <c r="V184" s="156" t="str">
        <f>+VLOOKUP($L184,Data_Validation!$A:$D,4,0)</f>
        <v>Autos détail</v>
      </c>
      <c r="W184" s="156" t="str">
        <f>+VLOOKUP($L184,Data_Validation!$A:$E,5,0)</f>
        <v>$</v>
      </c>
      <c r="X184" s="156" t="str">
        <f>+VLOOKUP($L184,Data_Validation!$A:$F,6,0)</f>
        <v>Oui</v>
      </c>
    </row>
    <row r="185" spans="1:24" ht="15.75" hidden="1" customHeight="1">
      <c r="A185" s="1013" t="s">
        <v>2494</v>
      </c>
      <c r="B185" s="1013" t="s">
        <v>2495</v>
      </c>
      <c r="C185" s="1014"/>
      <c r="D185" s="1014"/>
      <c r="E185" s="1014"/>
      <c r="F185" s="1013" t="s">
        <v>4</v>
      </c>
      <c r="G185" s="1013" t="s">
        <v>2438</v>
      </c>
      <c r="H185" s="1014"/>
      <c r="I185" s="1015">
        <v>-9</v>
      </c>
      <c r="J185" s="1015">
        <v>-6</v>
      </c>
      <c r="K185" s="1015">
        <v>-15</v>
      </c>
      <c r="L185" s="153" t="str">
        <f t="shared" si="0"/>
        <v>4113@</v>
      </c>
      <c r="M185" s="154" t="str">
        <f t="shared" si="1"/>
        <v>UNITES VENDUES - GOLF (FAMILIALE)</v>
      </c>
      <c r="N185" s="155">
        <f>+IF(OR($Q185=Parametres!$G$2,$Q185=Parametres!$G$3),I185,C185)</f>
        <v>-9</v>
      </c>
      <c r="O185" s="155">
        <f>+IF(OR($Q185=Parametres!$G$2,$Q185=Parametres!$G$3),J185,D185)</f>
        <v>-6</v>
      </c>
      <c r="P185" s="155">
        <f>+IF(OR($Q185=Parametres!$G$2,$Q185=Parametres!$G$3),K185,E185)</f>
        <v>-15</v>
      </c>
      <c r="Q185" s="154" t="str">
        <f t="shared" si="13"/>
        <v>10-Compte compteur</v>
      </c>
      <c r="R185" s="153" t="str">
        <f t="shared" si="13"/>
        <v>4113</v>
      </c>
      <c r="S185" s="154">
        <f t="shared" si="13"/>
        <v>0</v>
      </c>
      <c r="T185" s="156" t="str">
        <f>+VLOOKUP($L185,Data_Validation!$A:$D,1,0)</f>
        <v>4113@</v>
      </c>
      <c r="U185" s="156" t="str">
        <f>+VLOOKUP($L185,Data_Validation!$A:$D,3,0)</f>
        <v>Véhicules neufs</v>
      </c>
      <c r="V185" s="156" t="str">
        <f>+VLOOKUP($L185,Data_Validation!$A:$D,4,0)</f>
        <v>Autos détail</v>
      </c>
      <c r="W185" s="156" t="str">
        <f>+VLOOKUP($L185,Data_Validation!$A:$E,5,0)</f>
        <v>NB</v>
      </c>
      <c r="X185" s="156">
        <f>+VLOOKUP($L185,Data_Validation!$A:$F,6,0)</f>
        <v>0</v>
      </c>
    </row>
    <row r="186" spans="1:24" ht="15.75" hidden="1" customHeight="1">
      <c r="A186" s="1013" t="s">
        <v>2439</v>
      </c>
      <c r="B186" s="1013" t="s">
        <v>2440</v>
      </c>
      <c r="C186" s="1015">
        <v>0</v>
      </c>
      <c r="D186" s="1015">
        <v>-37395.17</v>
      </c>
      <c r="E186" s="1015">
        <v>-37395.17</v>
      </c>
      <c r="F186" s="1013" t="s">
        <v>285</v>
      </c>
      <c r="G186" s="1013" t="s">
        <v>2440</v>
      </c>
      <c r="H186" s="1014"/>
      <c r="I186" s="1014"/>
      <c r="J186" s="1014"/>
      <c r="K186" s="1014"/>
      <c r="L186" s="153" t="str">
        <f t="shared" si="0"/>
        <v>4115</v>
      </c>
      <c r="M186" s="154" t="str">
        <f t="shared" si="1"/>
        <v>VTE - PASSAT BERLINE</v>
      </c>
      <c r="N186" s="155">
        <f>+IF(OR($Q186=Parametres!$G$2,$Q186=Parametres!$G$3),I186,C186)</f>
        <v>0</v>
      </c>
      <c r="O186" s="155">
        <f>+IF(OR($Q186=Parametres!$G$2,$Q186=Parametres!$G$3),J186,D186)</f>
        <v>-37395.17</v>
      </c>
      <c r="P186" s="155">
        <f>+IF(OR($Q186=Parametres!$G$2,$Q186=Parametres!$G$3),K186,E186)</f>
        <v>-37395.17</v>
      </c>
      <c r="Q186" s="154" t="str">
        <f t="shared" si="13"/>
        <v>5-Ventes</v>
      </c>
      <c r="R186" s="153" t="str">
        <f t="shared" si="13"/>
        <v>4115</v>
      </c>
      <c r="S186" s="154">
        <f t="shared" si="13"/>
        <v>0</v>
      </c>
      <c r="T186" s="156" t="str">
        <f>+VLOOKUP($L186,Data_Validation!$A:$D,1,0)</f>
        <v>4115</v>
      </c>
      <c r="U186" s="156" t="str">
        <f>+VLOOKUP($L186,Data_Validation!$A:$D,3,0)</f>
        <v>Véhicules neufs</v>
      </c>
      <c r="V186" s="156" t="str">
        <f>+VLOOKUP($L186,Data_Validation!$A:$D,4,0)</f>
        <v>Autos détail</v>
      </c>
      <c r="W186" s="156" t="str">
        <f>+VLOOKUP($L186,Data_Validation!$A:$E,5,0)</f>
        <v>$</v>
      </c>
      <c r="X186" s="156" t="str">
        <f>+VLOOKUP($L186,Data_Validation!$A:$F,6,0)</f>
        <v>Oui</v>
      </c>
    </row>
    <row r="187" spans="1:24" ht="15" hidden="1" customHeight="1">
      <c r="A187" s="1013" t="s">
        <v>2496</v>
      </c>
      <c r="B187" s="1013" t="s">
        <v>2497</v>
      </c>
      <c r="C187" s="1014"/>
      <c r="D187" s="1014"/>
      <c r="E187" s="1014"/>
      <c r="F187" s="1013" t="s">
        <v>4</v>
      </c>
      <c r="G187" s="1013" t="s">
        <v>2440</v>
      </c>
      <c r="H187" s="1014"/>
      <c r="I187" s="1015">
        <v>0</v>
      </c>
      <c r="J187" s="1015">
        <v>-1</v>
      </c>
      <c r="K187" s="1015">
        <v>-1</v>
      </c>
      <c r="L187" s="153" t="str">
        <f t="shared" si="0"/>
        <v>4115@</v>
      </c>
      <c r="M187" s="154" t="str">
        <f t="shared" si="1"/>
        <v>PASSAT SEDAN</v>
      </c>
      <c r="N187" s="155">
        <f>+IF(OR($Q187=Parametres!$G$2,$Q187=Parametres!$G$3),I187,C187)</f>
        <v>0</v>
      </c>
      <c r="O187" s="155">
        <f>+IF(OR($Q187=Parametres!$G$2,$Q187=Parametres!$G$3),J187,D187)</f>
        <v>-1</v>
      </c>
      <c r="P187" s="155">
        <f>+IF(OR($Q187=Parametres!$G$2,$Q187=Parametres!$G$3),K187,E187)</f>
        <v>-1</v>
      </c>
      <c r="Q187" s="154" t="str">
        <f t="shared" si="13"/>
        <v>10-Compte compteur</v>
      </c>
      <c r="R187" s="153" t="str">
        <f t="shared" si="13"/>
        <v>4115</v>
      </c>
      <c r="S187" s="154">
        <f t="shared" si="13"/>
        <v>0</v>
      </c>
      <c r="T187" s="156" t="str">
        <f>+VLOOKUP($L187,Data_Validation!$A:$D,1,0)</f>
        <v>4115@</v>
      </c>
      <c r="U187" s="156" t="str">
        <f>+VLOOKUP($L187,Data_Validation!$A:$D,3,0)</f>
        <v>Véhicules neufs</v>
      </c>
      <c r="V187" s="156" t="str">
        <f>+VLOOKUP($L187,Data_Validation!$A:$D,4,0)</f>
        <v>Autos détail</v>
      </c>
      <c r="W187" s="156" t="str">
        <f>+VLOOKUP($L187,Data_Validation!$A:$E,5,0)</f>
        <v>NB</v>
      </c>
      <c r="X187" s="156">
        <f>+VLOOKUP($L187,Data_Validation!$A:$F,6,0)</f>
        <v>0</v>
      </c>
    </row>
    <row r="188" spans="1:24" ht="15" hidden="1" customHeight="1">
      <c r="A188" s="1013" t="s">
        <v>2002</v>
      </c>
      <c r="B188" s="1013" t="s">
        <v>2003</v>
      </c>
      <c r="C188" s="1015">
        <v>-500455.96</v>
      </c>
      <c r="D188" s="1015">
        <v>-361523.25</v>
      </c>
      <c r="E188" s="1015">
        <v>-861979.21</v>
      </c>
      <c r="F188" s="1013" t="s">
        <v>285</v>
      </c>
      <c r="G188" s="1013" t="s">
        <v>2003</v>
      </c>
      <c r="H188" s="1014"/>
      <c r="I188" s="1014"/>
      <c r="J188" s="1014"/>
      <c r="K188" s="1014"/>
      <c r="L188" s="153" t="str">
        <f t="shared" si="0"/>
        <v>4119</v>
      </c>
      <c r="M188" s="154" t="str">
        <f t="shared" si="1"/>
        <v>VTE - ATLAS</v>
      </c>
      <c r="N188" s="155">
        <f>+IF(OR($Q188=Parametres!$G$2,$Q188=Parametres!$G$3),I188,C188)</f>
        <v>-500455.96</v>
      </c>
      <c r="O188" s="155">
        <f>+IF(OR($Q188=Parametres!$G$2,$Q188=Parametres!$G$3),J188,D188)</f>
        <v>-361523.25</v>
      </c>
      <c r="P188" s="155">
        <f>+IF(OR($Q188=Parametres!$G$2,$Q188=Parametres!$G$3),K188,E188)</f>
        <v>-861979.21</v>
      </c>
      <c r="Q188" s="154" t="str">
        <f t="shared" si="13"/>
        <v>5-Ventes</v>
      </c>
      <c r="R188" s="153" t="str">
        <f t="shared" si="13"/>
        <v>4119</v>
      </c>
      <c r="S188" s="154">
        <f t="shared" si="13"/>
        <v>0</v>
      </c>
      <c r="T188" s="156" t="str">
        <f>+VLOOKUP($L188,Data_Validation!$A:$D,1,0)</f>
        <v>4119</v>
      </c>
      <c r="U188" s="156" t="str">
        <f>+VLOOKUP($L188,Data_Validation!$A:$D,3,0)</f>
        <v>Véhicules neufs</v>
      </c>
      <c r="V188" s="156" t="str">
        <f>+VLOOKUP($L188,Data_Validation!$A:$D,4,0)</f>
        <v>Camions détail</v>
      </c>
      <c r="W188" s="156" t="str">
        <f>+VLOOKUP($L188,Data_Validation!$A:$E,5,0)</f>
        <v>$</v>
      </c>
      <c r="X188" s="156" t="str">
        <f>+VLOOKUP($L188,Data_Validation!$A:$F,6,0)</f>
        <v>Oui</v>
      </c>
    </row>
    <row r="189" spans="1:24" ht="15" hidden="1" customHeight="1">
      <c r="A189" s="1013" t="s">
        <v>2498</v>
      </c>
      <c r="B189" s="1013" t="s">
        <v>2499</v>
      </c>
      <c r="C189" s="1014"/>
      <c r="D189" s="1014"/>
      <c r="E189" s="1014"/>
      <c r="F189" s="1013" t="s">
        <v>4</v>
      </c>
      <c r="G189" s="1013" t="s">
        <v>2003</v>
      </c>
      <c r="H189" s="1014"/>
      <c r="I189" s="1015">
        <v>-10</v>
      </c>
      <c r="J189" s="1015">
        <v>-7</v>
      </c>
      <c r="K189" s="1015">
        <v>-17</v>
      </c>
      <c r="L189" s="153" t="str">
        <f t="shared" si="0"/>
        <v>4119@</v>
      </c>
      <c r="M189" s="154" t="str">
        <f t="shared" si="1"/>
        <v># DE VTE - ATLAS</v>
      </c>
      <c r="N189" s="155">
        <f>+IF(OR($Q189=Parametres!$G$2,$Q189=Parametres!$G$3),I189,C189)</f>
        <v>-10</v>
      </c>
      <c r="O189" s="155">
        <f>+IF(OR($Q189=Parametres!$G$2,$Q189=Parametres!$G$3),J189,D189)</f>
        <v>-7</v>
      </c>
      <c r="P189" s="155">
        <f>+IF(OR($Q189=Parametres!$G$2,$Q189=Parametres!$G$3),K189,E189)</f>
        <v>-17</v>
      </c>
      <c r="Q189" s="154" t="str">
        <f t="shared" si="13"/>
        <v>10-Compte compteur</v>
      </c>
      <c r="R189" s="153" t="str">
        <f t="shared" si="13"/>
        <v>4119</v>
      </c>
      <c r="S189" s="154">
        <f t="shared" si="13"/>
        <v>0</v>
      </c>
      <c r="T189" s="156" t="str">
        <f>+VLOOKUP($L189,Data_Validation!$A:$D,1,0)</f>
        <v>4119@</v>
      </c>
      <c r="U189" s="156" t="str">
        <f>+VLOOKUP($L189,Data_Validation!$A:$D,3,0)</f>
        <v>Véhicules neufs</v>
      </c>
      <c r="V189" s="156" t="str">
        <f>+VLOOKUP($L189,Data_Validation!$A:$D,4,0)</f>
        <v>Camions détail</v>
      </c>
      <c r="W189" s="156" t="str">
        <f>+VLOOKUP($L189,Data_Validation!$A:$E,5,0)</f>
        <v>NB</v>
      </c>
      <c r="X189" s="156">
        <f>+VLOOKUP($L189,Data_Validation!$A:$F,6,0)</f>
        <v>0</v>
      </c>
    </row>
    <row r="190" spans="1:24" ht="15" hidden="1" customHeight="1">
      <c r="A190" s="1013" t="s">
        <v>2030</v>
      </c>
      <c r="B190" s="1013" t="s">
        <v>2031</v>
      </c>
      <c r="C190" s="1015">
        <v>-73310.95</v>
      </c>
      <c r="D190" s="1015">
        <v>-71149.02</v>
      </c>
      <c r="E190" s="1015">
        <v>-144459.97</v>
      </c>
      <c r="F190" s="1013" t="s">
        <v>285</v>
      </c>
      <c r="G190" s="1013" t="s">
        <v>2031</v>
      </c>
      <c r="H190" s="1014"/>
      <c r="I190" s="1014"/>
      <c r="J190" s="1014"/>
      <c r="K190" s="1014"/>
      <c r="L190" s="153" t="str">
        <f t="shared" si="0"/>
        <v>4127</v>
      </c>
      <c r="M190" s="154" t="str">
        <f t="shared" si="1"/>
        <v>VTE - GOLF GTI</v>
      </c>
      <c r="N190" s="155">
        <f>+IF(OR($Q190=Parametres!$G$2,$Q190=Parametres!$G$3),I190,C190)</f>
        <v>-73310.95</v>
      </c>
      <c r="O190" s="155">
        <f>+IF(OR($Q190=Parametres!$G$2,$Q190=Parametres!$G$3),J190,D190)</f>
        <v>-71149.02</v>
      </c>
      <c r="P190" s="155">
        <f>+IF(OR($Q190=Parametres!$G$2,$Q190=Parametres!$G$3),K190,E190)</f>
        <v>-144459.97</v>
      </c>
      <c r="Q190" s="154" t="str">
        <f t="shared" si="13"/>
        <v>5-Ventes</v>
      </c>
      <c r="R190" s="153" t="str">
        <f t="shared" si="13"/>
        <v>4127</v>
      </c>
      <c r="S190" s="154">
        <f t="shared" si="13"/>
        <v>0</v>
      </c>
      <c r="T190" s="156" t="str">
        <f>+VLOOKUP($L190,Data_Validation!$A:$D,1,0)</f>
        <v>4127</v>
      </c>
      <c r="U190" s="156" t="str">
        <f>+VLOOKUP($L190,Data_Validation!$A:$D,3,0)</f>
        <v>Véhicules neufs</v>
      </c>
      <c r="V190" s="156" t="str">
        <f>+VLOOKUP($L190,Data_Validation!$A:$D,4,0)</f>
        <v>Autos détail</v>
      </c>
      <c r="W190" s="156" t="str">
        <f>+VLOOKUP($L190,Data_Validation!$A:$E,5,0)</f>
        <v>$</v>
      </c>
      <c r="X190" s="156" t="str">
        <f>+VLOOKUP($L190,Data_Validation!$A:$F,6,0)</f>
        <v>Oui</v>
      </c>
    </row>
    <row r="191" spans="1:24" ht="15" hidden="1" customHeight="1">
      <c r="A191" s="1013" t="s">
        <v>2500</v>
      </c>
      <c r="B191" s="1013" t="s">
        <v>2501</v>
      </c>
      <c r="C191" s="1014"/>
      <c r="D191" s="1014"/>
      <c r="E191" s="1014"/>
      <c r="F191" s="1013" t="s">
        <v>4</v>
      </c>
      <c r="G191" s="1013" t="s">
        <v>2031</v>
      </c>
      <c r="H191" s="1014"/>
      <c r="I191" s="1015">
        <v>-2</v>
      </c>
      <c r="J191" s="1015">
        <v>-2</v>
      </c>
      <c r="K191" s="1015">
        <v>-4</v>
      </c>
      <c r="L191" s="153" t="str">
        <f t="shared" si="0"/>
        <v>4127@</v>
      </c>
      <c r="M191" s="154" t="str">
        <f t="shared" si="1"/>
        <v># DE VENTE - GOLF GTI</v>
      </c>
      <c r="N191" s="155">
        <f>+IF(OR($Q191=Parametres!$G$2,$Q191=Parametres!$G$3),I191,C191)</f>
        <v>-2</v>
      </c>
      <c r="O191" s="155">
        <f>+IF(OR($Q191=Parametres!$G$2,$Q191=Parametres!$G$3),J191,D191)</f>
        <v>-2</v>
      </c>
      <c r="P191" s="155">
        <f>+IF(OR($Q191=Parametres!$G$2,$Q191=Parametres!$G$3),K191,E191)</f>
        <v>-4</v>
      </c>
      <c r="Q191" s="154" t="str">
        <f t="shared" si="13"/>
        <v>10-Compte compteur</v>
      </c>
      <c r="R191" s="153" t="str">
        <f t="shared" si="13"/>
        <v>4127</v>
      </c>
      <c r="S191" s="154">
        <f t="shared" si="13"/>
        <v>0</v>
      </c>
      <c r="T191" s="156" t="str">
        <f>+VLOOKUP($L191,Data_Validation!$A:$D,1,0)</f>
        <v>4127@</v>
      </c>
      <c r="U191" s="156" t="str">
        <f>+VLOOKUP($L191,Data_Validation!$A:$D,3,0)</f>
        <v>Véhicules neufs</v>
      </c>
      <c r="V191" s="156" t="str">
        <f>+VLOOKUP($L191,Data_Validation!$A:$D,4,0)</f>
        <v>Autos détail</v>
      </c>
      <c r="W191" s="156" t="str">
        <f>+VLOOKUP($L191,Data_Validation!$A:$E,5,0)</f>
        <v>NB</v>
      </c>
      <c r="X191" s="156">
        <f>+VLOOKUP($L191,Data_Validation!$A:$F,6,0)</f>
        <v>0</v>
      </c>
    </row>
    <row r="192" spans="1:24" ht="15" hidden="1" customHeight="1">
      <c r="A192" s="1013" t="s">
        <v>1998</v>
      </c>
      <c r="B192" s="1013" t="s">
        <v>1999</v>
      </c>
      <c r="C192" s="1015">
        <v>-1624501.08</v>
      </c>
      <c r="D192" s="1015">
        <v>-1025377.53</v>
      </c>
      <c r="E192" s="1015">
        <v>-2649878.61</v>
      </c>
      <c r="F192" s="1013" t="s">
        <v>285</v>
      </c>
      <c r="G192" s="1013" t="s">
        <v>1999</v>
      </c>
      <c r="H192" s="1014"/>
      <c r="I192" s="1014"/>
      <c r="J192" s="1014"/>
      <c r="K192" s="1014"/>
      <c r="L192" s="153" t="str">
        <f t="shared" si="0"/>
        <v>4131</v>
      </c>
      <c r="M192" s="154" t="str">
        <f t="shared" si="1"/>
        <v>VTE - TIGUAN LWB</v>
      </c>
      <c r="N192" s="155">
        <f>+IF(OR($Q192=Parametres!$G$2,$Q192=Parametres!$G$3),I192,C192)</f>
        <v>-1624501.08</v>
      </c>
      <c r="O192" s="155">
        <f>+IF(OR($Q192=Parametres!$G$2,$Q192=Parametres!$G$3),J192,D192)</f>
        <v>-1025377.53</v>
      </c>
      <c r="P192" s="155">
        <f>+IF(OR($Q192=Parametres!$G$2,$Q192=Parametres!$G$3),K192,E192)</f>
        <v>-2649878.61</v>
      </c>
      <c r="Q192" s="154" t="str">
        <f t="shared" si="13"/>
        <v>5-Ventes</v>
      </c>
      <c r="R192" s="153" t="str">
        <f t="shared" si="13"/>
        <v>4131</v>
      </c>
      <c r="S192" s="154">
        <f t="shared" si="13"/>
        <v>0</v>
      </c>
      <c r="T192" s="156" t="str">
        <f>+VLOOKUP($L192,Data_Validation!$A:$D,1,0)</f>
        <v>4131</v>
      </c>
      <c r="U192" s="156" t="str">
        <f>+VLOOKUP($L192,Data_Validation!$A:$D,3,0)</f>
        <v>Véhicules neufs</v>
      </c>
      <c r="V192" s="156" t="str">
        <f>+VLOOKUP($L192,Data_Validation!$A:$D,4,0)</f>
        <v>Camions détail</v>
      </c>
      <c r="W192" s="156" t="str">
        <f>+VLOOKUP($L192,Data_Validation!$A:$E,5,0)</f>
        <v>$</v>
      </c>
      <c r="X192" s="156" t="str">
        <f>+VLOOKUP($L192,Data_Validation!$A:$F,6,0)</f>
        <v>Oui</v>
      </c>
    </row>
    <row r="193" spans="1:24" ht="15" hidden="1" customHeight="1">
      <c r="A193" s="1013" t="s">
        <v>2502</v>
      </c>
      <c r="B193" s="1013" t="s">
        <v>2503</v>
      </c>
      <c r="C193" s="1014"/>
      <c r="D193" s="1014"/>
      <c r="E193" s="1014"/>
      <c r="F193" s="1013" t="s">
        <v>4</v>
      </c>
      <c r="G193" s="1013" t="s">
        <v>1999</v>
      </c>
      <c r="H193" s="1014"/>
      <c r="I193" s="1015">
        <v>-43</v>
      </c>
      <c r="J193" s="1015">
        <v>-27</v>
      </c>
      <c r="K193" s="1015">
        <v>-70</v>
      </c>
      <c r="L193" s="153" t="str">
        <f t="shared" si="0"/>
        <v>4131@</v>
      </c>
      <c r="M193" s="154" t="str">
        <f t="shared" si="1"/>
        <v># DE VTE - TIGUAN LWB</v>
      </c>
      <c r="N193" s="155">
        <f>+IF(OR($Q193=Parametres!$G$2,$Q193=Parametres!$G$3),I193,C193)</f>
        <v>-43</v>
      </c>
      <c r="O193" s="155">
        <f>+IF(OR($Q193=Parametres!$G$2,$Q193=Parametres!$G$3),J193,D193)</f>
        <v>-27</v>
      </c>
      <c r="P193" s="155">
        <f>+IF(OR($Q193=Parametres!$G$2,$Q193=Parametres!$G$3),K193,E193)</f>
        <v>-70</v>
      </c>
      <c r="Q193" s="154" t="str">
        <f t="shared" si="13"/>
        <v>10-Compte compteur</v>
      </c>
      <c r="R193" s="153" t="str">
        <f t="shared" si="13"/>
        <v>4131</v>
      </c>
      <c r="S193" s="154">
        <f t="shared" si="13"/>
        <v>0</v>
      </c>
      <c r="T193" s="156" t="str">
        <f>+VLOOKUP($L193,Data_Validation!$A:$D,1,0)</f>
        <v>4131@</v>
      </c>
      <c r="U193" s="156" t="str">
        <f>+VLOOKUP($L193,Data_Validation!$A:$D,3,0)</f>
        <v>Véhicules neufs</v>
      </c>
      <c r="V193" s="156" t="str">
        <f>+VLOOKUP($L193,Data_Validation!$A:$D,4,0)</f>
        <v>Camions détail</v>
      </c>
      <c r="W193" s="156" t="str">
        <f>+VLOOKUP($L193,Data_Validation!$A:$E,5,0)</f>
        <v>NB</v>
      </c>
      <c r="X193" s="156">
        <f>+VLOOKUP($L193,Data_Validation!$A:$F,6,0)</f>
        <v>0</v>
      </c>
    </row>
    <row r="194" spans="1:24" ht="15.75" hidden="1" customHeight="1">
      <c r="A194" s="1013" t="s">
        <v>2028</v>
      </c>
      <c r="B194" s="1013" t="s">
        <v>2029</v>
      </c>
      <c r="C194" s="1015">
        <v>-246063.52</v>
      </c>
      <c r="D194" s="1015">
        <v>-79313.679999999993</v>
      </c>
      <c r="E194" s="1015">
        <v>-325377.2</v>
      </c>
      <c r="F194" s="1013" t="s">
        <v>285</v>
      </c>
      <c r="G194" s="1013" t="s">
        <v>2029</v>
      </c>
      <c r="H194" s="1014"/>
      <c r="I194" s="1014"/>
      <c r="J194" s="1014"/>
      <c r="K194" s="1014"/>
      <c r="L194" s="153" t="str">
        <f t="shared" si="0"/>
        <v>4135</v>
      </c>
      <c r="M194" s="154" t="str">
        <f t="shared" si="1"/>
        <v>VTE - EGOLF</v>
      </c>
      <c r="N194" s="155">
        <f>+IF(OR($Q194=Parametres!$G$2,$Q194=Parametres!$G$3),I194,C194)</f>
        <v>-246063.52</v>
      </c>
      <c r="O194" s="155">
        <f>+IF(OR($Q194=Parametres!$G$2,$Q194=Parametres!$G$3),J194,D194)</f>
        <v>-79313.679999999993</v>
      </c>
      <c r="P194" s="155">
        <f>+IF(OR($Q194=Parametres!$G$2,$Q194=Parametres!$G$3),K194,E194)</f>
        <v>-325377.2</v>
      </c>
      <c r="Q194" s="154" t="str">
        <f t="shared" ref="Q194:S209" si="14">+F194</f>
        <v>5-Ventes</v>
      </c>
      <c r="R194" s="153" t="str">
        <f t="shared" si="14"/>
        <v>4135</v>
      </c>
      <c r="S194" s="154">
        <f t="shared" si="14"/>
        <v>0</v>
      </c>
      <c r="T194" s="156" t="str">
        <f>+VLOOKUP($L194,Data_Validation!$A:$D,1,0)</f>
        <v>4135</v>
      </c>
      <c r="U194" s="156" t="str">
        <f>+VLOOKUP($L194,Data_Validation!$A:$D,3,0)</f>
        <v>Véhicules neufs</v>
      </c>
      <c r="V194" s="156" t="str">
        <f>+VLOOKUP($L194,Data_Validation!$A:$D,4,0)</f>
        <v>Autos détail</v>
      </c>
      <c r="W194" s="156" t="str">
        <f>+VLOOKUP($L194,Data_Validation!$A:$E,5,0)</f>
        <v>$</v>
      </c>
      <c r="X194" s="156" t="str">
        <f>+VLOOKUP($L194,Data_Validation!$A:$F,6,0)</f>
        <v>Oui</v>
      </c>
    </row>
    <row r="195" spans="1:24" ht="15" hidden="1" customHeight="1">
      <c r="A195" s="1013" t="s">
        <v>2504</v>
      </c>
      <c r="B195" s="1013" t="s">
        <v>2505</v>
      </c>
      <c r="C195" s="1035"/>
      <c r="D195" s="1035"/>
      <c r="E195" s="1035"/>
      <c r="F195" s="1013" t="s">
        <v>4</v>
      </c>
      <c r="G195" s="1013" t="s">
        <v>2506</v>
      </c>
      <c r="H195" s="1014"/>
      <c r="I195" s="1015">
        <v>-6</v>
      </c>
      <c r="J195" s="1015">
        <v>-2</v>
      </c>
      <c r="K195" s="1015">
        <v>-8</v>
      </c>
      <c r="L195" s="153" t="str">
        <f t="shared" si="0"/>
        <v>4135@</v>
      </c>
      <c r="M195" s="154" t="str">
        <f t="shared" si="1"/>
        <v>UNITES VENDUES - EGOLF</v>
      </c>
      <c r="N195" s="155">
        <f>+IF(OR($Q195=Parametres!$G$2,$Q195=Parametres!$G$3),I195,C195)</f>
        <v>-6</v>
      </c>
      <c r="O195" s="155">
        <f>+IF(OR($Q195=Parametres!$G$2,$Q195=Parametres!$G$3),J195,D195)</f>
        <v>-2</v>
      </c>
      <c r="P195" s="155">
        <f>+IF(OR($Q195=Parametres!$G$2,$Q195=Parametres!$G$3),K195,E195)</f>
        <v>-8</v>
      </c>
      <c r="Q195" s="154" t="str">
        <f t="shared" si="14"/>
        <v>10-Compte compteur</v>
      </c>
      <c r="R195" s="153" t="str">
        <f t="shared" si="14"/>
        <v>84135</v>
      </c>
      <c r="S195" s="154">
        <f t="shared" si="14"/>
        <v>0</v>
      </c>
      <c r="T195" s="156" t="str">
        <f>+VLOOKUP($L195,Data_Validation!$A:$D,1,0)</f>
        <v>4135@</v>
      </c>
      <c r="U195" s="156" t="str">
        <f>+VLOOKUP($L195,Data_Validation!$A:$D,3,0)</f>
        <v>Véhicules neufs</v>
      </c>
      <c r="V195" s="156" t="str">
        <f>+VLOOKUP($L195,Data_Validation!$A:$D,4,0)</f>
        <v>Autos détail</v>
      </c>
      <c r="W195" s="156" t="str">
        <f>+VLOOKUP($L195,Data_Validation!$A:$E,5,0)</f>
        <v>NB</v>
      </c>
      <c r="X195" s="156">
        <f>+VLOOKUP($L195,Data_Validation!$A:$F,6,0)</f>
        <v>0</v>
      </c>
    </row>
    <row r="196" spans="1:24" ht="15" hidden="1" customHeight="1">
      <c r="A196" s="1013" t="s">
        <v>2443</v>
      </c>
      <c r="B196" s="1013" t="s">
        <v>2444</v>
      </c>
      <c r="C196" s="1015">
        <v>-655118.6</v>
      </c>
      <c r="D196" s="1015">
        <v>-537468.29</v>
      </c>
      <c r="E196" s="1015">
        <v>-1192586.8899999999</v>
      </c>
      <c r="F196" s="1013" t="s">
        <v>285</v>
      </c>
      <c r="G196" s="1013" t="s">
        <v>2444</v>
      </c>
      <c r="H196" s="1014"/>
      <c r="I196" s="1014"/>
      <c r="J196" s="1014"/>
      <c r="K196" s="1014"/>
      <c r="L196" s="153" t="str">
        <f t="shared" si="0"/>
        <v>4211</v>
      </c>
      <c r="M196" s="154" t="str">
        <f t="shared" si="1"/>
        <v>VTE - VW USAGES DETAIL</v>
      </c>
      <c r="N196" s="155">
        <f>+IF(OR($Q196=Parametres!$G$2,$Q196=Parametres!$G$3),I196,C196)</f>
        <v>-655118.6</v>
      </c>
      <c r="O196" s="155">
        <f>+IF(OR($Q196=Parametres!$G$2,$Q196=Parametres!$G$3),J196,D196)</f>
        <v>-537468.29</v>
      </c>
      <c r="P196" s="155">
        <f>+IF(OR($Q196=Parametres!$G$2,$Q196=Parametres!$G$3),K196,E196)</f>
        <v>-1192586.8899999999</v>
      </c>
      <c r="Q196" s="154" t="str">
        <f t="shared" si="14"/>
        <v>5-Ventes</v>
      </c>
      <c r="R196" s="153" t="str">
        <f t="shared" si="14"/>
        <v>4211</v>
      </c>
      <c r="S196" s="154">
        <f t="shared" si="14"/>
        <v>0</v>
      </c>
      <c r="T196" s="156" t="str">
        <f>+VLOOKUP($L196,Data_Validation!$A:$D,1,0)</f>
        <v>4211</v>
      </c>
      <c r="U196" s="156" t="str">
        <f>+VLOOKUP($L196,Data_Validation!$A:$D,3,0)</f>
        <v>Véhicules usagés</v>
      </c>
      <c r="V196" s="156" t="str">
        <f>+VLOOKUP($L196,Data_Validation!$A:$D,4,0)</f>
        <v>Non Certifié</v>
      </c>
      <c r="W196" s="156" t="str">
        <f>+VLOOKUP($L196,Data_Validation!$A:$E,5,0)</f>
        <v>$</v>
      </c>
      <c r="X196" s="156" t="str">
        <f>+VLOOKUP($L196,Data_Validation!$A:$F,6,0)</f>
        <v>Oui</v>
      </c>
    </row>
    <row r="197" spans="1:24" ht="15" hidden="1" customHeight="1">
      <c r="A197" s="1013" t="s">
        <v>2513</v>
      </c>
      <c r="B197" s="1013" t="s">
        <v>2514</v>
      </c>
      <c r="C197" s="1035"/>
      <c r="D197" s="1035"/>
      <c r="E197" s="1035"/>
      <c r="F197" s="1013" t="s">
        <v>4</v>
      </c>
      <c r="G197" s="1013" t="s">
        <v>2444</v>
      </c>
      <c r="H197" s="1014"/>
      <c r="I197" s="1015">
        <v>-34</v>
      </c>
      <c r="J197" s="1015">
        <v>-29</v>
      </c>
      <c r="K197" s="1015">
        <v>-63</v>
      </c>
      <c r="L197" s="153" t="str">
        <f t="shared" si="0"/>
        <v>4211@</v>
      </c>
      <c r="M197" s="154" t="str">
        <f t="shared" si="1"/>
        <v>VENTES USED DET. CHAMBLY</v>
      </c>
      <c r="N197" s="155">
        <f>+IF(OR($Q197=Parametres!$G$2,$Q197=Parametres!$G$3),I197,C197)</f>
        <v>-34</v>
      </c>
      <c r="O197" s="155">
        <f>+IF(OR($Q197=Parametres!$G$2,$Q197=Parametres!$G$3),J197,D197)</f>
        <v>-29</v>
      </c>
      <c r="P197" s="155">
        <f>+IF(OR($Q197=Parametres!$G$2,$Q197=Parametres!$G$3),K197,E197)</f>
        <v>-63</v>
      </c>
      <c r="Q197" s="154" t="str">
        <f t="shared" si="14"/>
        <v>10-Compte compteur</v>
      </c>
      <c r="R197" s="153" t="str">
        <f t="shared" si="14"/>
        <v>4211</v>
      </c>
      <c r="S197" s="154">
        <f t="shared" si="14"/>
        <v>0</v>
      </c>
      <c r="T197" s="156" t="str">
        <f>+VLOOKUP($L197,Data_Validation!$A:$D,1,0)</f>
        <v>4211@</v>
      </c>
      <c r="U197" s="156" t="str">
        <f>+VLOOKUP($L197,Data_Validation!$A:$D,3,0)</f>
        <v>Véhicules usagés</v>
      </c>
      <c r="V197" s="156" t="str">
        <f>+VLOOKUP($L197,Data_Validation!$A:$D,4,0)</f>
        <v>Non Certifié</v>
      </c>
      <c r="W197" s="156" t="str">
        <f>+VLOOKUP($L197,Data_Validation!$A:$E,5,0)</f>
        <v>NB</v>
      </c>
      <c r="X197" s="156">
        <f>+VLOOKUP($L197,Data_Validation!$A:$F,6,0)</f>
        <v>0</v>
      </c>
    </row>
    <row r="198" spans="1:24" ht="15" hidden="1" customHeight="1">
      <c r="A198" s="1013" t="s">
        <v>2038</v>
      </c>
      <c r="B198" s="1013" t="s">
        <v>2039</v>
      </c>
      <c r="C198" s="1015">
        <v>-208022.85</v>
      </c>
      <c r="D198" s="1015">
        <v>-66648</v>
      </c>
      <c r="E198" s="1015">
        <v>-274670.84999999998</v>
      </c>
      <c r="F198" s="1013" t="s">
        <v>285</v>
      </c>
      <c r="G198" s="1013" t="s">
        <v>2040</v>
      </c>
      <c r="H198" s="1014"/>
      <c r="I198" s="1014"/>
      <c r="J198" s="1014"/>
      <c r="K198" s="1014"/>
      <c r="L198" s="153" t="str">
        <f t="shared" si="0"/>
        <v>4285</v>
      </c>
      <c r="M198" s="154" t="str">
        <f t="shared" si="1"/>
        <v>VEH. D'OCC. AUTRE DETAIL</v>
      </c>
      <c r="N198" s="155">
        <f>+IF(OR($Q198=Parametres!$G$2,$Q198=Parametres!$G$3),I198,C198)</f>
        <v>-208022.85</v>
      </c>
      <c r="O198" s="155">
        <f>+IF(OR($Q198=Parametres!$G$2,$Q198=Parametres!$G$3),J198,D198)</f>
        <v>-66648</v>
      </c>
      <c r="P198" s="155">
        <f>+IF(OR($Q198=Parametres!$G$2,$Q198=Parametres!$G$3),K198,E198)</f>
        <v>-274670.84999999998</v>
      </c>
      <c r="Q198" s="154" t="str">
        <f t="shared" si="14"/>
        <v>5-Ventes</v>
      </c>
      <c r="R198" s="153" t="str">
        <f t="shared" si="14"/>
        <v>4261</v>
      </c>
      <c r="S198" s="154">
        <f t="shared" si="14"/>
        <v>0</v>
      </c>
      <c r="T198" s="156" t="str">
        <f>+VLOOKUP($L198,Data_Validation!$A:$D,1,0)</f>
        <v>4285</v>
      </c>
      <c r="U198" s="156" t="str">
        <f>+VLOOKUP($L198,Data_Validation!$A:$D,3,0)</f>
        <v>Véhicules usagés</v>
      </c>
      <c r="V198" s="156" t="str">
        <f>+VLOOKUP($L198,Data_Validation!$A:$D,4,0)</f>
        <v>Non Certifié</v>
      </c>
      <c r="W198" s="156" t="str">
        <f>+VLOOKUP($L198,Data_Validation!$A:$E,5,0)</f>
        <v>$</v>
      </c>
      <c r="X198" s="156" t="str">
        <f>+VLOOKUP($L198,Data_Validation!$A:$F,6,0)</f>
        <v>Oui</v>
      </c>
    </row>
    <row r="199" spans="1:24" ht="15.75" hidden="1" customHeight="1">
      <c r="A199" s="1013" t="s">
        <v>2515</v>
      </c>
      <c r="B199" s="1013" t="s">
        <v>2516</v>
      </c>
      <c r="C199" s="1035"/>
      <c r="D199" s="1035"/>
      <c r="E199" s="1035"/>
      <c r="F199" s="1013" t="s">
        <v>4</v>
      </c>
      <c r="G199" s="1013" t="s">
        <v>2040</v>
      </c>
      <c r="H199" s="1014"/>
      <c r="I199" s="1015">
        <v>-12</v>
      </c>
      <c r="J199" s="1015">
        <v>-4</v>
      </c>
      <c r="K199" s="1015">
        <v>-16</v>
      </c>
      <c r="L199" s="153" t="str">
        <f t="shared" si="0"/>
        <v>4285@</v>
      </c>
      <c r="M199" s="154" t="str">
        <f t="shared" si="1"/>
        <v>AUTRE MARQUES DETAIL - USAGE</v>
      </c>
      <c r="N199" s="155">
        <f>+IF(OR($Q199=Parametres!$G$2,$Q199=Parametres!$G$3),I199,C199)</f>
        <v>-12</v>
      </c>
      <c r="O199" s="155">
        <f>+IF(OR($Q199=Parametres!$G$2,$Q199=Parametres!$G$3),J199,D199)</f>
        <v>-4</v>
      </c>
      <c r="P199" s="155">
        <f>+IF(OR($Q199=Parametres!$G$2,$Q199=Parametres!$G$3),K199,E199)</f>
        <v>-16</v>
      </c>
      <c r="Q199" s="154" t="str">
        <f t="shared" si="14"/>
        <v>10-Compte compteur</v>
      </c>
      <c r="R199" s="153" t="str">
        <f t="shared" si="14"/>
        <v>4261</v>
      </c>
      <c r="S199" s="154">
        <f t="shared" si="14"/>
        <v>0</v>
      </c>
      <c r="T199" s="156" t="str">
        <f>+VLOOKUP($L199,Data_Validation!$A:$D,1,0)</f>
        <v>4285@</v>
      </c>
      <c r="U199" s="156" t="str">
        <f>+VLOOKUP($L199,Data_Validation!$A:$D,3,0)</f>
        <v>Véhicules usagés</v>
      </c>
      <c r="V199" s="156" t="str">
        <f>+VLOOKUP($L199,Data_Validation!$A:$D,4,0)</f>
        <v>Non Certifié</v>
      </c>
      <c r="W199" s="156" t="str">
        <f>+VLOOKUP($L199,Data_Validation!$A:$E,5,0)</f>
        <v>NB</v>
      </c>
      <c r="X199" s="156">
        <f>+VLOOKUP($L199,Data_Validation!$A:$F,6,0)</f>
        <v>0</v>
      </c>
    </row>
    <row r="200" spans="1:24" ht="15" hidden="1" customHeight="1">
      <c r="A200" s="1013" t="s">
        <v>2006</v>
      </c>
      <c r="B200" s="1013" t="s">
        <v>2007</v>
      </c>
      <c r="C200" s="1015">
        <v>-407413.5</v>
      </c>
      <c r="D200" s="1015">
        <v>-106707</v>
      </c>
      <c r="E200" s="1015">
        <v>-514120.5</v>
      </c>
      <c r="F200" s="1013" t="s">
        <v>285</v>
      </c>
      <c r="G200" s="1013" t="s">
        <v>2008</v>
      </c>
      <c r="H200" s="1014"/>
      <c r="I200" s="1014"/>
      <c r="J200" s="1014"/>
      <c r="K200" s="1014"/>
      <c r="L200" s="153" t="str">
        <f t="shared" si="0"/>
        <v>4291</v>
      </c>
      <c r="M200" s="154" t="str">
        <f t="shared" si="1"/>
        <v>VEH. D'OCC. AU GROS</v>
      </c>
      <c r="N200" s="155">
        <f>+IF(OR($Q200=Parametres!$G$2,$Q200=Parametres!$G$3),I200,C200)</f>
        <v>-407413.5</v>
      </c>
      <c r="O200" s="155">
        <f>+IF(OR($Q200=Parametres!$G$2,$Q200=Parametres!$G$3),J200,D200)</f>
        <v>-106707</v>
      </c>
      <c r="P200" s="155">
        <f>+IF(OR($Q200=Parametres!$G$2,$Q200=Parametres!$G$3),K200,E200)</f>
        <v>-514120.5</v>
      </c>
      <c r="Q200" s="154" t="str">
        <f t="shared" si="14"/>
        <v>5-Ventes</v>
      </c>
      <c r="R200" s="153" t="str">
        <f t="shared" si="14"/>
        <v>4281</v>
      </c>
      <c r="S200" s="154">
        <f t="shared" si="14"/>
        <v>0</v>
      </c>
      <c r="T200" s="156" t="str">
        <f>+VLOOKUP($L200,Data_Validation!$A:$D,1,0)</f>
        <v>4291</v>
      </c>
      <c r="U200" s="156" t="str">
        <f>+VLOOKUP($L200,Data_Validation!$A:$D,3,0)</f>
        <v>Véhicules usagés</v>
      </c>
      <c r="V200" s="156" t="str">
        <f>+VLOOKUP($L200,Data_Validation!$A:$D,4,0)</f>
        <v>Ventes au Gros</v>
      </c>
      <c r="W200" s="156" t="str">
        <f>+VLOOKUP($L200,Data_Validation!$A:$E,5,0)</f>
        <v>$</v>
      </c>
      <c r="X200" s="156" t="str">
        <f>+VLOOKUP($L200,Data_Validation!$A:$F,6,0)</f>
        <v>Oui</v>
      </c>
    </row>
    <row r="201" spans="1:24" ht="15" hidden="1" customHeight="1">
      <c r="A201" s="1013" t="s">
        <v>2517</v>
      </c>
      <c r="B201" s="1013" t="s">
        <v>2518</v>
      </c>
      <c r="C201" s="1035"/>
      <c r="D201" s="1035"/>
      <c r="E201" s="1035"/>
      <c r="F201" s="1013" t="s">
        <v>4</v>
      </c>
      <c r="G201" s="1013" t="s">
        <v>2008</v>
      </c>
      <c r="H201" s="1014"/>
      <c r="I201" s="1015">
        <v>-36</v>
      </c>
      <c r="J201" s="1015">
        <v>-15</v>
      </c>
      <c r="K201" s="1015">
        <v>-51</v>
      </c>
      <c r="L201" s="153" t="str">
        <f t="shared" si="0"/>
        <v>4291@</v>
      </c>
      <c r="M201" s="154" t="str">
        <f t="shared" si="1"/>
        <v>VENTE AU GROS - USAGES</v>
      </c>
      <c r="N201" s="155">
        <f>+IF(OR($Q201=Parametres!$G$2,$Q201=Parametres!$G$3),I201,C201)</f>
        <v>-36</v>
      </c>
      <c r="O201" s="155">
        <f>+IF(OR($Q201=Parametres!$G$2,$Q201=Parametres!$G$3),J201,D201)</f>
        <v>-15</v>
      </c>
      <c r="P201" s="155">
        <f>+IF(OR($Q201=Parametres!$G$2,$Q201=Parametres!$G$3),K201,E201)</f>
        <v>-51</v>
      </c>
      <c r="Q201" s="154" t="str">
        <f t="shared" si="14"/>
        <v>10-Compte compteur</v>
      </c>
      <c r="R201" s="153" t="str">
        <f t="shared" si="14"/>
        <v>4281</v>
      </c>
      <c r="S201" s="154">
        <f t="shared" si="14"/>
        <v>0</v>
      </c>
      <c r="T201" s="156" t="str">
        <f>+VLOOKUP($L201,Data_Validation!$A:$D,1,0)</f>
        <v>4291@</v>
      </c>
      <c r="U201" s="156" t="str">
        <f>+VLOOKUP($L201,Data_Validation!$A:$D,3,0)</f>
        <v>Véhicules usagés</v>
      </c>
      <c r="V201" s="156" t="str">
        <f>+VLOOKUP($L201,Data_Validation!$A:$D,4,0)</f>
        <v>Ventes au Gros</v>
      </c>
      <c r="W201" s="156" t="str">
        <f>+VLOOKUP($L201,Data_Validation!$A:$E,5,0)</f>
        <v>NB</v>
      </c>
      <c r="X201" s="156">
        <f>+VLOOKUP($L201,Data_Validation!$A:$F,6,0)</f>
        <v>0</v>
      </c>
    </row>
    <row r="202" spans="1:24" ht="15" hidden="1" customHeight="1">
      <c r="A202" s="1013" t="s">
        <v>2011</v>
      </c>
      <c r="B202" s="1013" t="s">
        <v>2012</v>
      </c>
      <c r="C202" s="1015">
        <v>-138797.51</v>
      </c>
      <c r="D202" s="1015">
        <v>-82275.63</v>
      </c>
      <c r="E202" s="1015">
        <v>-221073.14</v>
      </c>
      <c r="F202" s="1013" t="s">
        <v>285</v>
      </c>
      <c r="G202" s="1013" t="s">
        <v>2012</v>
      </c>
      <c r="H202" s="1014"/>
      <c r="I202" s="1014"/>
      <c r="J202" s="1014"/>
      <c r="K202" s="1014"/>
      <c r="L202" s="153" t="str">
        <f t="shared" si="0"/>
        <v>4401</v>
      </c>
      <c r="M202" s="154" t="str">
        <f t="shared" si="1"/>
        <v>M.O. MECANIQUE-VENTE CLIENTS</v>
      </c>
      <c r="N202" s="155">
        <f>+IF(OR($Q202=Parametres!$G$2,$Q202=Parametres!$G$3),I202,C202)</f>
        <v>-138797.51</v>
      </c>
      <c r="O202" s="155">
        <f>+IF(OR($Q202=Parametres!$G$2,$Q202=Parametres!$G$3),J202,D202)</f>
        <v>-82275.63</v>
      </c>
      <c r="P202" s="155">
        <f>+IF(OR($Q202=Parametres!$G$2,$Q202=Parametres!$G$3),K202,E202)</f>
        <v>-221073.14</v>
      </c>
      <c r="Q202" s="154" t="str">
        <f t="shared" si="14"/>
        <v>5-Ventes</v>
      </c>
      <c r="R202" s="153" t="str">
        <f t="shared" si="14"/>
        <v>4401</v>
      </c>
      <c r="S202" s="154">
        <f t="shared" si="14"/>
        <v>0</v>
      </c>
      <c r="T202" s="156" t="str">
        <f>+VLOOKUP($L202,Data_Validation!$A:$D,1,0)</f>
        <v>4401</v>
      </c>
      <c r="U202" s="156" t="str">
        <f>+VLOOKUP($L202,Data_Validation!$A:$D,3,0)</f>
        <v>Service</v>
      </c>
      <c r="V202" s="156" t="str">
        <f>+VLOOKUP($L202,Data_Validation!$A:$D,4,0)</f>
        <v>M/O Client</v>
      </c>
      <c r="W202" s="156" t="str">
        <f>+VLOOKUP($L202,Data_Validation!$A:$E,5,0)</f>
        <v>$</v>
      </c>
      <c r="X202" s="156" t="str">
        <f>+VLOOKUP($L202,Data_Validation!$A:$F,6,0)</f>
        <v>Oui</v>
      </c>
    </row>
    <row r="203" spans="1:24" ht="15" hidden="1" customHeight="1">
      <c r="A203" s="1013" t="s">
        <v>2011</v>
      </c>
      <c r="B203" s="1013" t="s">
        <v>2519</v>
      </c>
      <c r="C203" s="1035"/>
      <c r="D203" s="1014"/>
      <c r="E203" s="1035"/>
      <c r="F203" s="1013" t="s">
        <v>4</v>
      </c>
      <c r="G203" s="1013" t="s">
        <v>2012</v>
      </c>
      <c r="H203" s="1014"/>
      <c r="I203" s="1015">
        <v>-600</v>
      </c>
      <c r="J203" s="1015">
        <v>-344</v>
      </c>
      <c r="K203" s="1015">
        <v>-944</v>
      </c>
      <c r="L203" s="153" t="str">
        <f t="shared" si="0"/>
        <v>4401@</v>
      </c>
      <c r="M203" s="154" t="str">
        <f t="shared" si="1"/>
        <v>M.O. MECANIQUE-VENTE CLIENTS</v>
      </c>
      <c r="N203" s="155">
        <f>+IF(OR($Q203=Parametres!$G$2,$Q203=Parametres!$G$3),I203,C203)</f>
        <v>-600</v>
      </c>
      <c r="O203" s="155">
        <f>+IF(OR($Q203=Parametres!$G$2,$Q203=Parametres!$G$3),J203,D203)</f>
        <v>-344</v>
      </c>
      <c r="P203" s="155">
        <f>+IF(OR($Q203=Parametres!$G$2,$Q203=Parametres!$G$3),K203,E203)</f>
        <v>-944</v>
      </c>
      <c r="Q203" s="154" t="str">
        <f t="shared" si="14"/>
        <v>10-Compte compteur</v>
      </c>
      <c r="R203" s="153" t="str">
        <f t="shared" si="14"/>
        <v>4401</v>
      </c>
      <c r="S203" s="154">
        <f t="shared" si="14"/>
        <v>0</v>
      </c>
      <c r="T203" s="156" t="str">
        <f>+VLOOKUP($L203,Data_Validation!$A:$D,1,0)</f>
        <v>4401@</v>
      </c>
      <c r="U203" s="156" t="str">
        <f>+VLOOKUP($L203,Data_Validation!$A:$D,3,0)</f>
        <v>Service</v>
      </c>
      <c r="V203" s="156" t="str">
        <f>+VLOOKUP($L203,Data_Validation!$A:$D,4,0)</f>
        <v>M/O Client</v>
      </c>
      <c r="W203" s="156" t="str">
        <f>+VLOOKUP($L203,Data_Validation!$A:$E,5,0)</f>
        <v>NB</v>
      </c>
      <c r="X203" s="156">
        <f>+VLOOKUP($L203,Data_Validation!$A:$F,6,0)</f>
        <v>0</v>
      </c>
    </row>
    <row r="204" spans="1:24" ht="15" hidden="1" customHeight="1">
      <c r="A204" s="1013" t="s">
        <v>2191</v>
      </c>
      <c r="B204" s="1013" t="s">
        <v>2192</v>
      </c>
      <c r="C204" s="1015">
        <v>-49.94</v>
      </c>
      <c r="D204" s="1015">
        <v>0</v>
      </c>
      <c r="E204" s="1015">
        <v>-49.94</v>
      </c>
      <c r="F204" s="1013" t="s">
        <v>285</v>
      </c>
      <c r="G204" s="1013" t="s">
        <v>2192</v>
      </c>
      <c r="H204" s="1014"/>
      <c r="I204" s="1014"/>
      <c r="J204" s="1014"/>
      <c r="K204" s="1014"/>
      <c r="L204" s="153" t="str">
        <f t="shared" si="0"/>
        <v>4402</v>
      </c>
      <c r="M204" s="154" t="str">
        <f t="shared" si="1"/>
        <v>VTE - M.O. ESTHETIQUE CLIENT</v>
      </c>
      <c r="N204" s="155">
        <f>+IF(OR($Q204=Parametres!$G$2,$Q204=Parametres!$G$3),I204,C204)</f>
        <v>-49.94</v>
      </c>
      <c r="O204" s="155">
        <f>+IF(OR($Q204=Parametres!$G$2,$Q204=Parametres!$G$3),J204,D204)</f>
        <v>0</v>
      </c>
      <c r="P204" s="155">
        <f>+IF(OR($Q204=Parametres!$G$2,$Q204=Parametres!$G$3),K204,E204)</f>
        <v>-49.94</v>
      </c>
      <c r="Q204" s="154" t="str">
        <f t="shared" si="14"/>
        <v>5-Ventes</v>
      </c>
      <c r="R204" s="153" t="str">
        <f t="shared" si="14"/>
        <v>4402</v>
      </c>
      <c r="S204" s="154">
        <f t="shared" si="14"/>
        <v>0</v>
      </c>
      <c r="T204" s="156" t="str">
        <f>+VLOOKUP($L204,Data_Validation!$A:$D,1,0)</f>
        <v>4402</v>
      </c>
      <c r="U204" s="156" t="str">
        <f>+VLOOKUP($L204,Data_Validation!$A:$D,3,0)</f>
        <v>Service</v>
      </c>
      <c r="V204" s="156" t="str">
        <f>+VLOOKUP($L204,Data_Validation!$A:$D,4,0)</f>
        <v>M/O Esthétique</v>
      </c>
      <c r="W204" s="156" t="str">
        <f>+VLOOKUP($L204,Data_Validation!$A:$E,5,0)</f>
        <v>$</v>
      </c>
      <c r="X204" s="156" t="str">
        <f>+VLOOKUP($L204,Data_Validation!$A:$F,6,0)</f>
        <v>Oui</v>
      </c>
    </row>
    <row r="205" spans="1:24" ht="15" hidden="1" customHeight="1">
      <c r="A205" s="1013" t="s">
        <v>2041</v>
      </c>
      <c r="B205" s="1013" t="s">
        <v>2042</v>
      </c>
      <c r="C205" s="1035">
        <v>-114108.5</v>
      </c>
      <c r="D205" s="1035">
        <v>-64816.27</v>
      </c>
      <c r="E205" s="1035">
        <v>-178924.77</v>
      </c>
      <c r="F205" s="1013" t="s">
        <v>285</v>
      </c>
      <c r="G205" s="1013" t="s">
        <v>2042</v>
      </c>
      <c r="H205" s="1014"/>
      <c r="I205" s="1015"/>
      <c r="J205" s="1015"/>
      <c r="K205" s="1015"/>
      <c r="L205" s="153" t="str">
        <f t="shared" si="0"/>
        <v>4403</v>
      </c>
      <c r="M205" s="154" t="str">
        <f t="shared" si="1"/>
        <v>M.O. MECANIQUE-VENTE GAR. MANU</v>
      </c>
      <c r="N205" s="155">
        <f>+IF(OR($Q205=Parametres!$G$2,$Q205=Parametres!$G$3),I205,C205)</f>
        <v>-114108.5</v>
      </c>
      <c r="O205" s="155">
        <f>+IF(OR($Q205=Parametres!$G$2,$Q205=Parametres!$G$3),J205,D205)</f>
        <v>-64816.27</v>
      </c>
      <c r="P205" s="155">
        <f>+IF(OR($Q205=Parametres!$G$2,$Q205=Parametres!$G$3),K205,E205)</f>
        <v>-178924.77</v>
      </c>
      <c r="Q205" s="154" t="str">
        <f t="shared" si="14"/>
        <v>5-Ventes</v>
      </c>
      <c r="R205" s="153" t="str">
        <f t="shared" si="14"/>
        <v>4403</v>
      </c>
      <c r="S205" s="154">
        <f t="shared" si="14"/>
        <v>0</v>
      </c>
      <c r="T205" s="156" t="str">
        <f>+VLOOKUP($L205,Data_Validation!$A:$D,1,0)</f>
        <v>4403</v>
      </c>
      <c r="U205" s="156" t="str">
        <f>+VLOOKUP($L205,Data_Validation!$A:$D,3,0)</f>
        <v>Service</v>
      </c>
      <c r="V205" s="156" t="str">
        <f>+VLOOKUP($L205,Data_Validation!$A:$D,4,0)</f>
        <v>M/O Garantie</v>
      </c>
      <c r="W205" s="156" t="str">
        <f>+VLOOKUP($L205,Data_Validation!$A:$E,5,0)</f>
        <v>$</v>
      </c>
      <c r="X205" s="156" t="str">
        <f>+VLOOKUP($L205,Data_Validation!$A:$F,6,0)</f>
        <v>Oui</v>
      </c>
    </row>
    <row r="206" spans="1:24" ht="15.75" hidden="1" customHeight="1">
      <c r="A206" s="1013" t="s">
        <v>2041</v>
      </c>
      <c r="B206" s="1013" t="s">
        <v>2522</v>
      </c>
      <c r="C206" s="1015"/>
      <c r="D206" s="1015"/>
      <c r="E206" s="1015"/>
      <c r="F206" s="1013" t="s">
        <v>4</v>
      </c>
      <c r="G206" s="1013" t="s">
        <v>2042</v>
      </c>
      <c r="H206" s="1014"/>
      <c r="I206" s="1014">
        <v>-520</v>
      </c>
      <c r="J206" s="1014">
        <v>-282</v>
      </c>
      <c r="K206" s="1014">
        <v>-802</v>
      </c>
      <c r="L206" s="153" t="str">
        <f t="shared" si="0"/>
        <v>4403@</v>
      </c>
      <c r="M206" s="154" t="str">
        <f t="shared" si="1"/>
        <v>M.O. MECANIQUE-VENTE GAR. MANU</v>
      </c>
      <c r="N206" s="155">
        <f>+IF(OR($Q206=Parametres!$G$2,$Q206=Parametres!$G$3),I206,C206)</f>
        <v>-520</v>
      </c>
      <c r="O206" s="155">
        <f>+IF(OR($Q206=Parametres!$G$2,$Q206=Parametres!$G$3),J206,D206)</f>
        <v>-282</v>
      </c>
      <c r="P206" s="155">
        <f>+IF(OR($Q206=Parametres!$G$2,$Q206=Parametres!$G$3),K206,E206)</f>
        <v>-802</v>
      </c>
      <c r="Q206" s="154" t="str">
        <f t="shared" si="14"/>
        <v>10-Compte compteur</v>
      </c>
      <c r="R206" s="153" t="str">
        <f t="shared" si="14"/>
        <v>4403</v>
      </c>
      <c r="S206" s="154">
        <f t="shared" si="14"/>
        <v>0</v>
      </c>
      <c r="T206" s="156" t="str">
        <f>+VLOOKUP($L206,Data_Validation!$A:$D,1,0)</f>
        <v>4403@</v>
      </c>
      <c r="U206" s="156" t="str">
        <f>+VLOOKUP($L206,Data_Validation!$A:$D,3,0)</f>
        <v>Service</v>
      </c>
      <c r="V206" s="156" t="str">
        <f>+VLOOKUP($L206,Data_Validation!$A:$D,4,0)</f>
        <v>M/O Garantie</v>
      </c>
      <c r="W206" s="156" t="str">
        <f>+VLOOKUP($L206,Data_Validation!$A:$E,5,0)</f>
        <v>NB</v>
      </c>
      <c r="X206" s="156">
        <f>+VLOOKUP($L206,Data_Validation!$A:$F,6,0)</f>
        <v>0</v>
      </c>
    </row>
    <row r="207" spans="1:24" ht="15" hidden="1" customHeight="1">
      <c r="A207" s="1013" t="s">
        <v>2051</v>
      </c>
      <c r="B207" s="1013" t="s">
        <v>2052</v>
      </c>
      <c r="C207" s="1035">
        <v>-79844.429999999993</v>
      </c>
      <c r="D207" s="1035">
        <v>-38804.76</v>
      </c>
      <c r="E207" s="1035">
        <v>-118649.19</v>
      </c>
      <c r="F207" s="1013" t="s">
        <v>285</v>
      </c>
      <c r="G207" s="1013" t="s">
        <v>2052</v>
      </c>
      <c r="H207" s="1014"/>
      <c r="I207" s="1015"/>
      <c r="J207" s="1015"/>
      <c r="K207" s="1015"/>
      <c r="L207" s="153" t="str">
        <f t="shared" si="0"/>
        <v>4405</v>
      </c>
      <c r="M207" s="154" t="str">
        <f t="shared" si="1"/>
        <v>M.O. MECANIQUE-VENTE INTERNE</v>
      </c>
      <c r="N207" s="155">
        <f>+IF(OR($Q207=Parametres!$G$2,$Q207=Parametres!$G$3),I207,C207)</f>
        <v>-79844.429999999993</v>
      </c>
      <c r="O207" s="155">
        <f>+IF(OR($Q207=Parametres!$G$2,$Q207=Parametres!$G$3),J207,D207)</f>
        <v>-38804.76</v>
      </c>
      <c r="P207" s="155">
        <f>+IF(OR($Q207=Parametres!$G$2,$Q207=Parametres!$G$3),K207,E207)</f>
        <v>-118649.19</v>
      </c>
      <c r="Q207" s="154" t="str">
        <f t="shared" si="14"/>
        <v>5-Ventes</v>
      </c>
      <c r="R207" s="153" t="str">
        <f t="shared" si="14"/>
        <v>4405</v>
      </c>
      <c r="S207" s="154">
        <f t="shared" si="14"/>
        <v>0</v>
      </c>
      <c r="T207" s="156" t="str">
        <f>+VLOOKUP($L207,Data_Validation!$A:$D,1,0)</f>
        <v>4405</v>
      </c>
      <c r="U207" s="156" t="str">
        <f>+VLOOKUP($L207,Data_Validation!$A:$D,3,0)</f>
        <v>Service</v>
      </c>
      <c r="V207" s="156" t="str">
        <f>+VLOOKUP($L207,Data_Validation!$A:$D,4,0)</f>
        <v>M/O Interne</v>
      </c>
      <c r="W207" s="156" t="str">
        <f>+VLOOKUP($L207,Data_Validation!$A:$E,5,0)</f>
        <v>$</v>
      </c>
      <c r="X207" s="156" t="str">
        <f>+VLOOKUP($L207,Data_Validation!$A:$F,6,0)</f>
        <v>Oui</v>
      </c>
    </row>
    <row r="208" spans="1:24" ht="15" hidden="1" customHeight="1">
      <c r="A208" s="1013" t="s">
        <v>2051</v>
      </c>
      <c r="B208" s="1013" t="s">
        <v>2523</v>
      </c>
      <c r="C208" s="1015"/>
      <c r="D208" s="1015"/>
      <c r="E208" s="1015"/>
      <c r="F208" s="1013" t="s">
        <v>4</v>
      </c>
      <c r="G208" s="1013" t="s">
        <v>2052</v>
      </c>
      <c r="H208" s="1014"/>
      <c r="I208" s="1014">
        <v>-443</v>
      </c>
      <c r="J208" s="1014">
        <v>-214</v>
      </c>
      <c r="K208" s="1014">
        <v>-657</v>
      </c>
      <c r="L208" s="153" t="str">
        <f t="shared" si="0"/>
        <v>4405@</v>
      </c>
      <c r="M208" s="154" t="str">
        <f t="shared" si="1"/>
        <v>M.O. MECANIQUE-VENTE INTERNE</v>
      </c>
      <c r="N208" s="155">
        <f>+IF(OR($Q208=Parametres!$G$2,$Q208=Parametres!$G$3),I208,C208)</f>
        <v>-443</v>
      </c>
      <c r="O208" s="155">
        <f>+IF(OR($Q208=Parametres!$G$2,$Q208=Parametres!$G$3),J208,D208)</f>
        <v>-214</v>
      </c>
      <c r="P208" s="155">
        <f>+IF(OR($Q208=Parametres!$G$2,$Q208=Parametres!$G$3),K208,E208)</f>
        <v>-657</v>
      </c>
      <c r="Q208" s="154" t="str">
        <f t="shared" si="14"/>
        <v>10-Compte compteur</v>
      </c>
      <c r="R208" s="153" t="str">
        <f t="shared" si="14"/>
        <v>4405</v>
      </c>
      <c r="S208" s="154">
        <f t="shared" si="14"/>
        <v>0</v>
      </c>
      <c r="T208" s="156" t="str">
        <f>+VLOOKUP($L208,Data_Validation!$A:$D,1,0)</f>
        <v>4405@</v>
      </c>
      <c r="U208" s="156" t="str">
        <f>+VLOOKUP($L208,Data_Validation!$A:$D,3,0)</f>
        <v>Service</v>
      </c>
      <c r="V208" s="156" t="str">
        <f>+VLOOKUP($L208,Data_Validation!$A:$D,4,0)</f>
        <v>M/O Interne</v>
      </c>
      <c r="W208" s="156" t="str">
        <f>+VLOOKUP($L208,Data_Validation!$A:$E,5,0)</f>
        <v>NB</v>
      </c>
      <c r="X208" s="156">
        <f>+VLOOKUP($L208,Data_Validation!$A:$F,6,0)</f>
        <v>0</v>
      </c>
    </row>
    <row r="209" spans="1:24" ht="15" hidden="1" customHeight="1">
      <c r="A209" s="1013" t="s">
        <v>2071</v>
      </c>
      <c r="B209" s="1013" t="s">
        <v>2072</v>
      </c>
      <c r="C209" s="1035">
        <v>-25824.32</v>
      </c>
      <c r="D209" s="1035">
        <v>-14977.23</v>
      </c>
      <c r="E209" s="1035">
        <v>-40801.550000000003</v>
      </c>
      <c r="F209" s="1013" t="s">
        <v>285</v>
      </c>
      <c r="G209" s="1013" t="s">
        <v>2073</v>
      </c>
      <c r="H209" s="1014"/>
      <c r="I209" s="1015"/>
      <c r="J209" s="1015"/>
      <c r="K209" s="1015"/>
      <c r="L209" s="153" t="str">
        <f t="shared" si="0"/>
        <v>4451</v>
      </c>
      <c r="M209" s="154" t="str">
        <f t="shared" si="1"/>
        <v>CARBURANT/HUILE/GRAISSE</v>
      </c>
      <c r="N209" s="155">
        <f>+IF(OR($Q209=Parametres!$G$2,$Q209=Parametres!$G$3),I209,C209)</f>
        <v>-25824.32</v>
      </c>
      <c r="O209" s="155">
        <f>+IF(OR($Q209=Parametres!$G$2,$Q209=Parametres!$G$3),J209,D209)</f>
        <v>-14977.23</v>
      </c>
      <c r="P209" s="155">
        <f>+IF(OR($Q209=Parametres!$G$2,$Q209=Parametres!$G$3),K209,E209)</f>
        <v>-40801.550000000003</v>
      </c>
      <c r="Q209" s="154" t="str">
        <f t="shared" si="14"/>
        <v>5-Ventes</v>
      </c>
      <c r="R209" s="153" t="str">
        <f t="shared" si="14"/>
        <v>4782</v>
      </c>
      <c r="S209" s="154">
        <f t="shared" si="14"/>
        <v>0</v>
      </c>
      <c r="T209" s="156" t="str">
        <f>+VLOOKUP($L209,Data_Validation!$A:$D,1,0)</f>
        <v>4451</v>
      </c>
      <c r="U209" s="156" t="str">
        <f>+VLOOKUP($L209,Data_Validation!$A:$D,3,0)</f>
        <v>Pièces</v>
      </c>
      <c r="V209" s="156" t="str">
        <f>+VLOOKUP($L209,Data_Validation!$A:$D,4,0)</f>
        <v>Huiles et Graisse</v>
      </c>
      <c r="W209" s="156" t="str">
        <f>+VLOOKUP($L209,Data_Validation!$A:$E,5,0)</f>
        <v>$</v>
      </c>
      <c r="X209" s="156" t="str">
        <f>+VLOOKUP($L209,Data_Validation!$A:$F,6,0)</f>
        <v>Oui</v>
      </c>
    </row>
    <row r="210" spans="1:24" ht="15" hidden="1" customHeight="1">
      <c r="A210" s="1013" t="s">
        <v>2071</v>
      </c>
      <c r="B210" s="1013" t="s">
        <v>2526</v>
      </c>
      <c r="C210" s="1015"/>
      <c r="D210" s="1015"/>
      <c r="E210" s="1015"/>
      <c r="F210" s="1013" t="s">
        <v>4</v>
      </c>
      <c r="G210" s="1013" t="s">
        <v>2073</v>
      </c>
      <c r="H210" s="1014"/>
      <c r="I210" s="1014">
        <v>-471</v>
      </c>
      <c r="J210" s="1014">
        <v>-267</v>
      </c>
      <c r="K210" s="1014">
        <v>-738</v>
      </c>
      <c r="L210" s="153" t="str">
        <f t="shared" si="0"/>
        <v>4451@</v>
      </c>
      <c r="M210" s="154" t="str">
        <f t="shared" si="1"/>
        <v>CARBURANT/HUILE/GRAISSE</v>
      </c>
      <c r="N210" s="155">
        <f>+IF(OR($Q210=Parametres!$G$2,$Q210=Parametres!$G$3),I210,C210)</f>
        <v>-471</v>
      </c>
      <c r="O210" s="155">
        <f>+IF(OR($Q210=Parametres!$G$2,$Q210=Parametres!$G$3),J210,D210)</f>
        <v>-267</v>
      </c>
      <c r="P210" s="155">
        <f>+IF(OR($Q210=Parametres!$G$2,$Q210=Parametres!$G$3),K210,E210)</f>
        <v>-738</v>
      </c>
      <c r="Q210" s="154" t="str">
        <f t="shared" ref="Q210:S225" si="15">+F210</f>
        <v>10-Compte compteur</v>
      </c>
      <c r="R210" s="153" t="str">
        <f t="shared" si="15"/>
        <v>4782</v>
      </c>
      <c r="S210" s="154">
        <f t="shared" si="15"/>
        <v>0</v>
      </c>
      <c r="T210" s="156" t="str">
        <f>+VLOOKUP($L210,Data_Validation!$A:$D,1,0)</f>
        <v>4451@</v>
      </c>
      <c r="U210" s="156" t="str">
        <f>+VLOOKUP($L210,Data_Validation!$A:$D,3,0)</f>
        <v>Pièces</v>
      </c>
      <c r="V210" s="156" t="str">
        <f>+VLOOKUP($L210,Data_Validation!$A:$D,4,0)</f>
        <v>Huiles et Graisse</v>
      </c>
      <c r="W210" s="156" t="str">
        <f>+VLOOKUP($L210,Data_Validation!$A:$E,5,0)</f>
        <v>NB</v>
      </c>
      <c r="X210" s="156">
        <f>+VLOOKUP($L210,Data_Validation!$A:$F,6,0)</f>
        <v>0</v>
      </c>
    </row>
    <row r="211" spans="1:24" ht="15.75" hidden="1" customHeight="1">
      <c r="A211" s="1013" t="s">
        <v>2144</v>
      </c>
      <c r="B211" s="1013" t="s">
        <v>2145</v>
      </c>
      <c r="C211" s="1035">
        <v>-2900.12</v>
      </c>
      <c r="D211" s="1035">
        <v>-2549.25</v>
      </c>
      <c r="E211" s="1035">
        <v>-5449.37</v>
      </c>
      <c r="F211" s="1013" t="s">
        <v>285</v>
      </c>
      <c r="G211" s="1013" t="s">
        <v>2145</v>
      </c>
      <c r="H211" s="1014"/>
      <c r="I211" s="1015"/>
      <c r="J211" s="1015"/>
      <c r="K211" s="1015"/>
      <c r="L211" s="153" t="str">
        <f t="shared" si="0"/>
        <v>4491</v>
      </c>
      <c r="M211" s="154" t="str">
        <f t="shared" si="1"/>
        <v>REPARATION SOUS-LOC. - GENERAL</v>
      </c>
      <c r="N211" s="155">
        <f>+IF(OR($Q211=Parametres!$G$2,$Q211=Parametres!$G$3),I211,C211)</f>
        <v>-2900.12</v>
      </c>
      <c r="O211" s="155">
        <f>+IF(OR($Q211=Parametres!$G$2,$Q211=Parametres!$G$3),J211,D211)</f>
        <v>-2549.25</v>
      </c>
      <c r="P211" s="155">
        <f>+IF(OR($Q211=Parametres!$G$2,$Q211=Parametres!$G$3),K211,E211)</f>
        <v>-5449.37</v>
      </c>
      <c r="Q211" s="154" t="str">
        <f t="shared" si="15"/>
        <v>5-Ventes</v>
      </c>
      <c r="R211" s="153" t="str">
        <f t="shared" si="15"/>
        <v>4491</v>
      </c>
      <c r="S211" s="154">
        <f t="shared" si="15"/>
        <v>0</v>
      </c>
      <c r="T211" s="156" t="str">
        <f>+VLOOKUP($L211,Data_Validation!$A:$D,1,0)</f>
        <v>4491</v>
      </c>
      <c r="U211" s="156" t="str">
        <f>+VLOOKUP($L211,Data_Validation!$A:$D,3,0)</f>
        <v>Service</v>
      </c>
      <c r="V211" s="156" t="str">
        <f>+VLOOKUP($L211,Data_Validation!$A:$D,4,0)</f>
        <v>Sous-traitement</v>
      </c>
      <c r="W211" s="156" t="str">
        <f>+VLOOKUP($L211,Data_Validation!$A:$E,5,0)</f>
        <v>$</v>
      </c>
      <c r="X211" s="156" t="str">
        <f>+VLOOKUP($L211,Data_Validation!$A:$F,6,0)</f>
        <v>Oui</v>
      </c>
    </row>
    <row r="212" spans="1:24" ht="15" hidden="1" customHeight="1">
      <c r="A212" s="1013" t="s">
        <v>2144</v>
      </c>
      <c r="B212" s="1013" t="s">
        <v>2527</v>
      </c>
      <c r="C212" s="1015"/>
      <c r="D212" s="1015"/>
      <c r="E212" s="1015"/>
      <c r="F212" s="1013" t="s">
        <v>4</v>
      </c>
      <c r="G212" s="1013" t="s">
        <v>2145</v>
      </c>
      <c r="H212" s="1014"/>
      <c r="I212" s="1014">
        <v>-22</v>
      </c>
      <c r="J212" s="1014">
        <v>-21</v>
      </c>
      <c r="K212" s="1014">
        <v>-43</v>
      </c>
      <c r="L212" s="153" t="str">
        <f t="shared" si="0"/>
        <v>4491@</v>
      </c>
      <c r="M212" s="154" t="str">
        <f t="shared" si="1"/>
        <v>REPARATION SOUS-LOC. - GENERAL</v>
      </c>
      <c r="N212" s="155">
        <f>+IF(OR($Q212=Parametres!$G$2,$Q212=Parametres!$G$3),I212,C212)</f>
        <v>-22</v>
      </c>
      <c r="O212" s="155">
        <f>+IF(OR($Q212=Parametres!$G$2,$Q212=Parametres!$G$3),J212,D212)</f>
        <v>-21</v>
      </c>
      <c r="P212" s="155">
        <f>+IF(OR($Q212=Parametres!$G$2,$Q212=Parametres!$G$3),K212,E212)</f>
        <v>-43</v>
      </c>
      <c r="Q212" s="154" t="str">
        <f t="shared" si="15"/>
        <v>10-Compte compteur</v>
      </c>
      <c r="R212" s="153" t="str">
        <f t="shared" si="15"/>
        <v>4491</v>
      </c>
      <c r="S212" s="154">
        <f t="shared" si="15"/>
        <v>0</v>
      </c>
      <c r="T212" s="156" t="str">
        <f>+VLOOKUP($L212,Data_Validation!$A:$D,1,0)</f>
        <v>4491@</v>
      </c>
      <c r="U212" s="156" t="str">
        <f>+VLOOKUP($L212,Data_Validation!$A:$D,3,0)</f>
        <v>Service</v>
      </c>
      <c r="V212" s="156" t="str">
        <f>+VLOOKUP($L212,Data_Validation!$A:$D,4,0)</f>
        <v>Sous-traitement</v>
      </c>
      <c r="W212" s="156" t="str">
        <f>+VLOOKUP($L212,Data_Validation!$A:$E,5,0)</f>
        <v>NB</v>
      </c>
      <c r="X212" s="156">
        <f>+VLOOKUP($L212,Data_Validation!$A:$F,6,0)</f>
        <v>0</v>
      </c>
    </row>
    <row r="213" spans="1:24" ht="15" hidden="1" customHeight="1">
      <c r="A213" s="1013" t="s">
        <v>2167</v>
      </c>
      <c r="B213" s="1013" t="s">
        <v>2168</v>
      </c>
      <c r="C213" s="1035">
        <v>-1499.06</v>
      </c>
      <c r="D213" s="1035">
        <v>-688</v>
      </c>
      <c r="E213" s="1035">
        <v>-2187.06</v>
      </c>
      <c r="F213" s="1013" t="s">
        <v>285</v>
      </c>
      <c r="G213" s="1013" t="s">
        <v>2168</v>
      </c>
      <c r="H213" s="1014"/>
      <c r="I213" s="1015"/>
      <c r="J213" s="1015"/>
      <c r="K213" s="1015"/>
      <c r="L213" s="153" t="str">
        <f t="shared" si="0"/>
        <v>4493</v>
      </c>
      <c r="M213" s="154" t="str">
        <f t="shared" si="1"/>
        <v>VTE - SOUS-TRAITANCE GARANTIE</v>
      </c>
      <c r="N213" s="155">
        <f>+IF(OR($Q213=Parametres!$G$2,$Q213=Parametres!$G$3),I213,C213)</f>
        <v>-1499.06</v>
      </c>
      <c r="O213" s="155">
        <f>+IF(OR($Q213=Parametres!$G$2,$Q213=Parametres!$G$3),J213,D213)</f>
        <v>-688</v>
      </c>
      <c r="P213" s="155">
        <f>+IF(OR($Q213=Parametres!$G$2,$Q213=Parametres!$G$3),K213,E213)</f>
        <v>-2187.06</v>
      </c>
      <c r="Q213" s="154" t="str">
        <f t="shared" si="15"/>
        <v>5-Ventes</v>
      </c>
      <c r="R213" s="153" t="str">
        <f t="shared" si="15"/>
        <v>4493</v>
      </c>
      <c r="S213" s="154">
        <f t="shared" si="15"/>
        <v>0</v>
      </c>
      <c r="T213" s="156" t="str">
        <f>+VLOOKUP($L213,Data_Validation!$A:$D,1,0)</f>
        <v>4493</v>
      </c>
      <c r="U213" s="156" t="str">
        <f>+VLOOKUP($L213,Data_Validation!$A:$D,3,0)</f>
        <v>Service</v>
      </c>
      <c r="V213" s="156" t="str">
        <f>+VLOOKUP($L213,Data_Validation!$A:$D,4,0)</f>
        <v>Sous-traitement</v>
      </c>
      <c r="W213" s="156" t="str">
        <f>+VLOOKUP($L213,Data_Validation!$A:$E,5,0)</f>
        <v>$</v>
      </c>
      <c r="X213" s="156" t="str">
        <f>+VLOOKUP($L213,Data_Validation!$A:$F,6,0)</f>
        <v>Oui</v>
      </c>
    </row>
    <row r="214" spans="1:24" ht="15" hidden="1" customHeight="1">
      <c r="A214" s="1013" t="s">
        <v>2528</v>
      </c>
      <c r="B214" s="1013" t="s">
        <v>2529</v>
      </c>
      <c r="C214" s="1015"/>
      <c r="D214" s="1015"/>
      <c r="E214" s="1015"/>
      <c r="F214" s="1013" t="s">
        <v>4</v>
      </c>
      <c r="G214" s="1013" t="s">
        <v>2168</v>
      </c>
      <c r="H214" s="1014"/>
      <c r="I214" s="1014">
        <v>-13</v>
      </c>
      <c r="J214" s="1014">
        <v>-3</v>
      </c>
      <c r="K214" s="1014">
        <v>-16</v>
      </c>
      <c r="L214" s="153" t="str">
        <f t="shared" si="0"/>
        <v>4493@</v>
      </c>
      <c r="M214" s="154" t="str">
        <f t="shared" si="1"/>
        <v># DE VTE - SOUS-TRAITANCE GARANTIE</v>
      </c>
      <c r="N214" s="155">
        <f>+IF(OR($Q214=Parametres!$G$2,$Q214=Parametres!$G$3),I214,C214)</f>
        <v>-13</v>
      </c>
      <c r="O214" s="155">
        <f>+IF(OR($Q214=Parametres!$G$2,$Q214=Parametres!$G$3),J214,D214)</f>
        <v>-3</v>
      </c>
      <c r="P214" s="155">
        <f>+IF(OR($Q214=Parametres!$G$2,$Q214=Parametres!$G$3),K214,E214)</f>
        <v>-16</v>
      </c>
      <c r="Q214" s="154" t="str">
        <f t="shared" si="15"/>
        <v>10-Compte compteur</v>
      </c>
      <c r="R214" s="153" t="str">
        <f t="shared" si="15"/>
        <v>4493</v>
      </c>
      <c r="S214" s="154">
        <f t="shared" si="15"/>
        <v>0</v>
      </c>
      <c r="T214" s="156" t="str">
        <f>+VLOOKUP($L214,Data_Validation!$A:$D,1,0)</f>
        <v>4493@</v>
      </c>
      <c r="U214" s="156" t="str">
        <f>+VLOOKUP($L214,Data_Validation!$A:$D,3,0)</f>
        <v>Service</v>
      </c>
      <c r="V214" s="156" t="str">
        <f>+VLOOKUP($L214,Data_Validation!$A:$D,4,0)</f>
        <v>Sous-traitement</v>
      </c>
      <c r="W214" s="156" t="str">
        <f>+VLOOKUP($L214,Data_Validation!$A:$E,5,0)</f>
        <v>NB</v>
      </c>
      <c r="X214" s="156">
        <f>+VLOOKUP($L214,Data_Validation!$A:$F,6,0)</f>
        <v>0</v>
      </c>
    </row>
    <row r="215" spans="1:24" ht="15.75" hidden="1" customHeight="1">
      <c r="A215" s="1013" t="s">
        <v>2086</v>
      </c>
      <c r="B215" s="1013" t="s">
        <v>2087</v>
      </c>
      <c r="C215" s="1035">
        <v>-46219.65</v>
      </c>
      <c r="D215" s="1035">
        <v>-30772.59</v>
      </c>
      <c r="E215" s="1035">
        <v>-76992.240000000005</v>
      </c>
      <c r="F215" s="1013" t="s">
        <v>285</v>
      </c>
      <c r="G215" s="1013" t="s">
        <v>2087</v>
      </c>
      <c r="H215" s="1014"/>
      <c r="I215" s="1015"/>
      <c r="J215" s="1015"/>
      <c r="K215" s="1015"/>
      <c r="L215" s="153" t="str">
        <f t="shared" si="0"/>
        <v>4495</v>
      </c>
      <c r="M215" s="154" t="str">
        <f t="shared" si="1"/>
        <v>VTE - S-TRAITANCE MEC.INTERNE VW</v>
      </c>
      <c r="N215" s="155">
        <f>+IF(OR($Q215=Parametres!$G$2,$Q215=Parametres!$G$3),I215,C215)</f>
        <v>-46219.65</v>
      </c>
      <c r="O215" s="155">
        <f>+IF(OR($Q215=Parametres!$G$2,$Q215=Parametres!$G$3),J215,D215)</f>
        <v>-30772.59</v>
      </c>
      <c r="P215" s="155">
        <f>+IF(OR($Q215=Parametres!$G$2,$Q215=Parametres!$G$3),K215,E215)</f>
        <v>-76992.240000000005</v>
      </c>
      <c r="Q215" s="154" t="str">
        <f t="shared" si="15"/>
        <v>5-Ventes</v>
      </c>
      <c r="R215" s="153" t="str">
        <f t="shared" si="15"/>
        <v>4495</v>
      </c>
      <c r="S215" s="154">
        <f t="shared" si="15"/>
        <v>0</v>
      </c>
      <c r="T215" s="156" t="str">
        <f>+VLOOKUP($L215,Data_Validation!$A:$D,1,0)</f>
        <v>4495</v>
      </c>
      <c r="U215" s="156" t="str">
        <f>+VLOOKUP($L215,Data_Validation!$A:$D,3,0)</f>
        <v>Service</v>
      </c>
      <c r="V215" s="156" t="str">
        <f>+VLOOKUP($L215,Data_Validation!$A:$D,4,0)</f>
        <v>Sous-traitement</v>
      </c>
      <c r="W215" s="156" t="str">
        <f>+VLOOKUP($L215,Data_Validation!$A:$E,5,0)</f>
        <v>$</v>
      </c>
      <c r="X215" s="156" t="str">
        <f>+VLOOKUP($L215,Data_Validation!$A:$F,6,0)</f>
        <v>Oui</v>
      </c>
    </row>
    <row r="216" spans="1:24" ht="15" hidden="1" customHeight="1">
      <c r="A216" s="1013" t="s">
        <v>2530</v>
      </c>
      <c r="B216" s="1013" t="s">
        <v>2531</v>
      </c>
      <c r="C216" s="1015"/>
      <c r="D216" s="1015"/>
      <c r="E216" s="1015"/>
      <c r="F216" s="1013" t="s">
        <v>4</v>
      </c>
      <c r="G216" s="1013" t="s">
        <v>2087</v>
      </c>
      <c r="H216" s="1014"/>
      <c r="I216" s="1014">
        <v>-280</v>
      </c>
      <c r="J216" s="1014">
        <v>-197</v>
      </c>
      <c r="K216" s="1014">
        <v>-477</v>
      </c>
      <c r="L216" s="153" t="str">
        <f t="shared" si="0"/>
        <v>4495@</v>
      </c>
      <c r="M216" s="154" t="str">
        <f t="shared" si="1"/>
        <v># DE VTE - S-TRAITANCE MEC.INTERNE VW</v>
      </c>
      <c r="N216" s="155">
        <f>+IF(OR($Q216=Parametres!$G$2,$Q216=Parametres!$G$3),I216,C216)</f>
        <v>-280</v>
      </c>
      <c r="O216" s="155">
        <f>+IF(OR($Q216=Parametres!$G$2,$Q216=Parametres!$G$3),J216,D216)</f>
        <v>-197</v>
      </c>
      <c r="P216" s="155">
        <f>+IF(OR($Q216=Parametres!$G$2,$Q216=Parametres!$G$3),K216,E216)</f>
        <v>-477</v>
      </c>
      <c r="Q216" s="154" t="str">
        <f t="shared" si="15"/>
        <v>10-Compte compteur</v>
      </c>
      <c r="R216" s="153" t="str">
        <f t="shared" si="15"/>
        <v>4495</v>
      </c>
      <c r="S216" s="154">
        <f t="shared" si="15"/>
        <v>0</v>
      </c>
      <c r="T216" s="156" t="str">
        <f>+VLOOKUP($L216,Data_Validation!$A:$D,1,0)</f>
        <v>4495@</v>
      </c>
      <c r="U216" s="156" t="str">
        <f>+VLOOKUP($L216,Data_Validation!$A:$D,3,0)</f>
        <v>Service</v>
      </c>
      <c r="V216" s="156" t="str">
        <f>+VLOOKUP($L216,Data_Validation!$A:$D,4,0)</f>
        <v>Sous-traitement</v>
      </c>
      <c r="W216" s="156" t="str">
        <f>+VLOOKUP($L216,Data_Validation!$A:$E,5,0)</f>
        <v>NB</v>
      </c>
      <c r="X216" s="156">
        <f>+VLOOKUP($L216,Data_Validation!$A:$F,6,0)</f>
        <v>0</v>
      </c>
    </row>
    <row r="217" spans="1:24" ht="15" hidden="1" customHeight="1">
      <c r="A217" s="1013" t="s">
        <v>2069</v>
      </c>
      <c r="B217" s="1013" t="s">
        <v>2070</v>
      </c>
      <c r="C217" s="1035">
        <v>-91247.44</v>
      </c>
      <c r="D217" s="1035">
        <v>-55392.39</v>
      </c>
      <c r="E217" s="1035">
        <v>-146639.82999999999</v>
      </c>
      <c r="F217" s="1013" t="s">
        <v>285</v>
      </c>
      <c r="G217" s="1013" t="s">
        <v>2070</v>
      </c>
      <c r="H217" s="1014"/>
      <c r="I217" s="1015"/>
      <c r="J217" s="1015"/>
      <c r="K217" s="1015"/>
      <c r="L217" s="153" t="str">
        <f t="shared" si="0"/>
        <v>4591</v>
      </c>
      <c r="M217" s="154" t="str">
        <f t="shared" si="1"/>
        <v>VTE - S-TRAIT. CARR.</v>
      </c>
      <c r="N217" s="155">
        <f>+IF(OR($Q217=Parametres!$G$2,$Q217=Parametres!$G$3),I217,C217)</f>
        <v>-91247.44</v>
      </c>
      <c r="O217" s="155">
        <f>+IF(OR($Q217=Parametres!$G$2,$Q217=Parametres!$G$3),J217,D217)</f>
        <v>-55392.39</v>
      </c>
      <c r="P217" s="155">
        <f>+IF(OR($Q217=Parametres!$G$2,$Q217=Parametres!$G$3),K217,E217)</f>
        <v>-146639.82999999999</v>
      </c>
      <c r="Q217" s="154" t="str">
        <f t="shared" si="15"/>
        <v>5-Ventes</v>
      </c>
      <c r="R217" s="153" t="str">
        <f t="shared" si="15"/>
        <v>4591</v>
      </c>
      <c r="S217" s="154">
        <f t="shared" si="15"/>
        <v>0</v>
      </c>
      <c r="T217" s="156" t="str">
        <f>+VLOOKUP($L217,Data_Validation!$A:$D,1,0)</f>
        <v>4591</v>
      </c>
      <c r="U217" s="156" t="str">
        <f>+VLOOKUP($L217,Data_Validation!$A:$D,3,0)</f>
        <v>Carrosserie</v>
      </c>
      <c r="V217" s="156" t="str">
        <f>+VLOOKUP($L217,Data_Validation!$A:$D,4,0)</f>
        <v>M/O Sous-traitement</v>
      </c>
      <c r="W217" s="156" t="str">
        <f>+VLOOKUP($L217,Data_Validation!$A:$E,5,0)</f>
        <v>$</v>
      </c>
      <c r="X217" s="156" t="str">
        <f>+VLOOKUP($L217,Data_Validation!$A:$F,6,0)</f>
        <v>Oui</v>
      </c>
    </row>
    <row r="218" spans="1:24" ht="15" hidden="1" customHeight="1">
      <c r="A218" s="1013" t="s">
        <v>2532</v>
      </c>
      <c r="B218" s="1013" t="s">
        <v>2533</v>
      </c>
      <c r="C218" s="1015"/>
      <c r="D218" s="1015"/>
      <c r="E218" s="1015"/>
      <c r="F218" s="1013" t="s">
        <v>4</v>
      </c>
      <c r="G218" s="1013" t="s">
        <v>2070</v>
      </c>
      <c r="H218" s="1014"/>
      <c r="I218" s="1014">
        <v>-79</v>
      </c>
      <c r="J218" s="1014">
        <v>-42</v>
      </c>
      <c r="K218" s="1014">
        <v>-121</v>
      </c>
      <c r="L218" s="153" t="str">
        <f t="shared" si="0"/>
        <v>4591@</v>
      </c>
      <c r="M218" s="154" t="str">
        <f t="shared" si="1"/>
        <v>REPARATION SOUS-LOC.-PEINT/DEB</v>
      </c>
      <c r="N218" s="155">
        <f>+IF(OR($Q218=Parametres!$G$2,$Q218=Parametres!$G$3),I218,C218)</f>
        <v>-79</v>
      </c>
      <c r="O218" s="155">
        <f>+IF(OR($Q218=Parametres!$G$2,$Q218=Parametres!$G$3),J218,D218)</f>
        <v>-42</v>
      </c>
      <c r="P218" s="155">
        <f>+IF(OR($Q218=Parametres!$G$2,$Q218=Parametres!$G$3),K218,E218)</f>
        <v>-121</v>
      </c>
      <c r="Q218" s="154" t="str">
        <f t="shared" si="15"/>
        <v>10-Compte compteur</v>
      </c>
      <c r="R218" s="153" t="str">
        <f t="shared" si="15"/>
        <v>4591</v>
      </c>
      <c r="S218" s="154">
        <f t="shared" si="15"/>
        <v>0</v>
      </c>
      <c r="T218" s="156" t="str">
        <f>+VLOOKUP($L218,Data_Validation!$A:$D,1,0)</f>
        <v>4591@</v>
      </c>
      <c r="U218" s="156" t="str">
        <f>+VLOOKUP($L218,Data_Validation!$A:$D,3,0)</f>
        <v>Carrosserie</v>
      </c>
      <c r="V218" s="156" t="str">
        <f>+VLOOKUP($L218,Data_Validation!$A:$D,4,0)</f>
        <v>M/O Sous-traitement</v>
      </c>
      <c r="W218" s="156" t="str">
        <f>+VLOOKUP($L218,Data_Validation!$A:$E,5,0)</f>
        <v>NB</v>
      </c>
      <c r="X218" s="156">
        <f>+VLOOKUP($L218,Data_Validation!$A:$F,6,0)</f>
        <v>0</v>
      </c>
    </row>
    <row r="219" spans="1:24" ht="15.75" hidden="1" customHeight="1">
      <c r="A219" s="1013" t="s">
        <v>2067</v>
      </c>
      <c r="B219" s="1013" t="s">
        <v>2068</v>
      </c>
      <c r="C219" s="1035">
        <v>-88522.1</v>
      </c>
      <c r="D219" s="1035">
        <v>-64782.36</v>
      </c>
      <c r="E219" s="1035">
        <v>-153304.46</v>
      </c>
      <c r="F219" s="1013" t="s">
        <v>285</v>
      </c>
      <c r="G219" s="1013" t="s">
        <v>2068</v>
      </c>
      <c r="H219" s="1014"/>
      <c r="I219" s="1015"/>
      <c r="J219" s="1015"/>
      <c r="K219" s="1015"/>
      <c r="L219" s="153" t="str">
        <f t="shared" si="0"/>
        <v>4593</v>
      </c>
      <c r="M219" s="154" t="str">
        <f t="shared" si="1"/>
        <v>VTE - SOUS-TRAITANCE GARANTIE CARR.</v>
      </c>
      <c r="N219" s="155">
        <f>+IF(OR($Q219=Parametres!$G$2,$Q219=Parametres!$G$3),I219,C219)</f>
        <v>-88522.1</v>
      </c>
      <c r="O219" s="155">
        <f>+IF(OR($Q219=Parametres!$G$2,$Q219=Parametres!$G$3),J219,D219)</f>
        <v>-64782.36</v>
      </c>
      <c r="P219" s="155">
        <f>+IF(OR($Q219=Parametres!$G$2,$Q219=Parametres!$G$3),K219,E219)</f>
        <v>-153304.46</v>
      </c>
      <c r="Q219" s="154" t="str">
        <f t="shared" si="15"/>
        <v>5-Ventes</v>
      </c>
      <c r="R219" s="153" t="str">
        <f t="shared" si="15"/>
        <v>4593</v>
      </c>
      <c r="S219" s="154">
        <f t="shared" si="15"/>
        <v>0</v>
      </c>
      <c r="T219" s="156" t="str">
        <f>+VLOOKUP($L219,Data_Validation!$A:$D,1,0)</f>
        <v>4593</v>
      </c>
      <c r="U219" s="156" t="str">
        <f>+VLOOKUP($L219,Data_Validation!$A:$D,3,0)</f>
        <v>Carrosserie</v>
      </c>
      <c r="V219" s="156" t="str">
        <f>+VLOOKUP($L219,Data_Validation!$A:$D,4,0)</f>
        <v>M/O Sous-traitement</v>
      </c>
      <c r="W219" s="156" t="str">
        <f>+VLOOKUP($L219,Data_Validation!$A:$E,5,0)</f>
        <v>$</v>
      </c>
      <c r="X219" s="156" t="str">
        <f>+VLOOKUP($L219,Data_Validation!$A:$F,6,0)</f>
        <v>Oui</v>
      </c>
    </row>
    <row r="220" spans="1:24" ht="15" hidden="1" customHeight="1">
      <c r="A220" s="1013" t="s">
        <v>2534</v>
      </c>
      <c r="B220" s="1013" t="s">
        <v>2535</v>
      </c>
      <c r="C220" s="1015"/>
      <c r="D220" s="1015"/>
      <c r="E220" s="1015"/>
      <c r="F220" s="1013" t="s">
        <v>4</v>
      </c>
      <c r="G220" s="1013" t="s">
        <v>2068</v>
      </c>
      <c r="H220" s="1014"/>
      <c r="I220" s="1014">
        <v>-43</v>
      </c>
      <c r="J220" s="1014">
        <v>-34</v>
      </c>
      <c r="K220" s="1014">
        <v>-77</v>
      </c>
      <c r="L220" s="153" t="str">
        <f t="shared" si="0"/>
        <v>4593@</v>
      </c>
      <c r="M220" s="154" t="str">
        <f t="shared" si="1"/>
        <v># DE VTE - S-TRAITANCE GAR.CARR.</v>
      </c>
      <c r="N220" s="155">
        <f>+IF(OR($Q220=Parametres!$G$2,$Q220=Parametres!$G$3),I220,C220)</f>
        <v>-43</v>
      </c>
      <c r="O220" s="155">
        <f>+IF(OR($Q220=Parametres!$G$2,$Q220=Parametres!$G$3),J220,D220)</f>
        <v>-34</v>
      </c>
      <c r="P220" s="155">
        <f>+IF(OR($Q220=Parametres!$G$2,$Q220=Parametres!$G$3),K220,E220)</f>
        <v>-77</v>
      </c>
      <c r="Q220" s="154" t="str">
        <f t="shared" si="15"/>
        <v>10-Compte compteur</v>
      </c>
      <c r="R220" s="153" t="str">
        <f t="shared" si="15"/>
        <v>4593</v>
      </c>
      <c r="S220" s="154">
        <f t="shared" si="15"/>
        <v>0</v>
      </c>
      <c r="T220" s="156" t="str">
        <f>+VLOOKUP($L220,Data_Validation!$A:$D,1,0)</f>
        <v>4593@</v>
      </c>
      <c r="U220" s="156" t="str">
        <f>+VLOOKUP($L220,Data_Validation!$A:$D,3,0)</f>
        <v>Carrosserie</v>
      </c>
      <c r="V220" s="156" t="str">
        <f>+VLOOKUP($L220,Data_Validation!$A:$D,4,0)</f>
        <v>M/O Sous-traitement</v>
      </c>
      <c r="W220" s="156" t="str">
        <f>+VLOOKUP($L220,Data_Validation!$A:$E,5,0)</f>
        <v>NB</v>
      </c>
      <c r="X220" s="156">
        <f>+VLOOKUP($L220,Data_Validation!$A:$F,6,0)</f>
        <v>0</v>
      </c>
    </row>
    <row r="221" spans="1:24" ht="15" hidden="1" customHeight="1">
      <c r="A221" s="1013" t="s">
        <v>2100</v>
      </c>
      <c r="B221" s="1013" t="s">
        <v>2101</v>
      </c>
      <c r="C221" s="1035">
        <v>-7997.95</v>
      </c>
      <c r="D221" s="1035">
        <v>-11498.85</v>
      </c>
      <c r="E221" s="1035">
        <v>-19496.8</v>
      </c>
      <c r="F221" s="1013" t="s">
        <v>285</v>
      </c>
      <c r="G221" s="1013" t="s">
        <v>2101</v>
      </c>
      <c r="H221" s="1014"/>
      <c r="I221" s="1015"/>
      <c r="J221" s="1015"/>
      <c r="K221" s="1015"/>
      <c r="L221" s="153" t="str">
        <f t="shared" si="0"/>
        <v>4595</v>
      </c>
      <c r="M221" s="154" t="str">
        <f t="shared" si="1"/>
        <v>VTE - SOUS-TRAITANCE INTERNE CARR.</v>
      </c>
      <c r="N221" s="155">
        <f>+IF(OR($Q221=Parametres!$G$2,$Q221=Parametres!$G$3),I221,C221)</f>
        <v>-7997.95</v>
      </c>
      <c r="O221" s="155">
        <f>+IF(OR($Q221=Parametres!$G$2,$Q221=Parametres!$G$3),J221,D221)</f>
        <v>-11498.85</v>
      </c>
      <c r="P221" s="155">
        <f>+IF(OR($Q221=Parametres!$G$2,$Q221=Parametres!$G$3),K221,E221)</f>
        <v>-19496.8</v>
      </c>
      <c r="Q221" s="154" t="str">
        <f t="shared" si="15"/>
        <v>5-Ventes</v>
      </c>
      <c r="R221" s="153" t="str">
        <f t="shared" si="15"/>
        <v>4595</v>
      </c>
      <c r="S221" s="154">
        <f t="shared" si="15"/>
        <v>0</v>
      </c>
      <c r="T221" s="156" t="str">
        <f>+VLOOKUP($L221,Data_Validation!$A:$D,1,0)</f>
        <v>4595</v>
      </c>
      <c r="U221" s="156" t="str">
        <f>+VLOOKUP($L221,Data_Validation!$A:$D,3,0)</f>
        <v>Carrosserie</v>
      </c>
      <c r="V221" s="156" t="str">
        <f>+VLOOKUP($L221,Data_Validation!$A:$D,4,0)</f>
        <v>M/O Sous-traitement</v>
      </c>
      <c r="W221" s="156" t="str">
        <f>+VLOOKUP($L221,Data_Validation!$A:$E,5,0)</f>
        <v>$</v>
      </c>
      <c r="X221" s="156" t="str">
        <f>+VLOOKUP($L221,Data_Validation!$A:$F,6,0)</f>
        <v>Oui</v>
      </c>
    </row>
    <row r="222" spans="1:24" ht="15" hidden="1" customHeight="1">
      <c r="A222" s="1013" t="s">
        <v>2536</v>
      </c>
      <c r="B222" s="1013" t="s">
        <v>2537</v>
      </c>
      <c r="C222" s="1015"/>
      <c r="D222" s="1015"/>
      <c r="E222" s="1015"/>
      <c r="F222" s="1013" t="s">
        <v>4</v>
      </c>
      <c r="G222" s="1013" t="s">
        <v>2101</v>
      </c>
      <c r="H222" s="1014"/>
      <c r="I222" s="1014">
        <v>-18</v>
      </c>
      <c r="J222" s="1014">
        <v>-16</v>
      </c>
      <c r="K222" s="1014">
        <v>-34</v>
      </c>
      <c r="L222" s="153" t="str">
        <f t="shared" si="0"/>
        <v>4595@</v>
      </c>
      <c r="M222" s="154" t="str">
        <f t="shared" si="1"/>
        <v># DE VTE - S-TRAIT.INTERNE CARR.</v>
      </c>
      <c r="N222" s="155">
        <f>+IF(OR($Q222=Parametres!$G$2,$Q222=Parametres!$G$3),I222,C222)</f>
        <v>-18</v>
      </c>
      <c r="O222" s="155">
        <f>+IF(OR($Q222=Parametres!$G$2,$Q222=Parametres!$G$3),J222,D222)</f>
        <v>-16</v>
      </c>
      <c r="P222" s="155">
        <f>+IF(OR($Q222=Parametres!$G$2,$Q222=Parametres!$G$3),K222,E222)</f>
        <v>-34</v>
      </c>
      <c r="Q222" s="154" t="str">
        <f t="shared" si="15"/>
        <v>10-Compte compteur</v>
      </c>
      <c r="R222" s="153" t="str">
        <f t="shared" si="15"/>
        <v>4595</v>
      </c>
      <c r="S222" s="154">
        <f t="shared" si="15"/>
        <v>0</v>
      </c>
      <c r="T222" s="156" t="str">
        <f>+VLOOKUP($L222,Data_Validation!$A:$D,1,0)</f>
        <v>4595@</v>
      </c>
      <c r="U222" s="156" t="str">
        <f>+VLOOKUP($L222,Data_Validation!$A:$D,3,0)</f>
        <v>Carrosserie</v>
      </c>
      <c r="V222" s="156" t="str">
        <f>+VLOOKUP($L222,Data_Validation!$A:$D,4,0)</f>
        <v>M/O Sous-traitement</v>
      </c>
      <c r="W222" s="156" t="str">
        <f>+VLOOKUP($L222,Data_Validation!$A:$E,5,0)</f>
        <v>NB</v>
      </c>
      <c r="X222" s="156">
        <f>+VLOOKUP($L222,Data_Validation!$A:$F,6,0)</f>
        <v>0</v>
      </c>
    </row>
    <row r="223" spans="1:24" ht="15" hidden="1" customHeight="1">
      <c r="A223" s="1013" t="s">
        <v>2023</v>
      </c>
      <c r="B223" s="1013" t="s">
        <v>2024</v>
      </c>
      <c r="C223" s="1035">
        <v>-94165.85</v>
      </c>
      <c r="D223" s="1035">
        <v>-48094.01</v>
      </c>
      <c r="E223" s="1035">
        <v>-142259.85999999999</v>
      </c>
      <c r="F223" s="1013" t="s">
        <v>285</v>
      </c>
      <c r="G223" s="1013" t="s">
        <v>2024</v>
      </c>
      <c r="H223" s="1014"/>
      <c r="I223" s="1015"/>
      <c r="J223" s="1015"/>
      <c r="K223" s="1015"/>
      <c r="L223" s="153" t="str">
        <f t="shared" si="0"/>
        <v>4701</v>
      </c>
      <c r="M223" s="154" t="str">
        <f t="shared" si="1"/>
        <v>VTE - PIECE/ACC B.R. CLIENT VW</v>
      </c>
      <c r="N223" s="155">
        <f>+IF(OR($Q223=Parametres!$G$2,$Q223=Parametres!$G$3),I223,C223)</f>
        <v>-94165.85</v>
      </c>
      <c r="O223" s="155">
        <f>+IF(OR($Q223=Parametres!$G$2,$Q223=Parametres!$G$3),J223,D223)</f>
        <v>-48094.01</v>
      </c>
      <c r="P223" s="155">
        <f>+IF(OR($Q223=Parametres!$G$2,$Q223=Parametres!$G$3),K223,E223)</f>
        <v>-142259.85999999999</v>
      </c>
      <c r="Q223" s="154" t="str">
        <f t="shared" si="15"/>
        <v>5-Ventes</v>
      </c>
      <c r="R223" s="153" t="str">
        <f t="shared" si="15"/>
        <v>4701</v>
      </c>
      <c r="S223" s="154">
        <f t="shared" si="15"/>
        <v>0</v>
      </c>
      <c r="T223" s="156" t="str">
        <f>+VLOOKUP($L223,Data_Validation!$A:$D,1,0)</f>
        <v>4701</v>
      </c>
      <c r="U223" s="156" t="str">
        <f>+VLOOKUP($L223,Data_Validation!$A:$D,3,0)</f>
        <v>Pièces</v>
      </c>
      <c r="V223" s="156" t="str">
        <f>+VLOOKUP($L223,Data_Validation!$A:$D,4,0)</f>
        <v>Pièces Ro Clients</v>
      </c>
      <c r="W223" s="156" t="str">
        <f>+VLOOKUP($L223,Data_Validation!$A:$E,5,0)</f>
        <v>$</v>
      </c>
      <c r="X223" s="156" t="str">
        <f>+VLOOKUP($L223,Data_Validation!$A:$F,6,0)</f>
        <v>Oui</v>
      </c>
    </row>
    <row r="224" spans="1:24" ht="15" hidden="1" customHeight="1">
      <c r="A224" s="1013" t="s">
        <v>2538</v>
      </c>
      <c r="B224" s="1013" t="s">
        <v>2539</v>
      </c>
      <c r="C224" s="1015"/>
      <c r="D224" s="1015"/>
      <c r="E224" s="1015"/>
      <c r="F224" s="1013" t="s">
        <v>4</v>
      </c>
      <c r="G224" s="1013" t="s">
        <v>2024</v>
      </c>
      <c r="H224" s="1014"/>
      <c r="I224" s="1014">
        <v>-596</v>
      </c>
      <c r="J224" s="1014">
        <v>-324</v>
      </c>
      <c r="K224" s="1014">
        <v>-920</v>
      </c>
      <c r="L224" s="153" t="str">
        <f t="shared" si="0"/>
        <v>4701@</v>
      </c>
      <c r="M224" s="154" t="str">
        <f t="shared" si="1"/>
        <v>PIECES-BON REPARATION- CLIENTS</v>
      </c>
      <c r="N224" s="155">
        <f>+IF(OR($Q224=Parametres!$G$2,$Q224=Parametres!$G$3),I224,C224)</f>
        <v>-596</v>
      </c>
      <c r="O224" s="155">
        <f>+IF(OR($Q224=Parametres!$G$2,$Q224=Parametres!$G$3),J224,D224)</f>
        <v>-324</v>
      </c>
      <c r="P224" s="155">
        <f>+IF(OR($Q224=Parametres!$G$2,$Q224=Parametres!$G$3),K224,E224)</f>
        <v>-920</v>
      </c>
      <c r="Q224" s="154" t="str">
        <f t="shared" si="15"/>
        <v>10-Compte compteur</v>
      </c>
      <c r="R224" s="153" t="str">
        <f t="shared" si="15"/>
        <v>4701</v>
      </c>
      <c r="S224" s="154">
        <f t="shared" si="15"/>
        <v>0</v>
      </c>
      <c r="T224" s="156" t="str">
        <f>+VLOOKUP($L224,Data_Validation!$A:$D,1,0)</f>
        <v>4701@</v>
      </c>
      <c r="U224" s="156" t="str">
        <f>+VLOOKUP($L224,Data_Validation!$A:$D,3,0)</f>
        <v>Pièces</v>
      </c>
      <c r="V224" s="156" t="str">
        <f>+VLOOKUP($L224,Data_Validation!$A:$D,4,0)</f>
        <v>Pièces Ro Clients</v>
      </c>
      <c r="W224" s="156" t="str">
        <f>+VLOOKUP($L224,Data_Validation!$A:$E,5,0)</f>
        <v>NB</v>
      </c>
      <c r="X224" s="156">
        <f>+VLOOKUP($L224,Data_Validation!$A:$F,6,0)</f>
        <v>0</v>
      </c>
    </row>
    <row r="225" spans="1:24" ht="15.75" hidden="1" customHeight="1">
      <c r="A225" s="1013" t="s">
        <v>2043</v>
      </c>
      <c r="B225" s="1013" t="s">
        <v>2044</v>
      </c>
      <c r="C225" s="1035">
        <v>-170422.35</v>
      </c>
      <c r="D225" s="1035">
        <v>-78789.27</v>
      </c>
      <c r="E225" s="1035">
        <v>-249211.62</v>
      </c>
      <c r="F225" s="1013" t="s">
        <v>285</v>
      </c>
      <c r="G225" s="1013" t="s">
        <v>2044</v>
      </c>
      <c r="H225" s="1014"/>
      <c r="I225" s="1015"/>
      <c r="J225" s="1015"/>
      <c r="K225" s="1015"/>
      <c r="L225" s="153" t="str">
        <f t="shared" si="0"/>
        <v>4703</v>
      </c>
      <c r="M225" s="154" t="str">
        <f t="shared" si="1"/>
        <v>VTE - PIECE/ACC B.R. GARANTIE VW</v>
      </c>
      <c r="N225" s="155">
        <f>+IF(OR($Q225=Parametres!$G$2,$Q225=Parametres!$G$3),I225,C225)</f>
        <v>-170422.35</v>
      </c>
      <c r="O225" s="155">
        <f>+IF(OR($Q225=Parametres!$G$2,$Q225=Parametres!$G$3),J225,D225)</f>
        <v>-78789.27</v>
      </c>
      <c r="P225" s="155">
        <f>+IF(OR($Q225=Parametres!$G$2,$Q225=Parametres!$G$3),K225,E225)</f>
        <v>-249211.62</v>
      </c>
      <c r="Q225" s="154" t="str">
        <f t="shared" si="15"/>
        <v>5-Ventes</v>
      </c>
      <c r="R225" s="153" t="str">
        <f t="shared" si="15"/>
        <v>4703</v>
      </c>
      <c r="S225" s="154">
        <f t="shared" si="15"/>
        <v>0</v>
      </c>
      <c r="T225" s="156" t="str">
        <f>+VLOOKUP($L225,Data_Validation!$A:$D,1,0)</f>
        <v>4703</v>
      </c>
      <c r="U225" s="156" t="str">
        <f>+VLOOKUP($L225,Data_Validation!$A:$D,3,0)</f>
        <v>Pièces</v>
      </c>
      <c r="V225" s="156" t="str">
        <f>+VLOOKUP($L225,Data_Validation!$A:$D,4,0)</f>
        <v>P/A Garantie</v>
      </c>
      <c r="W225" s="156" t="str">
        <f>+VLOOKUP($L225,Data_Validation!$A:$E,5,0)</f>
        <v>$</v>
      </c>
      <c r="X225" s="156" t="str">
        <f>+VLOOKUP($L225,Data_Validation!$A:$F,6,0)</f>
        <v>Oui</v>
      </c>
    </row>
    <row r="226" spans="1:24" ht="15" hidden="1" customHeight="1">
      <c r="A226" s="1013" t="s">
        <v>2540</v>
      </c>
      <c r="B226" s="1013" t="s">
        <v>2541</v>
      </c>
      <c r="C226" s="1015"/>
      <c r="D226" s="1015"/>
      <c r="E226" s="1015"/>
      <c r="F226" s="1013" t="s">
        <v>4</v>
      </c>
      <c r="G226" s="1013" t="s">
        <v>2044</v>
      </c>
      <c r="H226" s="1014"/>
      <c r="I226" s="1014">
        <v>-372</v>
      </c>
      <c r="J226" s="1014">
        <v>-218</v>
      </c>
      <c r="K226" s="1014">
        <v>-590</v>
      </c>
      <c r="L226" s="153" t="str">
        <f t="shared" si="0"/>
        <v>4703@</v>
      </c>
      <c r="M226" s="154" t="str">
        <f t="shared" si="1"/>
        <v>PIECES-BON REPARATION-GAR. MAN</v>
      </c>
      <c r="N226" s="155">
        <f>+IF(OR($Q226=Parametres!$G$2,$Q226=Parametres!$G$3),I226,C226)</f>
        <v>-372</v>
      </c>
      <c r="O226" s="155">
        <f>+IF(OR($Q226=Parametres!$G$2,$Q226=Parametres!$G$3),J226,D226)</f>
        <v>-218</v>
      </c>
      <c r="P226" s="155">
        <f>+IF(OR($Q226=Parametres!$G$2,$Q226=Parametres!$G$3),K226,E226)</f>
        <v>-590</v>
      </c>
      <c r="Q226" s="154" t="str">
        <f t="shared" ref="Q226:S241" si="16">+F226</f>
        <v>10-Compte compteur</v>
      </c>
      <c r="R226" s="153" t="str">
        <f t="shared" si="16"/>
        <v>4703</v>
      </c>
      <c r="S226" s="154">
        <f t="shared" si="16"/>
        <v>0</v>
      </c>
      <c r="T226" s="156" t="str">
        <f>+VLOOKUP($L226,Data_Validation!$A:$D,1,0)</f>
        <v>4703@</v>
      </c>
      <c r="U226" s="156" t="str">
        <f>+VLOOKUP($L226,Data_Validation!$A:$D,3,0)</f>
        <v>Pièces</v>
      </c>
      <c r="V226" s="156" t="str">
        <f>+VLOOKUP($L226,Data_Validation!$A:$D,4,0)</f>
        <v>P/A Garantie</v>
      </c>
      <c r="W226" s="156" t="str">
        <f>+VLOOKUP($L226,Data_Validation!$A:$E,5,0)</f>
        <v>NB</v>
      </c>
      <c r="X226" s="156">
        <f>+VLOOKUP($L226,Data_Validation!$A:$F,6,0)</f>
        <v>0</v>
      </c>
    </row>
    <row r="227" spans="1:24" ht="15" hidden="1" customHeight="1">
      <c r="A227" s="1013" t="s">
        <v>2047</v>
      </c>
      <c r="B227" s="1013" t="s">
        <v>2048</v>
      </c>
      <c r="C227" s="1035">
        <v>-67860.97</v>
      </c>
      <c r="D227" s="1035">
        <v>-37983.339999999997</v>
      </c>
      <c r="E227" s="1035">
        <v>-105844.31</v>
      </c>
      <c r="F227" s="1013" t="s">
        <v>285</v>
      </c>
      <c r="G227" s="1013" t="s">
        <v>2048</v>
      </c>
      <c r="H227" s="1014"/>
      <c r="I227" s="1015"/>
      <c r="J227" s="1015"/>
      <c r="K227" s="1015"/>
      <c r="L227" s="153" t="str">
        <f t="shared" si="0"/>
        <v>4705</v>
      </c>
      <c r="M227" s="154" t="str">
        <f t="shared" si="1"/>
        <v>VTE - PIECE/ACC B.R. INTERNE VW</v>
      </c>
      <c r="N227" s="155">
        <f>+IF(OR($Q227=Parametres!$G$2,$Q227=Parametres!$G$3),I227,C227)</f>
        <v>-67860.97</v>
      </c>
      <c r="O227" s="155">
        <f>+IF(OR($Q227=Parametres!$G$2,$Q227=Parametres!$G$3),J227,D227)</f>
        <v>-37983.339999999997</v>
      </c>
      <c r="P227" s="155">
        <f>+IF(OR($Q227=Parametres!$G$2,$Q227=Parametres!$G$3),K227,E227)</f>
        <v>-105844.31</v>
      </c>
      <c r="Q227" s="154" t="str">
        <f t="shared" si="16"/>
        <v>5-Ventes</v>
      </c>
      <c r="R227" s="153" t="str">
        <f t="shared" si="16"/>
        <v>4705</v>
      </c>
      <c r="S227" s="154">
        <f t="shared" si="16"/>
        <v>0</v>
      </c>
      <c r="T227" s="156" t="str">
        <f>+VLOOKUP($L227,Data_Validation!$A:$D,1,0)</f>
        <v>4705</v>
      </c>
      <c r="U227" s="156" t="str">
        <f>+VLOOKUP($L227,Data_Validation!$A:$D,3,0)</f>
        <v>Pièces</v>
      </c>
      <c r="V227" s="156" t="str">
        <f>+VLOOKUP($L227,Data_Validation!$A:$D,4,0)</f>
        <v>Ventes Internes</v>
      </c>
      <c r="W227" s="156" t="str">
        <f>+VLOOKUP($L227,Data_Validation!$A:$E,5,0)</f>
        <v>$</v>
      </c>
      <c r="X227" s="156" t="str">
        <f>+VLOOKUP($L227,Data_Validation!$A:$F,6,0)</f>
        <v>Oui</v>
      </c>
    </row>
    <row r="228" spans="1:24" ht="15" hidden="1" customHeight="1">
      <c r="A228" s="1013" t="s">
        <v>2542</v>
      </c>
      <c r="B228" s="1013" t="s">
        <v>2543</v>
      </c>
      <c r="C228" s="1015"/>
      <c r="D228" s="1015"/>
      <c r="E228" s="1015"/>
      <c r="F228" s="1013" t="s">
        <v>4</v>
      </c>
      <c r="G228" s="1013" t="s">
        <v>2048</v>
      </c>
      <c r="H228" s="1014"/>
      <c r="I228" s="1014">
        <v>-483</v>
      </c>
      <c r="J228" s="1014">
        <v>-260</v>
      </c>
      <c r="K228" s="1014">
        <v>-743</v>
      </c>
      <c r="L228" s="153" t="str">
        <f t="shared" si="0"/>
        <v>4705@</v>
      </c>
      <c r="M228" s="154" t="str">
        <f t="shared" si="1"/>
        <v>PIECES-BON REPARATION - INTERN</v>
      </c>
      <c r="N228" s="155">
        <f>+IF(OR($Q228=Parametres!$G$2,$Q228=Parametres!$G$3),I228,C228)</f>
        <v>-483</v>
      </c>
      <c r="O228" s="155">
        <f>+IF(OR($Q228=Parametres!$G$2,$Q228=Parametres!$G$3),J228,D228)</f>
        <v>-260</v>
      </c>
      <c r="P228" s="155">
        <f>+IF(OR($Q228=Parametres!$G$2,$Q228=Parametres!$G$3),K228,E228)</f>
        <v>-743</v>
      </c>
      <c r="Q228" s="154" t="str">
        <f t="shared" si="16"/>
        <v>10-Compte compteur</v>
      </c>
      <c r="R228" s="153" t="str">
        <f t="shared" si="16"/>
        <v>4705</v>
      </c>
      <c r="S228" s="154">
        <f t="shared" si="16"/>
        <v>0</v>
      </c>
      <c r="T228" s="156" t="str">
        <f>+VLOOKUP($L228,Data_Validation!$A:$D,1,0)</f>
        <v>4705@</v>
      </c>
      <c r="U228" s="156" t="str">
        <f>+VLOOKUP($L228,Data_Validation!$A:$D,3,0)</f>
        <v>Pièces</v>
      </c>
      <c r="V228" s="156" t="str">
        <f>+VLOOKUP($L228,Data_Validation!$A:$D,4,0)</f>
        <v>Ventes Internes</v>
      </c>
      <c r="W228" s="156" t="str">
        <f>+VLOOKUP($L228,Data_Validation!$A:$E,5,0)</f>
        <v>NB</v>
      </c>
      <c r="X228" s="156">
        <f>+VLOOKUP($L228,Data_Validation!$A:$F,6,0)</f>
        <v>0</v>
      </c>
    </row>
    <row r="229" spans="1:24" ht="15.75" hidden="1" customHeight="1">
      <c r="A229" s="1013" t="s">
        <v>2114</v>
      </c>
      <c r="B229" s="1013" t="s">
        <v>2115</v>
      </c>
      <c r="C229" s="1035">
        <v>-5879.15</v>
      </c>
      <c r="D229" s="1035">
        <v>-3975.25</v>
      </c>
      <c r="E229" s="1035">
        <v>-9854.4</v>
      </c>
      <c r="F229" s="1013" t="s">
        <v>285</v>
      </c>
      <c r="G229" s="1013" t="s">
        <v>335</v>
      </c>
      <c r="H229" s="1014"/>
      <c r="I229" s="1015"/>
      <c r="J229" s="1015"/>
      <c r="K229" s="1015"/>
      <c r="L229" s="153" t="str">
        <f t="shared" si="0"/>
        <v>4711</v>
      </c>
      <c r="M229" s="154" t="str">
        <f t="shared" si="1"/>
        <v>VTE - AUTRE PIECE/ACC/CARR B.R. CLIENT</v>
      </c>
      <c r="N229" s="155">
        <f>+IF(OR($Q229=Parametres!$G$2,$Q229=Parametres!$G$3),I229,C229)</f>
        <v>-5879.15</v>
      </c>
      <c r="O229" s="155">
        <f>+IF(OR($Q229=Parametres!$G$2,$Q229=Parametres!$G$3),J229,D229)</f>
        <v>-3975.25</v>
      </c>
      <c r="P229" s="155">
        <f>+IF(OR($Q229=Parametres!$G$2,$Q229=Parametres!$G$3),K229,E229)</f>
        <v>-9854.4</v>
      </c>
      <c r="Q229" s="154" t="str">
        <f t="shared" si="16"/>
        <v>5-Ventes</v>
      </c>
      <c r="R229" s="153" t="str">
        <f t="shared" si="16"/>
        <v>84711</v>
      </c>
      <c r="S229" s="154">
        <f t="shared" si="16"/>
        <v>0</v>
      </c>
      <c r="T229" s="156" t="str">
        <f>+VLOOKUP($L229,Data_Validation!$A:$D,1,0)</f>
        <v>4711</v>
      </c>
      <c r="U229" s="156" t="str">
        <f>+VLOOKUP($L229,Data_Validation!$A:$D,3,0)</f>
        <v>Pièces</v>
      </c>
      <c r="V229" s="156" t="str">
        <f>+VLOOKUP($L229,Data_Validation!$A:$D,4,0)</f>
        <v>Pièces Ro Clients</v>
      </c>
      <c r="W229" s="156" t="str">
        <f>+VLOOKUP($L229,Data_Validation!$A:$E,5,0)</f>
        <v>$</v>
      </c>
      <c r="X229" s="156" t="str">
        <f>+VLOOKUP($L229,Data_Validation!$A:$F,6,0)</f>
        <v>Oui</v>
      </c>
    </row>
    <row r="230" spans="1:24" ht="15" hidden="1" customHeight="1">
      <c r="A230" s="1013" t="s">
        <v>2544</v>
      </c>
      <c r="B230" s="1013" t="s">
        <v>2545</v>
      </c>
      <c r="C230" s="1015"/>
      <c r="D230" s="1015"/>
      <c r="E230" s="1015"/>
      <c r="F230" s="1013" t="s">
        <v>4</v>
      </c>
      <c r="G230" s="1013" t="s">
        <v>335</v>
      </c>
      <c r="H230" s="1014"/>
      <c r="I230" s="1014">
        <v>-108</v>
      </c>
      <c r="J230" s="1014">
        <v>-52</v>
      </c>
      <c r="K230" s="1014">
        <v>-160</v>
      </c>
      <c r="L230" s="153" t="str">
        <f t="shared" si="0"/>
        <v>4711@</v>
      </c>
      <c r="M230" s="154" t="str">
        <f t="shared" si="1"/>
        <v># DE VTE - P&amp;A B.T. CLIENT AUDI</v>
      </c>
      <c r="N230" s="155">
        <f>+IF(OR($Q230=Parametres!$G$2,$Q230=Parametres!$G$3),I230,C230)</f>
        <v>-108</v>
      </c>
      <c r="O230" s="155">
        <f>+IF(OR($Q230=Parametres!$G$2,$Q230=Parametres!$G$3),J230,D230)</f>
        <v>-52</v>
      </c>
      <c r="P230" s="155">
        <f>+IF(OR($Q230=Parametres!$G$2,$Q230=Parametres!$G$3),K230,E230)</f>
        <v>-160</v>
      </c>
      <c r="Q230" s="154" t="str">
        <f t="shared" si="16"/>
        <v>10-Compte compteur</v>
      </c>
      <c r="R230" s="153" t="str">
        <f t="shared" si="16"/>
        <v>84711</v>
      </c>
      <c r="S230" s="154">
        <f t="shared" si="16"/>
        <v>0</v>
      </c>
      <c r="T230" s="156" t="str">
        <f>+VLOOKUP($L230,Data_Validation!$A:$D,1,0)</f>
        <v>4711@</v>
      </c>
      <c r="U230" s="156" t="str">
        <f>+VLOOKUP($L230,Data_Validation!$A:$D,3,0)</f>
        <v>Pièces</v>
      </c>
      <c r="V230" s="156" t="str">
        <f>+VLOOKUP($L230,Data_Validation!$A:$D,4,0)</f>
        <v>Pièces Ro Clients</v>
      </c>
      <c r="W230" s="156" t="str">
        <f>+VLOOKUP($L230,Data_Validation!$A:$E,5,0)</f>
        <v>NB</v>
      </c>
      <c r="X230" s="156">
        <f>+VLOOKUP($L230,Data_Validation!$A:$F,6,0)</f>
        <v>0</v>
      </c>
    </row>
    <row r="231" spans="1:24" ht="15" hidden="1" customHeight="1">
      <c r="A231" s="1013" t="s">
        <v>2114</v>
      </c>
      <c r="B231" s="1013" t="s">
        <v>2445</v>
      </c>
      <c r="C231" s="1035">
        <v>-14570.16</v>
      </c>
      <c r="D231" s="1035">
        <v>-6204.58</v>
      </c>
      <c r="E231" s="1035">
        <v>-20774.740000000002</v>
      </c>
      <c r="F231" s="1013" t="s">
        <v>285</v>
      </c>
      <c r="G231" s="1013" t="s">
        <v>2445</v>
      </c>
      <c r="H231" s="1014"/>
      <c r="I231" s="1015"/>
      <c r="J231" s="1015"/>
      <c r="K231" s="1015"/>
      <c r="L231" s="153" t="str">
        <f t="shared" si="0"/>
        <v>4721</v>
      </c>
      <c r="M231" s="154" t="str">
        <f t="shared" si="1"/>
        <v>VTE - AUTRE PIECE/ACC/CARR B.R. CLIENT</v>
      </c>
      <c r="N231" s="155">
        <f>+IF(OR($Q231=Parametres!$G$2,$Q231=Parametres!$G$3),I231,C231)</f>
        <v>-14570.16</v>
      </c>
      <c r="O231" s="155">
        <f>+IF(OR($Q231=Parametres!$G$2,$Q231=Parametres!$G$3),J231,D231)</f>
        <v>-6204.58</v>
      </c>
      <c r="P231" s="155">
        <f>+IF(OR($Q231=Parametres!$G$2,$Q231=Parametres!$G$3),K231,E231)</f>
        <v>-20774.740000000002</v>
      </c>
      <c r="Q231" s="154" t="str">
        <f t="shared" si="16"/>
        <v>5-Ventes</v>
      </c>
      <c r="R231" s="153" t="str">
        <f t="shared" si="16"/>
        <v>4721</v>
      </c>
      <c r="S231" s="154">
        <f t="shared" si="16"/>
        <v>0</v>
      </c>
      <c r="T231" s="156" t="str">
        <f>+VLOOKUP($L231,Data_Validation!$A:$D,1,0)</f>
        <v>4721</v>
      </c>
      <c r="U231" s="156" t="str">
        <f>+VLOOKUP($L231,Data_Validation!$A:$D,3,0)</f>
        <v>Pièces</v>
      </c>
      <c r="V231" s="156" t="str">
        <f>+VLOOKUP($L231,Data_Validation!$A:$D,4,0)</f>
        <v>Pièces Ro Clients</v>
      </c>
      <c r="W231" s="156" t="str">
        <f>+VLOOKUP($L231,Data_Validation!$A:$E,5,0)</f>
        <v>$</v>
      </c>
      <c r="X231" s="156" t="str">
        <f>+VLOOKUP($L231,Data_Validation!$A:$F,6,0)</f>
        <v>Oui</v>
      </c>
    </row>
    <row r="232" spans="1:24" ht="15" hidden="1" customHeight="1">
      <c r="A232" s="1013" t="s">
        <v>2546</v>
      </c>
      <c r="B232" s="1013" t="s">
        <v>2547</v>
      </c>
      <c r="C232" s="1015"/>
      <c r="D232" s="1015"/>
      <c r="E232" s="1015"/>
      <c r="F232" s="1013" t="s">
        <v>4</v>
      </c>
      <c r="G232" s="1013" t="s">
        <v>2445</v>
      </c>
      <c r="H232" s="1014"/>
      <c r="I232" s="1014">
        <v>-64</v>
      </c>
      <c r="J232" s="1014">
        <v>-15</v>
      </c>
      <c r="K232" s="1014">
        <v>-79</v>
      </c>
      <c r="L232" s="153" t="str">
        <f t="shared" si="0"/>
        <v>4721@</v>
      </c>
      <c r="M232" s="154" t="str">
        <f t="shared" si="1"/>
        <v>AUTRES PIECES&amp;ACCESSOIRE</v>
      </c>
      <c r="N232" s="155">
        <f>+IF(OR($Q232=Parametres!$G$2,$Q232=Parametres!$G$3),I232,C232)</f>
        <v>-64</v>
      </c>
      <c r="O232" s="155">
        <f>+IF(OR($Q232=Parametres!$G$2,$Q232=Parametres!$G$3),J232,D232)</f>
        <v>-15</v>
      </c>
      <c r="P232" s="155">
        <f>+IF(OR($Q232=Parametres!$G$2,$Q232=Parametres!$G$3),K232,E232)</f>
        <v>-79</v>
      </c>
      <c r="Q232" s="154" t="str">
        <f t="shared" si="16"/>
        <v>10-Compte compteur</v>
      </c>
      <c r="R232" s="153" t="str">
        <f t="shared" si="16"/>
        <v>4721</v>
      </c>
      <c r="S232" s="154">
        <f t="shared" si="16"/>
        <v>0</v>
      </c>
      <c r="T232" s="156" t="str">
        <f>+VLOOKUP($L232,Data_Validation!$A:$D,1,0)</f>
        <v>4721@</v>
      </c>
      <c r="U232" s="156" t="str">
        <f>+VLOOKUP($L232,Data_Validation!$A:$D,3,0)</f>
        <v>Pièces</v>
      </c>
      <c r="V232" s="156" t="str">
        <f>+VLOOKUP($L232,Data_Validation!$A:$D,4,0)</f>
        <v>Pièces Ro Clients</v>
      </c>
      <c r="W232" s="156" t="str">
        <f>+VLOOKUP($L232,Data_Validation!$A:$E,5,0)</f>
        <v>NB</v>
      </c>
      <c r="X232" s="156">
        <f>+VLOOKUP($L232,Data_Validation!$A:$F,6,0)</f>
        <v>0</v>
      </c>
    </row>
    <row r="233" spans="1:24" ht="15" hidden="1" customHeight="1">
      <c r="A233" s="1013" t="s">
        <v>2107</v>
      </c>
      <c r="B233" s="1013" t="s">
        <v>2108</v>
      </c>
      <c r="C233" s="1035">
        <v>-49957.46</v>
      </c>
      <c r="D233" s="1035">
        <v>-15171.18</v>
      </c>
      <c r="E233" s="1035">
        <v>-65128.639999999999</v>
      </c>
      <c r="F233" s="1013" t="s">
        <v>285</v>
      </c>
      <c r="G233" s="1013" t="s">
        <v>2108</v>
      </c>
      <c r="H233" s="1014"/>
      <c r="I233" s="1015"/>
      <c r="J233" s="1015"/>
      <c r="K233" s="1015"/>
      <c r="L233" s="153" t="str">
        <f t="shared" si="0"/>
        <v>4731</v>
      </c>
      <c r="M233" s="154" t="str">
        <f t="shared" si="1"/>
        <v>VTE - PIECES-BON REPAR.-PEINT/DEBOS</v>
      </c>
      <c r="N233" s="155">
        <f>+IF(OR($Q233=Parametres!$G$2,$Q233=Parametres!$G$3),I233,C233)</f>
        <v>-49957.46</v>
      </c>
      <c r="O233" s="155">
        <f>+IF(OR($Q233=Parametres!$G$2,$Q233=Parametres!$G$3),J233,D233)</f>
        <v>-15171.18</v>
      </c>
      <c r="P233" s="155">
        <f>+IF(OR($Q233=Parametres!$G$2,$Q233=Parametres!$G$3),K233,E233)</f>
        <v>-65128.639999999999</v>
      </c>
      <c r="Q233" s="154" t="str">
        <f t="shared" si="16"/>
        <v>5-Ventes</v>
      </c>
      <c r="R233" s="153" t="str">
        <f t="shared" si="16"/>
        <v>4731</v>
      </c>
      <c r="S233" s="154">
        <f t="shared" si="16"/>
        <v>0</v>
      </c>
      <c r="T233" s="156" t="str">
        <f>+VLOOKUP($L233,Data_Validation!$A:$D,1,0)</f>
        <v>4731</v>
      </c>
      <c r="U233" s="156" t="str">
        <f>+VLOOKUP($L233,Data_Validation!$A:$D,3,0)</f>
        <v>Pièces</v>
      </c>
      <c r="V233" s="156" t="str">
        <f>+VLOOKUP($L233,Data_Validation!$A:$D,4,0)</f>
        <v>Pièces Ro Carrosserie</v>
      </c>
      <c r="W233" s="156" t="str">
        <f>+VLOOKUP($L233,Data_Validation!$A:$E,5,0)</f>
        <v>$</v>
      </c>
      <c r="X233" s="156" t="str">
        <f>+VLOOKUP($L233,Data_Validation!$A:$F,6,0)</f>
        <v>Oui</v>
      </c>
    </row>
    <row r="234" spans="1:24" ht="15.75" hidden="1" customHeight="1">
      <c r="A234" s="1013" t="s">
        <v>2548</v>
      </c>
      <c r="B234" s="1013" t="s">
        <v>2549</v>
      </c>
      <c r="C234" s="1015"/>
      <c r="D234" s="1015"/>
      <c r="E234" s="1015"/>
      <c r="F234" s="1013" t="s">
        <v>4</v>
      </c>
      <c r="G234" s="1013" t="s">
        <v>2108</v>
      </c>
      <c r="H234" s="1014"/>
      <c r="I234" s="1014">
        <v>-49</v>
      </c>
      <c r="J234" s="1014">
        <v>-23</v>
      </c>
      <c r="K234" s="1014">
        <v>-72</v>
      </c>
      <c r="L234" s="153" t="str">
        <f t="shared" si="0"/>
        <v>4731@</v>
      </c>
      <c r="M234" s="154" t="str">
        <f t="shared" si="1"/>
        <v>PIECES-BON REPAR. PEINT/DEBOS</v>
      </c>
      <c r="N234" s="155">
        <f>+IF(OR($Q234=Parametres!$G$2,$Q234=Parametres!$G$3),I234,C234)</f>
        <v>-49</v>
      </c>
      <c r="O234" s="155">
        <f>+IF(OR($Q234=Parametres!$G$2,$Q234=Parametres!$G$3),J234,D234)</f>
        <v>-23</v>
      </c>
      <c r="P234" s="155">
        <f>+IF(OR($Q234=Parametres!$G$2,$Q234=Parametres!$G$3),K234,E234)</f>
        <v>-72</v>
      </c>
      <c r="Q234" s="154" t="str">
        <f t="shared" si="16"/>
        <v>10-Compte compteur</v>
      </c>
      <c r="R234" s="153" t="str">
        <f t="shared" si="16"/>
        <v>4731</v>
      </c>
      <c r="S234" s="154">
        <f t="shared" si="16"/>
        <v>0</v>
      </c>
      <c r="T234" s="156" t="str">
        <f>+VLOOKUP($L234,Data_Validation!$A:$D,1,0)</f>
        <v>4731@</v>
      </c>
      <c r="U234" s="156" t="str">
        <f>+VLOOKUP($L234,Data_Validation!$A:$D,3,0)</f>
        <v>Pièces</v>
      </c>
      <c r="V234" s="156" t="str">
        <f>+VLOOKUP($L234,Data_Validation!$A:$D,4,0)</f>
        <v>Pièces Ro Carrosserie</v>
      </c>
      <c r="W234" s="156" t="str">
        <f>+VLOOKUP($L234,Data_Validation!$A:$E,5,0)</f>
        <v>NB</v>
      </c>
      <c r="X234" s="156">
        <f>+VLOOKUP($L234,Data_Validation!$A:$F,6,0)</f>
        <v>0</v>
      </c>
    </row>
    <row r="235" spans="1:24" ht="15" hidden="1" customHeight="1">
      <c r="A235" s="1013" t="s">
        <v>2090</v>
      </c>
      <c r="B235" s="1013" t="s">
        <v>2091</v>
      </c>
      <c r="C235" s="1035">
        <v>-85545.32</v>
      </c>
      <c r="D235" s="1035">
        <v>-50038.85</v>
      </c>
      <c r="E235" s="1035">
        <v>-135584.17000000001</v>
      </c>
      <c r="F235" s="1013" t="s">
        <v>285</v>
      </c>
      <c r="G235" s="1013" t="s">
        <v>2091</v>
      </c>
      <c r="H235" s="1014"/>
      <c r="I235" s="1015"/>
      <c r="J235" s="1015"/>
      <c r="K235" s="1015"/>
      <c r="L235" s="153" t="str">
        <f t="shared" si="0"/>
        <v>4733</v>
      </c>
      <c r="M235" s="154" t="str">
        <f t="shared" si="1"/>
        <v>VTE - P&amp;A B.T. GARANTIE CAR.</v>
      </c>
      <c r="N235" s="155">
        <f>+IF(OR($Q235=Parametres!$G$2,$Q235=Parametres!$G$3),I235,C235)</f>
        <v>-85545.32</v>
      </c>
      <c r="O235" s="155">
        <f>+IF(OR($Q235=Parametres!$G$2,$Q235=Parametres!$G$3),J235,D235)</f>
        <v>-50038.85</v>
      </c>
      <c r="P235" s="155">
        <f>+IF(OR($Q235=Parametres!$G$2,$Q235=Parametres!$G$3),K235,E235)</f>
        <v>-135584.17000000001</v>
      </c>
      <c r="Q235" s="154" t="str">
        <f t="shared" si="16"/>
        <v>5-Ventes</v>
      </c>
      <c r="R235" s="153" t="str">
        <f t="shared" si="16"/>
        <v>4733</v>
      </c>
      <c r="S235" s="154">
        <f t="shared" si="16"/>
        <v>0</v>
      </c>
      <c r="T235" s="156" t="str">
        <f>+VLOOKUP($L235,Data_Validation!$A:$D,1,0)</f>
        <v>4733</v>
      </c>
      <c r="U235" s="156" t="str">
        <f>+VLOOKUP($L235,Data_Validation!$A:$D,3,0)</f>
        <v>Pièces</v>
      </c>
      <c r="V235" s="156" t="str">
        <f>+VLOOKUP($L235,Data_Validation!$A:$D,4,0)</f>
        <v>Pièces Ro Carrosserie</v>
      </c>
      <c r="W235" s="156" t="str">
        <f>+VLOOKUP($L235,Data_Validation!$A:$E,5,0)</f>
        <v>$</v>
      </c>
      <c r="X235" s="156" t="str">
        <f>+VLOOKUP($L235,Data_Validation!$A:$F,6,0)</f>
        <v>Oui</v>
      </c>
    </row>
    <row r="236" spans="1:24" ht="15" hidden="1" customHeight="1">
      <c r="A236" s="1013" t="s">
        <v>2550</v>
      </c>
      <c r="B236" s="1013" t="s">
        <v>2551</v>
      </c>
      <c r="C236" s="1015"/>
      <c r="D236" s="1015"/>
      <c r="E236" s="1015"/>
      <c r="F236" s="1013" t="s">
        <v>4</v>
      </c>
      <c r="G236" s="1013" t="s">
        <v>2091</v>
      </c>
      <c r="H236" s="1014"/>
      <c r="I236" s="1014">
        <v>-37</v>
      </c>
      <c r="J236" s="1014">
        <v>-30</v>
      </c>
      <c r="K236" s="1014">
        <v>-67</v>
      </c>
      <c r="L236" s="153" t="str">
        <f t="shared" si="0"/>
        <v>4733@</v>
      </c>
      <c r="M236" s="154" t="str">
        <f t="shared" si="1"/>
        <v># DE VTE - P&amp;A B.T. GARANTIE CARR.</v>
      </c>
      <c r="N236" s="155">
        <f>+IF(OR($Q236=Parametres!$G$2,$Q236=Parametres!$G$3),I236,C236)</f>
        <v>-37</v>
      </c>
      <c r="O236" s="155">
        <f>+IF(OR($Q236=Parametres!$G$2,$Q236=Parametres!$G$3),J236,D236)</f>
        <v>-30</v>
      </c>
      <c r="P236" s="155">
        <f>+IF(OR($Q236=Parametres!$G$2,$Q236=Parametres!$G$3),K236,E236)</f>
        <v>-67</v>
      </c>
      <c r="Q236" s="154" t="str">
        <f t="shared" si="16"/>
        <v>10-Compte compteur</v>
      </c>
      <c r="R236" s="153" t="str">
        <f t="shared" si="16"/>
        <v>4733</v>
      </c>
      <c r="S236" s="154">
        <f t="shared" si="16"/>
        <v>0</v>
      </c>
      <c r="T236" s="156" t="str">
        <f>+VLOOKUP($L236,Data_Validation!$A:$D,1,0)</f>
        <v>4733@</v>
      </c>
      <c r="U236" s="156" t="str">
        <f>+VLOOKUP($L236,Data_Validation!$A:$D,3,0)</f>
        <v>Pièces</v>
      </c>
      <c r="V236" s="156" t="str">
        <f>+VLOOKUP($L236,Data_Validation!$A:$D,4,0)</f>
        <v>Pièces Ro Carrosserie</v>
      </c>
      <c r="W236" s="156" t="str">
        <f>+VLOOKUP($L236,Data_Validation!$A:$E,5,0)</f>
        <v>NB</v>
      </c>
      <c r="X236" s="156">
        <f>+VLOOKUP($L236,Data_Validation!$A:$F,6,0)</f>
        <v>0</v>
      </c>
    </row>
    <row r="237" spans="1:24" ht="15" hidden="1" customHeight="1">
      <c r="A237" s="1013" t="s">
        <v>2165</v>
      </c>
      <c r="B237" s="1013" t="s">
        <v>2166</v>
      </c>
      <c r="C237" s="1035">
        <v>-413.33</v>
      </c>
      <c r="D237" s="1035">
        <v>-3772.61</v>
      </c>
      <c r="E237" s="1035">
        <v>-4185.9399999999996</v>
      </c>
      <c r="F237" s="1013" t="s">
        <v>285</v>
      </c>
      <c r="G237" s="1013" t="s">
        <v>2166</v>
      </c>
      <c r="H237" s="1014"/>
      <c r="I237" s="1015"/>
      <c r="J237" s="1015"/>
      <c r="K237" s="1015"/>
      <c r="L237" s="153" t="str">
        <f t="shared" si="0"/>
        <v>4735</v>
      </c>
      <c r="M237" s="154" t="str">
        <f t="shared" si="1"/>
        <v>VTE - P&amp;A B.T. INTERNE CARROS.</v>
      </c>
      <c r="N237" s="155">
        <f>+IF(OR($Q237=Parametres!$G$2,$Q237=Parametres!$G$3),I237,C237)</f>
        <v>-413.33</v>
      </c>
      <c r="O237" s="155">
        <f>+IF(OR($Q237=Parametres!$G$2,$Q237=Parametres!$G$3),J237,D237)</f>
        <v>-3772.61</v>
      </c>
      <c r="P237" s="155">
        <f>+IF(OR($Q237=Parametres!$G$2,$Q237=Parametres!$G$3),K237,E237)</f>
        <v>-4185.9399999999996</v>
      </c>
      <c r="Q237" s="154" t="str">
        <f t="shared" si="16"/>
        <v>5-Ventes</v>
      </c>
      <c r="R237" s="153" t="str">
        <f t="shared" si="16"/>
        <v>4735</v>
      </c>
      <c r="S237" s="154">
        <f t="shared" si="16"/>
        <v>0</v>
      </c>
      <c r="T237" s="156" t="str">
        <f>+VLOOKUP($L237,Data_Validation!$A:$D,1,0)</f>
        <v>4735</v>
      </c>
      <c r="U237" s="156" t="str">
        <f>+VLOOKUP($L237,Data_Validation!$A:$D,3,0)</f>
        <v>Pièces</v>
      </c>
      <c r="V237" s="156" t="str">
        <f>+VLOOKUP($L237,Data_Validation!$A:$D,4,0)</f>
        <v>Pièces Ro Carrosserie</v>
      </c>
      <c r="W237" s="156" t="str">
        <f>+VLOOKUP($L237,Data_Validation!$A:$E,5,0)</f>
        <v>$</v>
      </c>
      <c r="X237" s="156" t="str">
        <f>+VLOOKUP($L237,Data_Validation!$A:$F,6,0)</f>
        <v>Oui</v>
      </c>
    </row>
    <row r="238" spans="1:24" ht="15.75" hidden="1" customHeight="1">
      <c r="A238" s="1013" t="s">
        <v>2552</v>
      </c>
      <c r="B238" s="1013" t="s">
        <v>2553</v>
      </c>
      <c r="C238" s="1015"/>
      <c r="D238" s="1015"/>
      <c r="E238" s="1015"/>
      <c r="F238" s="1013" t="s">
        <v>4</v>
      </c>
      <c r="G238" s="1013" t="s">
        <v>2166</v>
      </c>
      <c r="H238" s="1014"/>
      <c r="I238" s="1014">
        <v>-3</v>
      </c>
      <c r="J238" s="1014">
        <v>-11</v>
      </c>
      <c r="K238" s="1014">
        <v>-14</v>
      </c>
      <c r="L238" s="153" t="str">
        <f t="shared" si="0"/>
        <v>4735@</v>
      </c>
      <c r="M238" s="154" t="str">
        <f t="shared" si="1"/>
        <v># DE VTE - P&amp;A B.T. INTERNE CARROS.</v>
      </c>
      <c r="N238" s="155">
        <f>+IF(OR($Q238=Parametres!$G$2,$Q238=Parametres!$G$3),I238,C238)</f>
        <v>-3</v>
      </c>
      <c r="O238" s="155">
        <f>+IF(OR($Q238=Parametres!$G$2,$Q238=Parametres!$G$3),J238,D238)</f>
        <v>-11</v>
      </c>
      <c r="P238" s="155">
        <f>+IF(OR($Q238=Parametres!$G$2,$Q238=Parametres!$G$3),K238,E238)</f>
        <v>-14</v>
      </c>
      <c r="Q238" s="154" t="str">
        <f t="shared" si="16"/>
        <v>10-Compte compteur</v>
      </c>
      <c r="R238" s="153" t="str">
        <f t="shared" si="16"/>
        <v>4735</v>
      </c>
      <c r="S238" s="154">
        <f t="shared" si="16"/>
        <v>0</v>
      </c>
      <c r="T238" s="156" t="str">
        <f>+VLOOKUP($L238,Data_Validation!$A:$D,1,0)</f>
        <v>4735@</v>
      </c>
      <c r="U238" s="156" t="str">
        <f>+VLOOKUP($L238,Data_Validation!$A:$D,3,0)</f>
        <v>Pièces</v>
      </c>
      <c r="V238" s="156" t="str">
        <f>+VLOOKUP($L238,Data_Validation!$A:$D,4,0)</f>
        <v>Pièces Ro Carrosserie</v>
      </c>
      <c r="W238" s="156" t="str">
        <f>+VLOOKUP($L238,Data_Validation!$A:$E,5,0)</f>
        <v>NB</v>
      </c>
      <c r="X238" s="156">
        <f>+VLOOKUP($L238,Data_Validation!$A:$F,6,0)</f>
        <v>0</v>
      </c>
    </row>
    <row r="239" spans="1:24" ht="15" hidden="1" customHeight="1">
      <c r="A239" s="1013" t="s">
        <v>2082</v>
      </c>
      <c r="B239" s="1013" t="s">
        <v>2083</v>
      </c>
      <c r="C239" s="1035">
        <v>-18895.669999999998</v>
      </c>
      <c r="D239" s="1035">
        <v>-10307.56</v>
      </c>
      <c r="E239" s="1035">
        <v>-29203.23</v>
      </c>
      <c r="F239" s="1013" t="s">
        <v>285</v>
      </c>
      <c r="G239" s="1013" t="s">
        <v>2083</v>
      </c>
      <c r="H239" s="1014"/>
      <c r="I239" s="1015"/>
      <c r="J239" s="1015"/>
      <c r="K239" s="1015"/>
      <c r="L239" s="153" t="str">
        <f t="shared" si="0"/>
        <v>4761</v>
      </c>
      <c r="M239" s="154" t="str">
        <f t="shared" si="1"/>
        <v>VTE - P&amp;A VW COMPTOIR - DETAIL</v>
      </c>
      <c r="N239" s="155">
        <f>+IF(OR($Q239=Parametres!$G$2,$Q239=Parametres!$G$3),I239,C239)</f>
        <v>-18895.669999999998</v>
      </c>
      <c r="O239" s="155">
        <f>+IF(OR($Q239=Parametres!$G$2,$Q239=Parametres!$G$3),J239,D239)</f>
        <v>-10307.56</v>
      </c>
      <c r="P239" s="155">
        <f>+IF(OR($Q239=Parametres!$G$2,$Q239=Parametres!$G$3),K239,E239)</f>
        <v>-29203.23</v>
      </c>
      <c r="Q239" s="154" t="str">
        <f t="shared" si="16"/>
        <v>5-Ventes</v>
      </c>
      <c r="R239" s="153" t="str">
        <f t="shared" si="16"/>
        <v>4761</v>
      </c>
      <c r="S239" s="154">
        <f t="shared" si="16"/>
        <v>0</v>
      </c>
      <c r="T239" s="156" t="str">
        <f>+VLOOKUP($L239,Data_Validation!$A:$D,1,0)</f>
        <v>4761</v>
      </c>
      <c r="U239" s="156" t="str">
        <f>+VLOOKUP($L239,Data_Validation!$A:$D,3,0)</f>
        <v>Pièces</v>
      </c>
      <c r="V239" s="156" t="str">
        <f>+VLOOKUP($L239,Data_Validation!$A:$D,4,0)</f>
        <v>Ventes Détails</v>
      </c>
      <c r="W239" s="156" t="str">
        <f>+VLOOKUP($L239,Data_Validation!$A:$E,5,0)</f>
        <v>$</v>
      </c>
      <c r="X239" s="156" t="str">
        <f>+VLOOKUP($L239,Data_Validation!$A:$F,6,0)</f>
        <v>Oui</v>
      </c>
    </row>
    <row r="240" spans="1:24" ht="15" hidden="1" customHeight="1">
      <c r="A240" s="1013" t="s">
        <v>2554</v>
      </c>
      <c r="B240" s="1013" t="s">
        <v>2555</v>
      </c>
      <c r="C240" s="1015"/>
      <c r="D240" s="1015"/>
      <c r="E240" s="1015"/>
      <c r="F240" s="1013" t="s">
        <v>4</v>
      </c>
      <c r="G240" s="1013" t="s">
        <v>2083</v>
      </c>
      <c r="H240" s="1014"/>
      <c r="I240" s="1014">
        <v>-341</v>
      </c>
      <c r="J240" s="1014">
        <v>-173</v>
      </c>
      <c r="K240" s="1014">
        <v>-514</v>
      </c>
      <c r="L240" s="153" t="str">
        <f t="shared" si="0"/>
        <v>4761@</v>
      </c>
      <c r="M240" s="154" t="str">
        <f t="shared" si="1"/>
        <v>PIECES-COMPTOIR-DETAIL</v>
      </c>
      <c r="N240" s="155">
        <f>+IF(OR($Q240=Parametres!$G$2,$Q240=Parametres!$G$3),I240,C240)</f>
        <v>-341</v>
      </c>
      <c r="O240" s="155">
        <f>+IF(OR($Q240=Parametres!$G$2,$Q240=Parametres!$G$3),J240,D240)</f>
        <v>-173</v>
      </c>
      <c r="P240" s="155">
        <f>+IF(OR($Q240=Parametres!$G$2,$Q240=Parametres!$G$3),K240,E240)</f>
        <v>-514</v>
      </c>
      <c r="Q240" s="154" t="str">
        <f t="shared" si="16"/>
        <v>10-Compte compteur</v>
      </c>
      <c r="R240" s="153" t="str">
        <f t="shared" si="16"/>
        <v>4761</v>
      </c>
      <c r="S240" s="154">
        <f t="shared" si="16"/>
        <v>0</v>
      </c>
      <c r="T240" s="156" t="str">
        <f>+VLOOKUP($L240,Data_Validation!$A:$D,1,0)</f>
        <v>4761@</v>
      </c>
      <c r="U240" s="156" t="str">
        <f>+VLOOKUP($L240,Data_Validation!$A:$D,3,0)</f>
        <v>Pièces</v>
      </c>
      <c r="V240" s="156" t="str">
        <f>+VLOOKUP($L240,Data_Validation!$A:$D,4,0)</f>
        <v>Ventes Détails</v>
      </c>
      <c r="W240" s="156" t="str">
        <f>+VLOOKUP($L240,Data_Validation!$A:$E,5,0)</f>
        <v>NB</v>
      </c>
      <c r="X240" s="156">
        <f>+VLOOKUP($L240,Data_Validation!$A:$F,6,0)</f>
        <v>0</v>
      </c>
    </row>
    <row r="241" spans="1:24" ht="15" hidden="1" customHeight="1">
      <c r="A241" s="1013" t="s">
        <v>2045</v>
      </c>
      <c r="B241" s="1013" t="s">
        <v>2046</v>
      </c>
      <c r="C241" s="1015">
        <v>-95258.45</v>
      </c>
      <c r="D241" s="1015">
        <v>-46810.51</v>
      </c>
      <c r="E241" s="1015">
        <v>-142068.96</v>
      </c>
      <c r="F241" s="1013" t="s">
        <v>285</v>
      </c>
      <c r="G241" s="1013" t="s">
        <v>2046</v>
      </c>
      <c r="H241" s="949"/>
      <c r="I241" s="948"/>
      <c r="J241" s="948"/>
      <c r="K241" s="948"/>
      <c r="L241" s="153" t="str">
        <f t="shared" si="0"/>
        <v>4763</v>
      </c>
      <c r="M241" s="154" t="str">
        <f t="shared" si="1"/>
        <v>VTE - P&amp;A VW COMPTOIR GROS - ECHANGE</v>
      </c>
      <c r="N241" s="155">
        <f>+IF(OR($Q241=Parametres!$G$2,$Q241=Parametres!$G$3),I241,C241)</f>
        <v>-95258.45</v>
      </c>
      <c r="O241" s="155">
        <f>+IF(OR($Q241=Parametres!$G$2,$Q241=Parametres!$G$3),J241,D241)</f>
        <v>-46810.51</v>
      </c>
      <c r="P241" s="155">
        <f>+IF(OR($Q241=Parametres!$G$2,$Q241=Parametres!$G$3),K241,E241)</f>
        <v>-142068.96</v>
      </c>
      <c r="Q241" s="154" t="str">
        <f t="shared" si="16"/>
        <v>5-Ventes</v>
      </c>
      <c r="R241" s="153" t="str">
        <f t="shared" si="16"/>
        <v>4763</v>
      </c>
      <c r="S241" s="154">
        <f t="shared" si="16"/>
        <v>0</v>
      </c>
      <c r="T241" s="156" t="str">
        <f>+VLOOKUP($L241,Data_Validation!$A:$D,1,0)</f>
        <v>4763</v>
      </c>
      <c r="U241" s="156" t="str">
        <f>+VLOOKUP($L241,Data_Validation!$A:$D,3,0)</f>
        <v>Pièces</v>
      </c>
      <c r="V241" s="156" t="str">
        <f>+VLOOKUP($L241,Data_Validation!$A:$D,4,0)</f>
        <v>Ventes de Gros</v>
      </c>
      <c r="W241" s="156" t="str">
        <f>+VLOOKUP($L241,Data_Validation!$A:$E,5,0)</f>
        <v>$</v>
      </c>
      <c r="X241" s="156" t="str">
        <f>+VLOOKUP($L241,Data_Validation!$A:$F,6,0)</f>
        <v>Oui</v>
      </c>
    </row>
    <row r="242" spans="1:24" ht="15" hidden="1" customHeight="1">
      <c r="A242" s="1013" t="s">
        <v>2556</v>
      </c>
      <c r="B242" s="1013" t="s">
        <v>2557</v>
      </c>
      <c r="C242" s="1015"/>
      <c r="D242" s="1015"/>
      <c r="E242" s="1015"/>
      <c r="F242" s="1013" t="s">
        <v>4</v>
      </c>
      <c r="G242" s="1013" t="s">
        <v>2046</v>
      </c>
      <c r="H242" s="949"/>
      <c r="I242" s="948">
        <v>-388</v>
      </c>
      <c r="J242" s="948">
        <v>-200</v>
      </c>
      <c r="K242" s="948">
        <v>-588</v>
      </c>
      <c r="L242" s="153" t="str">
        <f t="shared" si="0"/>
        <v>4763@</v>
      </c>
      <c r="M242" s="154" t="str">
        <f t="shared" si="1"/>
        <v>PIECES-COMPTOIR-COMM. GROS</v>
      </c>
      <c r="N242" s="155">
        <f>+IF(OR($Q242=Parametres!$G$2,$Q242=Parametres!$G$3),I242,C242)</f>
        <v>-388</v>
      </c>
      <c r="O242" s="155">
        <f>+IF(OR($Q242=Parametres!$G$2,$Q242=Parametres!$G$3),J242,D242)</f>
        <v>-200</v>
      </c>
      <c r="P242" s="155">
        <f>+IF(OR($Q242=Parametres!$G$2,$Q242=Parametres!$G$3),K242,E242)</f>
        <v>-588</v>
      </c>
      <c r="Q242" s="154" t="str">
        <f t="shared" ref="Q242:S257" si="17">+F242</f>
        <v>10-Compte compteur</v>
      </c>
      <c r="R242" s="153" t="str">
        <f t="shared" si="17"/>
        <v>4763</v>
      </c>
      <c r="S242" s="154">
        <f t="shared" si="17"/>
        <v>0</v>
      </c>
      <c r="T242" s="156" t="str">
        <f>+VLOOKUP($L242,Data_Validation!$A:$D,1,0)</f>
        <v>4763@</v>
      </c>
      <c r="U242" s="156" t="str">
        <f>+VLOOKUP($L242,Data_Validation!$A:$D,3,0)</f>
        <v>Pièces</v>
      </c>
      <c r="V242" s="156" t="str">
        <f>+VLOOKUP($L242,Data_Validation!$A:$D,4,0)</f>
        <v>Ventes de Gros</v>
      </c>
      <c r="W242" s="156" t="str">
        <f>+VLOOKUP($L242,Data_Validation!$A:$E,5,0)</f>
        <v>NB</v>
      </c>
      <c r="X242" s="156">
        <f>+VLOOKUP($L242,Data_Validation!$A:$F,6,0)</f>
        <v>0</v>
      </c>
    </row>
    <row r="243" spans="1:24" ht="15.75" hidden="1" customHeight="1">
      <c r="A243" s="1013" t="s">
        <v>2034</v>
      </c>
      <c r="B243" s="1013" t="s">
        <v>2035</v>
      </c>
      <c r="C243" s="1015">
        <v>-90240.15</v>
      </c>
      <c r="D243" s="1015">
        <v>-29192.35</v>
      </c>
      <c r="E243" s="1015">
        <v>-119432.5</v>
      </c>
      <c r="F243" s="1013" t="s">
        <v>285</v>
      </c>
      <c r="G243" s="1013" t="s">
        <v>2035</v>
      </c>
      <c r="H243" s="949"/>
      <c r="I243" s="948"/>
      <c r="J243" s="948"/>
      <c r="K243" s="948"/>
      <c r="L243" s="153" t="str">
        <f t="shared" si="0"/>
        <v>4781</v>
      </c>
      <c r="M243" s="154" t="str">
        <f t="shared" si="1"/>
        <v>VENTES PNEUS</v>
      </c>
      <c r="N243" s="155">
        <f>+IF(OR($Q243=Parametres!$G$2,$Q243=Parametres!$G$3),I243,C243)</f>
        <v>-90240.15</v>
      </c>
      <c r="O243" s="155">
        <f>+IF(OR($Q243=Parametres!$G$2,$Q243=Parametres!$G$3),J243,D243)</f>
        <v>-29192.35</v>
      </c>
      <c r="P243" s="155">
        <f>+IF(OR($Q243=Parametres!$G$2,$Q243=Parametres!$G$3),K243,E243)</f>
        <v>-119432.5</v>
      </c>
      <c r="Q243" s="154" t="str">
        <f t="shared" si="17"/>
        <v>5-Ventes</v>
      </c>
      <c r="R243" s="153" t="str">
        <f t="shared" si="17"/>
        <v>4781</v>
      </c>
      <c r="S243" s="154">
        <f t="shared" si="17"/>
        <v>0</v>
      </c>
      <c r="T243" s="156" t="str">
        <f>+VLOOKUP($L243,Data_Validation!$A:$D,1,0)</f>
        <v>4781</v>
      </c>
      <c r="U243" s="156" t="str">
        <f>+VLOOKUP($L243,Data_Validation!$A:$D,3,0)</f>
        <v>Pièces</v>
      </c>
      <c r="V243" s="156" t="str">
        <f>+VLOOKUP($L243,Data_Validation!$A:$D,4,0)</f>
        <v>Ventes Pneus</v>
      </c>
      <c r="W243" s="156" t="str">
        <f>+VLOOKUP($L243,Data_Validation!$A:$E,5,0)</f>
        <v>$</v>
      </c>
      <c r="X243" s="156" t="str">
        <f>+VLOOKUP($L243,Data_Validation!$A:$F,6,0)</f>
        <v>Oui</v>
      </c>
    </row>
    <row r="244" spans="1:24" ht="15" hidden="1" customHeight="1">
      <c r="A244" s="1013" t="s">
        <v>2034</v>
      </c>
      <c r="B244" s="1013" t="s">
        <v>2558</v>
      </c>
      <c r="C244" s="1015"/>
      <c r="D244" s="1015"/>
      <c r="E244" s="1015"/>
      <c r="F244" s="1013" t="s">
        <v>4</v>
      </c>
      <c r="G244" s="1013" t="s">
        <v>2035</v>
      </c>
      <c r="H244" s="949"/>
      <c r="I244" s="948">
        <v>-147</v>
      </c>
      <c r="J244" s="948">
        <v>-48</v>
      </c>
      <c r="K244" s="948">
        <v>-195</v>
      </c>
      <c r="L244" s="153" t="str">
        <f t="shared" si="0"/>
        <v>4781@</v>
      </c>
      <c r="M244" s="154" t="str">
        <f t="shared" si="1"/>
        <v>VENTES PNEUS</v>
      </c>
      <c r="N244" s="155">
        <f>+IF(OR($Q244=Parametres!$G$2,$Q244=Parametres!$G$3),I244,C244)</f>
        <v>-147</v>
      </c>
      <c r="O244" s="155">
        <f>+IF(OR($Q244=Parametres!$G$2,$Q244=Parametres!$G$3),J244,D244)</f>
        <v>-48</v>
      </c>
      <c r="P244" s="155">
        <f>+IF(OR($Q244=Parametres!$G$2,$Q244=Parametres!$G$3),K244,E244)</f>
        <v>-195</v>
      </c>
      <c r="Q244" s="154" t="str">
        <f t="shared" si="17"/>
        <v>10-Compte compteur</v>
      </c>
      <c r="R244" s="153" t="str">
        <f t="shared" si="17"/>
        <v>4781</v>
      </c>
      <c r="S244" s="154">
        <f t="shared" si="17"/>
        <v>0</v>
      </c>
      <c r="T244" s="156" t="str">
        <f>+VLOOKUP($L244,Data_Validation!$A:$D,1,0)</f>
        <v>4781@</v>
      </c>
      <c r="U244" s="156" t="str">
        <f>+VLOOKUP($L244,Data_Validation!$A:$D,3,0)</f>
        <v>Pièces</v>
      </c>
      <c r="V244" s="156" t="str">
        <f>+VLOOKUP($L244,Data_Validation!$A:$D,4,0)</f>
        <v>Ventes Pneus</v>
      </c>
      <c r="W244" s="156" t="str">
        <f>+VLOOKUP($L244,Data_Validation!$A:$E,5,0)</f>
        <v>NB</v>
      </c>
      <c r="X244" s="156">
        <f>+VLOOKUP($L244,Data_Validation!$A:$F,6,0)</f>
        <v>0</v>
      </c>
    </row>
    <row r="245" spans="1:24" ht="15" hidden="1" customHeight="1">
      <c r="A245" s="1013" t="s">
        <v>2120</v>
      </c>
      <c r="B245" s="1013" t="s">
        <v>2121</v>
      </c>
      <c r="C245" s="1015">
        <v>-483</v>
      </c>
      <c r="D245" s="1015">
        <v>-337.79</v>
      </c>
      <c r="E245" s="1015">
        <v>-820.79</v>
      </c>
      <c r="F245" s="1013" t="s">
        <v>285</v>
      </c>
      <c r="G245" s="1013" t="s">
        <v>2035</v>
      </c>
      <c r="H245" s="949"/>
      <c r="I245" s="948"/>
      <c r="J245" s="948"/>
      <c r="K245" s="948"/>
      <c r="L245" s="153" t="str">
        <f t="shared" si="0"/>
        <v>4785</v>
      </c>
      <c r="M245" s="154" t="str">
        <f t="shared" si="1"/>
        <v>VTE - VW PNEUS</v>
      </c>
      <c r="N245" s="155">
        <f>+IF(OR($Q245=Parametres!$G$2,$Q245=Parametres!$G$3),I245,C245)</f>
        <v>-483</v>
      </c>
      <c r="O245" s="155">
        <f>+IF(OR($Q245=Parametres!$G$2,$Q245=Parametres!$G$3),J245,D245)</f>
        <v>-337.79</v>
      </c>
      <c r="P245" s="155">
        <f>+IF(OR($Q245=Parametres!$G$2,$Q245=Parametres!$G$3),K245,E245)</f>
        <v>-820.79</v>
      </c>
      <c r="Q245" s="154" t="str">
        <f t="shared" si="17"/>
        <v>5-Ventes</v>
      </c>
      <c r="R245" s="153" t="str">
        <f t="shared" si="17"/>
        <v>4781</v>
      </c>
      <c r="S245" s="154">
        <f t="shared" si="17"/>
        <v>0</v>
      </c>
      <c r="T245" s="156" t="str">
        <f>+VLOOKUP($L245,Data_Validation!$A:$D,1,0)</f>
        <v>4785</v>
      </c>
      <c r="U245" s="156" t="str">
        <f>+VLOOKUP($L245,Data_Validation!$A:$D,3,0)</f>
        <v>Pièces</v>
      </c>
      <c r="V245" s="156" t="str">
        <f>+VLOOKUP($L245,Data_Validation!$A:$D,4,0)</f>
        <v>Ventes Pneus</v>
      </c>
      <c r="W245" s="156" t="str">
        <f>+VLOOKUP($L245,Data_Validation!$A:$E,5,0)</f>
        <v>$</v>
      </c>
      <c r="X245" s="156" t="str">
        <f>+VLOOKUP($L245,Data_Validation!$A:$F,6,0)</f>
        <v>Oui</v>
      </c>
    </row>
    <row r="246" spans="1:24" ht="15" hidden="1" customHeight="1">
      <c r="A246" s="1013" t="s">
        <v>2840</v>
      </c>
      <c r="B246" s="1013" t="s">
        <v>2841</v>
      </c>
      <c r="C246" s="1015">
        <v>13112</v>
      </c>
      <c r="D246" s="1015">
        <v>156252.5</v>
      </c>
      <c r="E246" s="1015">
        <v>169364.5</v>
      </c>
      <c r="F246" s="1013" t="s">
        <v>424</v>
      </c>
      <c r="G246" s="1013" t="s">
        <v>2026</v>
      </c>
      <c r="H246" s="949"/>
      <c r="I246" s="948"/>
      <c r="J246" s="948"/>
      <c r="K246" s="948"/>
      <c r="L246" s="153" t="str">
        <f t="shared" si="0"/>
        <v>5100</v>
      </c>
      <c r="M246" s="154" t="str">
        <f t="shared" si="1"/>
        <v>C/V - RACHAT DE BAIL</v>
      </c>
      <c r="N246" s="155">
        <f>+IF(OR($Q246=Parametres!$G$2,$Q246=Parametres!$G$3),I246,C246)</f>
        <v>13112</v>
      </c>
      <c r="O246" s="155">
        <f>+IF(OR($Q246=Parametres!$G$2,$Q246=Parametres!$G$3),J246,D246)</f>
        <v>156252.5</v>
      </c>
      <c r="P246" s="155">
        <f>+IF(OR($Q246=Parametres!$G$2,$Q246=Parametres!$G$3),K246,E246)</f>
        <v>169364.5</v>
      </c>
      <c r="Q246" s="154" t="str">
        <f t="shared" si="17"/>
        <v>6-Coût des ventes</v>
      </c>
      <c r="R246" s="153" t="str">
        <f t="shared" si="17"/>
        <v>4100</v>
      </c>
      <c r="S246" s="154">
        <f t="shared" si="17"/>
        <v>0</v>
      </c>
      <c r="T246" s="156" t="str">
        <f>+VLOOKUP($L246,Data_Validation!$A:$D,1,0)</f>
        <v>5100</v>
      </c>
      <c r="U246" s="156" t="str">
        <f>+VLOOKUP($L246,Data_Validation!$A:$D,3,0)</f>
        <v>Véhicules neufs</v>
      </c>
      <c r="V246" s="156" t="str">
        <f>+VLOOKUP($L246,Data_Validation!$A:$D,4,0)</f>
        <v>Rachat bail</v>
      </c>
      <c r="W246" s="156" t="str">
        <f>+VLOOKUP($L246,Data_Validation!$A:$E,5,0)</f>
        <v>$</v>
      </c>
      <c r="X246" s="156">
        <f>+VLOOKUP($L246,Data_Validation!$A:$F,6,0)</f>
        <v>0</v>
      </c>
    </row>
    <row r="247" spans="1:24" ht="15.75" hidden="1" customHeight="1">
      <c r="A247" s="1013" t="s">
        <v>2446</v>
      </c>
      <c r="B247" s="1013" t="s">
        <v>2447</v>
      </c>
      <c r="C247" s="1015">
        <v>95694.15</v>
      </c>
      <c r="D247" s="1015">
        <v>102237.06</v>
      </c>
      <c r="E247" s="1015">
        <v>197931.21</v>
      </c>
      <c r="F247" s="1013" t="s">
        <v>424</v>
      </c>
      <c r="G247" s="1013" t="s">
        <v>2432</v>
      </c>
      <c r="H247" s="949"/>
      <c r="I247" s="948"/>
      <c r="J247" s="948"/>
      <c r="K247" s="948"/>
      <c r="L247" s="153" t="str">
        <f t="shared" si="0"/>
        <v>5101</v>
      </c>
      <c r="M247" s="154" t="str">
        <f t="shared" si="1"/>
        <v>C/V - NEW BEETLE</v>
      </c>
      <c r="N247" s="155">
        <f>+IF(OR($Q247=Parametres!$G$2,$Q247=Parametres!$G$3),I247,C247)</f>
        <v>95694.15</v>
      </c>
      <c r="O247" s="155">
        <f>+IF(OR($Q247=Parametres!$G$2,$Q247=Parametres!$G$3),J247,D247)</f>
        <v>102237.06</v>
      </c>
      <c r="P247" s="155">
        <f>+IF(OR($Q247=Parametres!$G$2,$Q247=Parametres!$G$3),K247,E247)</f>
        <v>197931.21</v>
      </c>
      <c r="Q247" s="154" t="str">
        <f t="shared" si="17"/>
        <v>6-Coût des ventes</v>
      </c>
      <c r="R247" s="153" t="str">
        <f t="shared" si="17"/>
        <v>4101</v>
      </c>
      <c r="S247" s="154">
        <f t="shared" si="17"/>
        <v>0</v>
      </c>
      <c r="T247" s="156" t="str">
        <f>+VLOOKUP($L247,Data_Validation!$A:$D,1,0)</f>
        <v>5101</v>
      </c>
      <c r="U247" s="156" t="str">
        <f>+VLOOKUP($L247,Data_Validation!$A:$D,3,0)</f>
        <v>Véhicules neufs</v>
      </c>
      <c r="V247" s="156" t="str">
        <f>+VLOOKUP($L247,Data_Validation!$A:$D,4,0)</f>
        <v>Autos détail</v>
      </c>
      <c r="W247" s="156" t="str">
        <f>+VLOOKUP($L247,Data_Validation!$A:$E,5,0)</f>
        <v>$</v>
      </c>
      <c r="X247" s="156">
        <f>+VLOOKUP($L247,Data_Validation!$A:$F,6,0)</f>
        <v>0</v>
      </c>
    </row>
    <row r="248" spans="1:24" ht="15" hidden="1" customHeight="1">
      <c r="A248" s="1013" t="s">
        <v>2842</v>
      </c>
      <c r="B248" s="1013" t="s">
        <v>2843</v>
      </c>
      <c r="C248" s="1015">
        <v>329855.57</v>
      </c>
      <c r="D248" s="1015">
        <v>265835.18</v>
      </c>
      <c r="E248" s="1015">
        <v>595690.75</v>
      </c>
      <c r="F248" s="1013" t="s">
        <v>424</v>
      </c>
      <c r="G248" s="1013" t="s">
        <v>2019</v>
      </c>
      <c r="H248" s="949"/>
      <c r="I248" s="948"/>
      <c r="J248" s="948"/>
      <c r="K248" s="948"/>
      <c r="L248" s="153" t="str">
        <f t="shared" si="0"/>
        <v>5107</v>
      </c>
      <c r="M248" s="154" t="str">
        <f t="shared" si="1"/>
        <v>C/V - GOLF</v>
      </c>
      <c r="N248" s="155">
        <f>+IF(OR($Q248=Parametres!$G$2,$Q248=Parametres!$G$3),I248,C248)</f>
        <v>329855.57</v>
      </c>
      <c r="O248" s="155">
        <f>+IF(OR($Q248=Parametres!$G$2,$Q248=Parametres!$G$3),J248,D248)</f>
        <v>265835.18</v>
      </c>
      <c r="P248" s="155">
        <f>+IF(OR($Q248=Parametres!$G$2,$Q248=Parametres!$G$3),K248,E248)</f>
        <v>595690.75</v>
      </c>
      <c r="Q248" s="154" t="str">
        <f t="shared" si="17"/>
        <v>6-Coût des ventes</v>
      </c>
      <c r="R248" s="153" t="str">
        <f t="shared" si="17"/>
        <v>4107</v>
      </c>
      <c r="S248" s="154">
        <f t="shared" si="17"/>
        <v>0</v>
      </c>
      <c r="T248" s="156" t="str">
        <f>+VLOOKUP($L248,Data_Validation!$A:$D,1,0)</f>
        <v>5107</v>
      </c>
      <c r="U248" s="156" t="str">
        <f>+VLOOKUP($L248,Data_Validation!$A:$D,3,0)</f>
        <v>Véhicules neufs</v>
      </c>
      <c r="V248" s="156" t="str">
        <f>+VLOOKUP($L248,Data_Validation!$A:$D,4,0)</f>
        <v>Autos détail</v>
      </c>
      <c r="W248" s="156" t="str">
        <f>+VLOOKUP($L248,Data_Validation!$A:$E,5,0)</f>
        <v>$</v>
      </c>
      <c r="X248" s="156">
        <f>+VLOOKUP($L248,Data_Validation!$A:$F,6,0)</f>
        <v>0</v>
      </c>
    </row>
    <row r="249" spans="1:24" ht="15" hidden="1" customHeight="1">
      <c r="A249" s="1013" t="s">
        <v>2450</v>
      </c>
      <c r="B249" s="1013" t="s">
        <v>2451</v>
      </c>
      <c r="C249" s="1015">
        <v>216760.14</v>
      </c>
      <c r="D249" s="1015">
        <v>0</v>
      </c>
      <c r="E249" s="1015">
        <v>216760.14</v>
      </c>
      <c r="F249" s="1013" t="s">
        <v>424</v>
      </c>
      <c r="G249" s="1013" t="s">
        <v>2436</v>
      </c>
      <c r="H249" s="949"/>
      <c r="I249" s="948"/>
      <c r="J249" s="948"/>
      <c r="K249" s="948"/>
      <c r="L249" s="153" t="str">
        <f t="shared" si="0"/>
        <v>5109</v>
      </c>
      <c r="M249" s="154" t="str">
        <f t="shared" si="1"/>
        <v>C/V - GOLF R</v>
      </c>
      <c r="N249" s="155">
        <f>+IF(OR($Q249=Parametres!$G$2,$Q249=Parametres!$G$3),I249,C249)</f>
        <v>216760.14</v>
      </c>
      <c r="O249" s="155">
        <f>+IF(OR($Q249=Parametres!$G$2,$Q249=Parametres!$G$3),J249,D249)</f>
        <v>0</v>
      </c>
      <c r="P249" s="155">
        <f>+IF(OR($Q249=Parametres!$G$2,$Q249=Parametres!$G$3),K249,E249)</f>
        <v>216760.14</v>
      </c>
      <c r="Q249" s="154" t="str">
        <f t="shared" si="17"/>
        <v>6-Coût des ventes</v>
      </c>
      <c r="R249" s="153" t="str">
        <f t="shared" si="17"/>
        <v>4109</v>
      </c>
      <c r="S249" s="154">
        <f t="shared" si="17"/>
        <v>0</v>
      </c>
      <c r="T249" s="156" t="str">
        <f>+VLOOKUP($L249,Data_Validation!$A:$D,1,0)</f>
        <v>5109</v>
      </c>
      <c r="U249" s="156" t="str">
        <f>+VLOOKUP($L249,Data_Validation!$A:$D,3,0)</f>
        <v>Véhicules neufs</v>
      </c>
      <c r="V249" s="156" t="str">
        <f>+VLOOKUP($L249,Data_Validation!$A:$D,4,0)</f>
        <v>Autos détail</v>
      </c>
      <c r="W249" s="156" t="str">
        <f>+VLOOKUP($L249,Data_Validation!$A:$E,5,0)</f>
        <v>$</v>
      </c>
      <c r="X249" s="156">
        <f>+VLOOKUP($L249,Data_Validation!$A:$F,6,0)</f>
        <v>0</v>
      </c>
    </row>
    <row r="250" spans="1:24" ht="15" hidden="1" customHeight="1">
      <c r="A250" s="1013" t="s">
        <v>2844</v>
      </c>
      <c r="B250" s="1013" t="s">
        <v>2845</v>
      </c>
      <c r="C250" s="1015">
        <v>609885.27</v>
      </c>
      <c r="D250" s="1015">
        <v>518272.17</v>
      </c>
      <c r="E250" s="1015">
        <v>1128157.44</v>
      </c>
      <c r="F250" s="1013" t="s">
        <v>424</v>
      </c>
      <c r="G250" s="1013" t="s">
        <v>2014</v>
      </c>
      <c r="H250" s="949"/>
      <c r="I250" s="948"/>
      <c r="J250" s="948"/>
      <c r="K250" s="948"/>
      <c r="L250" s="153" t="str">
        <f t="shared" si="0"/>
        <v>5111</v>
      </c>
      <c r="M250" s="154" t="str">
        <f t="shared" si="1"/>
        <v>C/V - JETTA</v>
      </c>
      <c r="N250" s="155">
        <f>+IF(OR($Q250=Parametres!$G$2,$Q250=Parametres!$G$3),I250,C250)</f>
        <v>609885.27</v>
      </c>
      <c r="O250" s="155">
        <f>+IF(OR($Q250=Parametres!$G$2,$Q250=Parametres!$G$3),J250,D250)</f>
        <v>518272.17</v>
      </c>
      <c r="P250" s="155">
        <f>+IF(OR($Q250=Parametres!$G$2,$Q250=Parametres!$G$3),K250,E250)</f>
        <v>1128157.44</v>
      </c>
      <c r="Q250" s="154" t="str">
        <f t="shared" si="17"/>
        <v>6-Coût des ventes</v>
      </c>
      <c r="R250" s="153" t="str">
        <f t="shared" si="17"/>
        <v>4111</v>
      </c>
      <c r="S250" s="154">
        <f t="shared" si="17"/>
        <v>0</v>
      </c>
      <c r="T250" s="156" t="str">
        <f>+VLOOKUP($L250,Data_Validation!$A:$D,1,0)</f>
        <v>5111</v>
      </c>
      <c r="U250" s="156" t="str">
        <f>+VLOOKUP($L250,Data_Validation!$A:$D,3,0)</f>
        <v>Véhicules neufs</v>
      </c>
      <c r="V250" s="156" t="str">
        <f>+VLOOKUP($L250,Data_Validation!$A:$D,4,0)</f>
        <v>Autos détail</v>
      </c>
      <c r="W250" s="156" t="str">
        <f>+VLOOKUP($L250,Data_Validation!$A:$E,5,0)</f>
        <v>$</v>
      </c>
      <c r="X250" s="156">
        <f>+VLOOKUP($L250,Data_Validation!$A:$F,6,0)</f>
        <v>0</v>
      </c>
    </row>
    <row r="251" spans="1:24" ht="15" hidden="1" customHeight="1">
      <c r="A251" s="1013" t="s">
        <v>2452</v>
      </c>
      <c r="B251" s="1013" t="s">
        <v>2453</v>
      </c>
      <c r="C251" s="1015">
        <v>298179.14</v>
      </c>
      <c r="D251" s="1015">
        <v>170075.08</v>
      </c>
      <c r="E251" s="1015">
        <v>468254.22</v>
      </c>
      <c r="F251" s="1013" t="s">
        <v>424</v>
      </c>
      <c r="G251" s="1013" t="s">
        <v>2438</v>
      </c>
      <c r="H251" s="949"/>
      <c r="I251" s="948"/>
      <c r="J251" s="948"/>
      <c r="K251" s="948"/>
      <c r="L251" s="153" t="str">
        <f t="shared" si="0"/>
        <v>5113</v>
      </c>
      <c r="M251" s="154" t="str">
        <f t="shared" si="1"/>
        <v>C/V - GOLF (FAMILIALE)</v>
      </c>
      <c r="N251" s="155">
        <f>+IF(OR($Q251=Parametres!$G$2,$Q251=Parametres!$G$3),I251,C251)</f>
        <v>298179.14</v>
      </c>
      <c r="O251" s="155">
        <f>+IF(OR($Q251=Parametres!$G$2,$Q251=Parametres!$G$3),J251,D251)</f>
        <v>170075.08</v>
      </c>
      <c r="P251" s="155">
        <f>+IF(OR($Q251=Parametres!$G$2,$Q251=Parametres!$G$3),K251,E251)</f>
        <v>468254.22</v>
      </c>
      <c r="Q251" s="154" t="str">
        <f t="shared" si="17"/>
        <v>6-Coût des ventes</v>
      </c>
      <c r="R251" s="153" t="str">
        <f t="shared" si="17"/>
        <v>4113</v>
      </c>
      <c r="S251" s="154">
        <f t="shared" si="17"/>
        <v>0</v>
      </c>
      <c r="T251" s="156" t="str">
        <f>+VLOOKUP($L251,Data_Validation!$A:$D,1,0)</f>
        <v>5113</v>
      </c>
      <c r="U251" s="156" t="str">
        <f>+VLOOKUP($L251,Data_Validation!$A:$D,3,0)</f>
        <v>Véhicules neufs</v>
      </c>
      <c r="V251" s="156" t="str">
        <f>+VLOOKUP($L251,Data_Validation!$A:$D,4,0)</f>
        <v>Autos détail</v>
      </c>
      <c r="W251" s="156" t="str">
        <f>+VLOOKUP($L251,Data_Validation!$A:$E,5,0)</f>
        <v>$</v>
      </c>
      <c r="X251" s="156">
        <f>+VLOOKUP($L251,Data_Validation!$A:$F,6,0)</f>
        <v>0</v>
      </c>
    </row>
    <row r="252" spans="1:24" ht="15.75" hidden="1" customHeight="1">
      <c r="A252" s="1013" t="s">
        <v>2454</v>
      </c>
      <c r="B252" s="1013" t="s">
        <v>2455</v>
      </c>
      <c r="C252" s="1015">
        <v>0</v>
      </c>
      <c r="D252" s="1015">
        <v>37395.17</v>
      </c>
      <c r="E252" s="1015">
        <v>37395.17</v>
      </c>
      <c r="F252" s="1013" t="s">
        <v>424</v>
      </c>
      <c r="G252" s="1013" t="s">
        <v>2440</v>
      </c>
      <c r="H252" s="949"/>
      <c r="I252" s="948"/>
      <c r="J252" s="948"/>
      <c r="K252" s="948"/>
      <c r="L252" s="153" t="str">
        <f t="shared" si="0"/>
        <v>5115</v>
      </c>
      <c r="M252" s="154" t="str">
        <f t="shared" si="1"/>
        <v>C/V - PASSAT BERLINE</v>
      </c>
      <c r="N252" s="155">
        <f>+IF(OR($Q252=Parametres!$G$2,$Q252=Parametres!$G$3),I252,C252)</f>
        <v>0</v>
      </c>
      <c r="O252" s="155">
        <f>+IF(OR($Q252=Parametres!$G$2,$Q252=Parametres!$G$3),J252,D252)</f>
        <v>37395.17</v>
      </c>
      <c r="P252" s="155">
        <f>+IF(OR($Q252=Parametres!$G$2,$Q252=Parametres!$G$3),K252,E252)</f>
        <v>37395.17</v>
      </c>
      <c r="Q252" s="154" t="str">
        <f t="shared" si="17"/>
        <v>6-Coût des ventes</v>
      </c>
      <c r="R252" s="153" t="str">
        <f t="shared" si="17"/>
        <v>4115</v>
      </c>
      <c r="S252" s="154">
        <f t="shared" si="17"/>
        <v>0</v>
      </c>
      <c r="T252" s="156" t="str">
        <f>+VLOOKUP($L252,Data_Validation!$A:$D,1,0)</f>
        <v>5115</v>
      </c>
      <c r="U252" s="156" t="str">
        <f>+VLOOKUP($L252,Data_Validation!$A:$D,3,0)</f>
        <v>Véhicules neufs</v>
      </c>
      <c r="V252" s="156" t="str">
        <f>+VLOOKUP($L252,Data_Validation!$A:$D,4,0)</f>
        <v>Autos détail</v>
      </c>
      <c r="W252" s="156" t="str">
        <f>+VLOOKUP($L252,Data_Validation!$A:$E,5,0)</f>
        <v>$</v>
      </c>
      <c r="X252" s="156">
        <f>+VLOOKUP($L252,Data_Validation!$A:$F,6,0)</f>
        <v>0</v>
      </c>
    </row>
    <row r="253" spans="1:24" ht="15" hidden="1" customHeight="1">
      <c r="A253" s="1013" t="s">
        <v>2850</v>
      </c>
      <c r="B253" s="1013" t="s">
        <v>2851</v>
      </c>
      <c r="C253" s="1015">
        <v>491226.71</v>
      </c>
      <c r="D253" s="1015">
        <v>354243.67</v>
      </c>
      <c r="E253" s="1015">
        <v>845470.38</v>
      </c>
      <c r="F253" s="1013" t="s">
        <v>424</v>
      </c>
      <c r="G253" s="1013" t="s">
        <v>2003</v>
      </c>
      <c r="H253" s="949"/>
      <c r="I253" s="948"/>
      <c r="J253" s="948"/>
      <c r="K253" s="948"/>
      <c r="L253" s="153" t="str">
        <f t="shared" si="0"/>
        <v>5119</v>
      </c>
      <c r="M253" s="154" t="str">
        <f t="shared" si="1"/>
        <v>C/V - ATLAS</v>
      </c>
      <c r="N253" s="155">
        <f>+IF(OR($Q253=Parametres!$G$2,$Q253=Parametres!$G$3),I253,C253)</f>
        <v>491226.71</v>
      </c>
      <c r="O253" s="155">
        <f>+IF(OR($Q253=Parametres!$G$2,$Q253=Parametres!$G$3),J253,D253)</f>
        <v>354243.67</v>
      </c>
      <c r="P253" s="155">
        <f>+IF(OR($Q253=Parametres!$G$2,$Q253=Parametres!$G$3),K253,E253)</f>
        <v>845470.38</v>
      </c>
      <c r="Q253" s="154" t="str">
        <f t="shared" si="17"/>
        <v>6-Coût des ventes</v>
      </c>
      <c r="R253" s="153" t="str">
        <f t="shared" si="17"/>
        <v>4119</v>
      </c>
      <c r="S253" s="154">
        <f t="shared" si="17"/>
        <v>0</v>
      </c>
      <c r="T253" s="156" t="str">
        <f>+VLOOKUP($L253,Data_Validation!$A:$D,1,0)</f>
        <v>5119</v>
      </c>
      <c r="U253" s="156" t="str">
        <f>+VLOOKUP($L253,Data_Validation!$A:$D,3,0)</f>
        <v>Véhicules neufs</v>
      </c>
      <c r="V253" s="156" t="str">
        <f>+VLOOKUP($L253,Data_Validation!$A:$D,4,0)</f>
        <v>Camions détail</v>
      </c>
      <c r="W253" s="156" t="str">
        <f>+VLOOKUP($L253,Data_Validation!$A:$E,5,0)</f>
        <v>$</v>
      </c>
      <c r="X253" s="156">
        <f>+VLOOKUP($L253,Data_Validation!$A:$F,6,0)</f>
        <v>0</v>
      </c>
    </row>
    <row r="254" spans="1:24" ht="15" hidden="1" customHeight="1">
      <c r="A254" s="1013" t="s">
        <v>2836</v>
      </c>
      <c r="B254" s="1013" t="s">
        <v>2837</v>
      </c>
      <c r="C254" s="1015">
        <v>71680.17</v>
      </c>
      <c r="D254" s="1015">
        <v>71162.149999999994</v>
      </c>
      <c r="E254" s="1015">
        <v>142842.32</v>
      </c>
      <c r="F254" s="1013" t="s">
        <v>424</v>
      </c>
      <c r="G254" s="1013" t="s">
        <v>2031</v>
      </c>
      <c r="H254" s="949"/>
      <c r="I254" s="948"/>
      <c r="J254" s="948"/>
      <c r="K254" s="948"/>
      <c r="L254" s="153" t="str">
        <f t="shared" si="0"/>
        <v>5127</v>
      </c>
      <c r="M254" s="154" t="str">
        <f t="shared" si="1"/>
        <v>C/V - GOLF GTI</v>
      </c>
      <c r="N254" s="155">
        <f>+IF(OR($Q254=Parametres!$G$2,$Q254=Parametres!$G$3),I254,C254)</f>
        <v>71680.17</v>
      </c>
      <c r="O254" s="155">
        <f>+IF(OR($Q254=Parametres!$G$2,$Q254=Parametres!$G$3),J254,D254)</f>
        <v>71162.149999999994</v>
      </c>
      <c r="P254" s="155">
        <f>+IF(OR($Q254=Parametres!$G$2,$Q254=Parametres!$G$3),K254,E254)</f>
        <v>142842.32</v>
      </c>
      <c r="Q254" s="154" t="str">
        <f t="shared" si="17"/>
        <v>6-Coût des ventes</v>
      </c>
      <c r="R254" s="153" t="str">
        <f t="shared" si="17"/>
        <v>4127</v>
      </c>
      <c r="S254" s="154">
        <f t="shared" si="17"/>
        <v>0</v>
      </c>
      <c r="T254" s="156" t="str">
        <f>+VLOOKUP($L254,Data_Validation!$A:$D,1,0)</f>
        <v>5127</v>
      </c>
      <c r="U254" s="156" t="str">
        <f>+VLOOKUP($L254,Data_Validation!$A:$D,3,0)</f>
        <v>Véhicules neufs</v>
      </c>
      <c r="V254" s="156" t="str">
        <f>+VLOOKUP($L254,Data_Validation!$A:$D,4,0)</f>
        <v>Autos détail</v>
      </c>
      <c r="W254" s="156" t="str">
        <f>+VLOOKUP($L254,Data_Validation!$A:$E,5,0)</f>
        <v>$</v>
      </c>
      <c r="X254" s="156">
        <f>+VLOOKUP($L254,Data_Validation!$A:$F,6,0)</f>
        <v>0</v>
      </c>
    </row>
    <row r="255" spans="1:24" ht="15" hidden="1" customHeight="1">
      <c r="A255" s="1013" t="s">
        <v>2855</v>
      </c>
      <c r="B255" s="1013" t="s">
        <v>2856</v>
      </c>
      <c r="C255" s="1015">
        <v>1599699.18</v>
      </c>
      <c r="D255" s="1015">
        <v>1011493.96</v>
      </c>
      <c r="E255" s="1015">
        <v>2611193.14</v>
      </c>
      <c r="F255" s="1013" t="s">
        <v>424</v>
      </c>
      <c r="G255" s="1013" t="s">
        <v>1999</v>
      </c>
      <c r="H255" s="949"/>
      <c r="I255" s="948"/>
      <c r="J255" s="948"/>
      <c r="K255" s="948"/>
      <c r="L255" s="153" t="str">
        <f t="shared" si="0"/>
        <v>5131</v>
      </c>
      <c r="M255" s="154" t="str">
        <f t="shared" si="1"/>
        <v>C/V - TIGUAN LWB</v>
      </c>
      <c r="N255" s="155">
        <f>+IF(OR($Q255=Parametres!$G$2,$Q255=Parametres!$G$3),I255,C255)</f>
        <v>1599699.18</v>
      </c>
      <c r="O255" s="155">
        <f>+IF(OR($Q255=Parametres!$G$2,$Q255=Parametres!$G$3),J255,D255)</f>
        <v>1011493.96</v>
      </c>
      <c r="P255" s="155">
        <f>+IF(OR($Q255=Parametres!$G$2,$Q255=Parametres!$G$3),K255,E255)</f>
        <v>2611193.14</v>
      </c>
      <c r="Q255" s="154" t="str">
        <f t="shared" si="17"/>
        <v>6-Coût des ventes</v>
      </c>
      <c r="R255" s="153" t="str">
        <f t="shared" si="17"/>
        <v>4131</v>
      </c>
      <c r="S255" s="154">
        <f t="shared" si="17"/>
        <v>0</v>
      </c>
      <c r="T255" s="156" t="str">
        <f>+VLOOKUP($L255,Data_Validation!$A:$D,1,0)</f>
        <v>5131</v>
      </c>
      <c r="U255" s="156" t="str">
        <f>+VLOOKUP($L255,Data_Validation!$A:$D,3,0)</f>
        <v>Véhicules neufs</v>
      </c>
      <c r="V255" s="156" t="str">
        <f>+VLOOKUP($L255,Data_Validation!$A:$D,4,0)</f>
        <v>Camions détail</v>
      </c>
      <c r="W255" s="156" t="str">
        <f>+VLOOKUP($L255,Data_Validation!$A:$E,5,0)</f>
        <v>$</v>
      </c>
      <c r="X255" s="156">
        <f>+VLOOKUP($L255,Data_Validation!$A:$F,6,0)</f>
        <v>0</v>
      </c>
    </row>
    <row r="256" spans="1:24" ht="15.75" hidden="1" customHeight="1">
      <c r="A256" s="1013" t="s">
        <v>2838</v>
      </c>
      <c r="B256" s="1013" t="s">
        <v>2839</v>
      </c>
      <c r="C256" s="1015">
        <v>230380.95</v>
      </c>
      <c r="D256" s="1015">
        <v>74663.149999999994</v>
      </c>
      <c r="E256" s="1015">
        <v>305044.09999999998</v>
      </c>
      <c r="F256" s="1013" t="s">
        <v>424</v>
      </c>
      <c r="G256" s="1013" t="s">
        <v>2506</v>
      </c>
      <c r="H256" s="949"/>
      <c r="I256" s="948"/>
      <c r="J256" s="948"/>
      <c r="K256" s="948"/>
      <c r="L256" s="153" t="str">
        <f t="shared" si="0"/>
        <v>5135</v>
      </c>
      <c r="M256" s="154" t="str">
        <f t="shared" si="1"/>
        <v>C/V - EGOLF</v>
      </c>
      <c r="N256" s="155">
        <f>+IF(OR($Q256=Parametres!$G$2,$Q256=Parametres!$G$3),I256,C256)</f>
        <v>230380.95</v>
      </c>
      <c r="O256" s="155">
        <f>+IF(OR($Q256=Parametres!$G$2,$Q256=Parametres!$G$3),J256,D256)</f>
        <v>74663.149999999994</v>
      </c>
      <c r="P256" s="155">
        <f>+IF(OR($Q256=Parametres!$G$2,$Q256=Parametres!$G$3),K256,E256)</f>
        <v>305044.09999999998</v>
      </c>
      <c r="Q256" s="154" t="str">
        <f t="shared" si="17"/>
        <v>6-Coût des ventes</v>
      </c>
      <c r="R256" s="153" t="str">
        <f t="shared" si="17"/>
        <v>84135</v>
      </c>
      <c r="S256" s="154">
        <f t="shared" si="17"/>
        <v>0</v>
      </c>
      <c r="T256" s="156" t="str">
        <f>+VLOOKUP($L256,Data_Validation!$A:$D,1,0)</f>
        <v>5135</v>
      </c>
      <c r="U256" s="156" t="str">
        <f>+VLOOKUP($L256,Data_Validation!$A:$D,3,0)</f>
        <v>Véhicules neufs</v>
      </c>
      <c r="V256" s="156" t="str">
        <f>+VLOOKUP($L256,Data_Validation!$A:$D,4,0)</f>
        <v>Autos détail</v>
      </c>
      <c r="W256" s="156" t="str">
        <f>+VLOOKUP($L256,Data_Validation!$A:$E,5,0)</f>
        <v>$</v>
      </c>
      <c r="X256" s="156">
        <f>+VLOOKUP($L256,Data_Validation!$A:$F,6,0)</f>
        <v>0</v>
      </c>
    </row>
    <row r="257" spans="1:24" ht="15" hidden="1" customHeight="1">
      <c r="A257" s="1013" t="s">
        <v>2618</v>
      </c>
      <c r="B257" s="1013" t="s">
        <v>2619</v>
      </c>
      <c r="C257" s="1015">
        <v>590699.84</v>
      </c>
      <c r="D257" s="1015">
        <v>496087.77</v>
      </c>
      <c r="E257" s="1015">
        <v>1086787.6100000001</v>
      </c>
      <c r="F257" s="1013" t="s">
        <v>424</v>
      </c>
      <c r="G257" s="1013" t="s">
        <v>2444</v>
      </c>
      <c r="H257" s="949"/>
      <c r="I257" s="948"/>
      <c r="J257" s="948"/>
      <c r="K257" s="948"/>
      <c r="L257" s="153" t="str">
        <f t="shared" ref="L257:L511" si="18">+B257</f>
        <v>5211</v>
      </c>
      <c r="M257" s="154" t="str">
        <f t="shared" ref="M257:M511" si="19">+A257</f>
        <v>C/V - VW USAGES DETAIL</v>
      </c>
      <c r="N257" s="155">
        <f>+IF(OR($Q257=Parametres!$G$2,$Q257=Parametres!$G$3),I257,C257)</f>
        <v>590699.84</v>
      </c>
      <c r="O257" s="155">
        <f>+IF(OR($Q257=Parametres!$G$2,$Q257=Parametres!$G$3),J257,D257)</f>
        <v>496087.77</v>
      </c>
      <c r="P257" s="155">
        <f>+IF(OR($Q257=Parametres!$G$2,$Q257=Parametres!$G$3),K257,E257)</f>
        <v>1086787.6100000001</v>
      </c>
      <c r="Q257" s="154" t="str">
        <f t="shared" si="17"/>
        <v>6-Coût des ventes</v>
      </c>
      <c r="R257" s="153" t="str">
        <f t="shared" si="17"/>
        <v>4211</v>
      </c>
      <c r="S257" s="154">
        <f t="shared" si="17"/>
        <v>0</v>
      </c>
      <c r="T257" s="156" t="str">
        <f>+VLOOKUP($L257,Data_Validation!$A:$D,1,0)</f>
        <v>5211</v>
      </c>
      <c r="U257" s="156" t="str">
        <f>+VLOOKUP($L257,Data_Validation!$A:$D,3,0)</f>
        <v>Véhicules usagés</v>
      </c>
      <c r="V257" s="156" t="str">
        <f>+VLOOKUP($L257,Data_Validation!$A:$D,4,0)</f>
        <v>Non Certifié</v>
      </c>
      <c r="W257" s="156" t="str">
        <f>+VLOOKUP($L257,Data_Validation!$A:$E,5,0)</f>
        <v>$</v>
      </c>
      <c r="X257" s="156">
        <f>+VLOOKUP($L257,Data_Validation!$A:$F,6,0)</f>
        <v>0</v>
      </c>
    </row>
    <row r="258" spans="1:24" ht="15" hidden="1" customHeight="1">
      <c r="A258" s="1013" t="s">
        <v>2458</v>
      </c>
      <c r="B258" s="1013" t="s">
        <v>2459</v>
      </c>
      <c r="C258" s="1015">
        <v>47201.45</v>
      </c>
      <c r="D258" s="1015">
        <v>41147.160000000003</v>
      </c>
      <c r="E258" s="1015">
        <v>88348.61</v>
      </c>
      <c r="F258" s="1013" t="s">
        <v>424</v>
      </c>
      <c r="G258" s="1013" t="s">
        <v>2444</v>
      </c>
      <c r="H258" s="949"/>
      <c r="I258" s="949"/>
      <c r="J258" s="949"/>
      <c r="K258" s="949"/>
      <c r="L258" s="153" t="str">
        <f t="shared" si="18"/>
        <v>5213</v>
      </c>
      <c r="M258" s="154" t="str">
        <f t="shared" si="19"/>
        <v>C/V - RECOND. USAGE VW DETAIL</v>
      </c>
      <c r="N258" s="155">
        <f>+IF(OR($Q258=Parametres!$G$2,$Q258=Parametres!$G$3),I258,C258)</f>
        <v>47201.45</v>
      </c>
      <c r="O258" s="155">
        <f>+IF(OR($Q258=Parametres!$G$2,$Q258=Parametres!$G$3),J258,D258)</f>
        <v>41147.160000000003</v>
      </c>
      <c r="P258" s="155">
        <f>+IF(OR($Q258=Parametres!$G$2,$Q258=Parametres!$G$3),K258,E258)</f>
        <v>88348.61</v>
      </c>
      <c r="Q258" s="154" t="str">
        <f t="shared" ref="Q258:S273" si="20">+F258</f>
        <v>6-Coût des ventes</v>
      </c>
      <c r="R258" s="153" t="str">
        <f t="shared" si="20"/>
        <v>4211</v>
      </c>
      <c r="S258" s="154">
        <f t="shared" si="20"/>
        <v>0</v>
      </c>
      <c r="T258" s="156" t="str">
        <f>+VLOOKUP($L258,Data_Validation!$A:$D,1,0)</f>
        <v>5213</v>
      </c>
      <c r="U258" s="156" t="str">
        <f>+VLOOKUP($L258,Data_Validation!$A:$D,3,0)</f>
        <v>Véhicules usagés</v>
      </c>
      <c r="V258" s="156" t="str">
        <f>+VLOOKUP($L258,Data_Validation!$A:$D,4,0)</f>
        <v>Non Certifié</v>
      </c>
      <c r="W258" s="156" t="str">
        <f>+VLOOKUP($L258,Data_Validation!$A:$E,5,0)</f>
        <v>$</v>
      </c>
      <c r="X258" s="156">
        <f>+VLOOKUP($L258,Data_Validation!$A:$F,6,0)</f>
        <v>0</v>
      </c>
    </row>
    <row r="259" spans="1:24" ht="15" hidden="1" customHeight="1">
      <c r="A259" s="1013" t="s">
        <v>2038</v>
      </c>
      <c r="B259" s="1013" t="s">
        <v>2827</v>
      </c>
      <c r="C259" s="1015">
        <v>185577.74</v>
      </c>
      <c r="D259" s="1015">
        <v>57095</v>
      </c>
      <c r="E259" s="1015">
        <v>242672.74</v>
      </c>
      <c r="F259" s="1013" t="s">
        <v>424</v>
      </c>
      <c r="G259" s="1013" t="s">
        <v>2040</v>
      </c>
      <c r="H259" s="949"/>
      <c r="I259" s="949"/>
      <c r="J259" s="949"/>
      <c r="K259" s="949"/>
      <c r="L259" s="153" t="str">
        <f t="shared" si="18"/>
        <v>5285</v>
      </c>
      <c r="M259" s="154" t="str">
        <f t="shared" si="19"/>
        <v>VEH. D'OCC. AUTRE DETAIL</v>
      </c>
      <c r="N259" s="155">
        <f>+IF(OR($Q259=Parametres!$G$2,$Q259=Parametres!$G$3),I259,C259)</f>
        <v>185577.74</v>
      </c>
      <c r="O259" s="155">
        <f>+IF(OR($Q259=Parametres!$G$2,$Q259=Parametres!$G$3),J259,D259)</f>
        <v>57095</v>
      </c>
      <c r="P259" s="155">
        <f>+IF(OR($Q259=Parametres!$G$2,$Q259=Parametres!$G$3),K259,E259)</f>
        <v>242672.74</v>
      </c>
      <c r="Q259" s="154" t="str">
        <f t="shared" si="20"/>
        <v>6-Coût des ventes</v>
      </c>
      <c r="R259" s="153" t="str">
        <f t="shared" si="20"/>
        <v>4261</v>
      </c>
      <c r="S259" s="154">
        <f t="shared" si="20"/>
        <v>0</v>
      </c>
      <c r="T259" s="156" t="str">
        <f>+VLOOKUP($L259,Data_Validation!$A:$D,1,0)</f>
        <v>5285</v>
      </c>
      <c r="U259" s="156" t="str">
        <f>+VLOOKUP($L259,Data_Validation!$A:$D,3,0)</f>
        <v>Véhicules usagés</v>
      </c>
      <c r="V259" s="156" t="str">
        <f>+VLOOKUP($L259,Data_Validation!$A:$D,4,0)</f>
        <v>Non Certifié</v>
      </c>
      <c r="W259" s="156" t="str">
        <f>+VLOOKUP($L259,Data_Validation!$A:$E,5,0)</f>
        <v>$</v>
      </c>
      <c r="X259" s="156">
        <f>+VLOOKUP($L259,Data_Validation!$A:$F,6,0)</f>
        <v>0</v>
      </c>
    </row>
    <row r="260" spans="1:24" ht="15" hidden="1" customHeight="1">
      <c r="A260" s="1013" t="s">
        <v>2672</v>
      </c>
      <c r="B260" s="1013" t="s">
        <v>2673</v>
      </c>
      <c r="C260" s="1015">
        <v>14404.05</v>
      </c>
      <c r="D260" s="1015">
        <v>4914.6400000000003</v>
      </c>
      <c r="E260" s="1015">
        <v>19318.689999999999</v>
      </c>
      <c r="F260" s="1013" t="s">
        <v>424</v>
      </c>
      <c r="G260" s="1013" t="s">
        <v>2040</v>
      </c>
      <c r="H260" s="949"/>
      <c r="I260" s="949"/>
      <c r="J260" s="949"/>
      <c r="K260" s="949"/>
      <c r="L260" s="153" t="str">
        <f t="shared" si="18"/>
        <v>5286</v>
      </c>
      <c r="M260" s="154" t="str">
        <f t="shared" si="19"/>
        <v>RECOND. AUTRE DETAIL</v>
      </c>
      <c r="N260" s="155">
        <f>+IF(OR($Q260=Parametres!$G$2,$Q260=Parametres!$G$3),I260,C260)</f>
        <v>14404.05</v>
      </c>
      <c r="O260" s="155">
        <f>+IF(OR($Q260=Parametres!$G$2,$Q260=Parametres!$G$3),J260,D260)</f>
        <v>4914.6400000000003</v>
      </c>
      <c r="P260" s="155">
        <f>+IF(OR($Q260=Parametres!$G$2,$Q260=Parametres!$G$3),K260,E260)</f>
        <v>19318.689999999999</v>
      </c>
      <c r="Q260" s="154" t="str">
        <f t="shared" si="20"/>
        <v>6-Coût des ventes</v>
      </c>
      <c r="R260" s="153" t="str">
        <f t="shared" si="20"/>
        <v>4261</v>
      </c>
      <c r="S260" s="154">
        <f t="shared" si="20"/>
        <v>0</v>
      </c>
      <c r="T260" s="156" t="str">
        <f>+VLOOKUP($L260,Data_Validation!$A:$D,1,0)</f>
        <v>5286</v>
      </c>
      <c r="U260" s="156" t="str">
        <f>+VLOOKUP($L260,Data_Validation!$A:$D,3,0)</f>
        <v>Véhicules usagés</v>
      </c>
      <c r="V260" s="156" t="str">
        <f>+VLOOKUP($L260,Data_Validation!$A:$D,4,0)</f>
        <v>Non Certifié</v>
      </c>
      <c r="W260" s="156" t="str">
        <f>+VLOOKUP($L260,Data_Validation!$A:$E,5,0)</f>
        <v>$</v>
      </c>
      <c r="X260" s="156">
        <f>+VLOOKUP($L260,Data_Validation!$A:$F,6,0)</f>
        <v>0</v>
      </c>
    </row>
    <row r="261" spans="1:24" ht="15" hidden="1" customHeight="1">
      <c r="A261" s="1013" t="s">
        <v>2006</v>
      </c>
      <c r="B261" s="1013" t="s">
        <v>2848</v>
      </c>
      <c r="C261" s="1015">
        <v>412701.64</v>
      </c>
      <c r="D261" s="1015">
        <v>96213.96</v>
      </c>
      <c r="E261" s="1015">
        <v>508915.6</v>
      </c>
      <c r="F261" s="1013" t="s">
        <v>424</v>
      </c>
      <c r="G261" s="1013" t="s">
        <v>2008</v>
      </c>
      <c r="H261" s="949"/>
      <c r="I261" s="949"/>
      <c r="J261" s="949"/>
      <c r="K261" s="949"/>
      <c r="L261" s="153" t="str">
        <f t="shared" si="18"/>
        <v>5291</v>
      </c>
      <c r="M261" s="154" t="str">
        <f t="shared" si="19"/>
        <v>VEH. D'OCC. AU GROS</v>
      </c>
      <c r="N261" s="155">
        <f>+IF(OR($Q261=Parametres!$G$2,$Q261=Parametres!$G$3),I261,C261)</f>
        <v>412701.64</v>
      </c>
      <c r="O261" s="155">
        <f>+IF(OR($Q261=Parametres!$G$2,$Q261=Parametres!$G$3),J261,D261)</f>
        <v>96213.96</v>
      </c>
      <c r="P261" s="155">
        <f>+IF(OR($Q261=Parametres!$G$2,$Q261=Parametres!$G$3),K261,E261)</f>
        <v>508915.6</v>
      </c>
      <c r="Q261" s="154" t="str">
        <f t="shared" si="20"/>
        <v>6-Coût des ventes</v>
      </c>
      <c r="R261" s="153" t="str">
        <f t="shared" si="20"/>
        <v>4281</v>
      </c>
      <c r="S261" s="154">
        <f t="shared" si="20"/>
        <v>0</v>
      </c>
      <c r="T261" s="156" t="str">
        <f>+VLOOKUP($L261,Data_Validation!$A:$D,1,0)</f>
        <v>5291</v>
      </c>
      <c r="U261" s="156" t="str">
        <f>+VLOOKUP($L261,Data_Validation!$A:$D,3,0)</f>
        <v>Véhicules usagés</v>
      </c>
      <c r="V261" s="156" t="str">
        <f>+VLOOKUP($L261,Data_Validation!$A:$D,4,0)</f>
        <v>Ventes au Gros</v>
      </c>
      <c r="W261" s="156" t="str">
        <f>+VLOOKUP($L261,Data_Validation!$A:$E,5,0)</f>
        <v>$</v>
      </c>
      <c r="X261" s="156">
        <f>+VLOOKUP($L261,Data_Validation!$A:$F,6,0)</f>
        <v>0</v>
      </c>
    </row>
    <row r="262" spans="1:24" ht="15.75" hidden="1" customHeight="1">
      <c r="A262" s="1013" t="s">
        <v>2828</v>
      </c>
      <c r="B262" s="1013" t="s">
        <v>2829</v>
      </c>
      <c r="C262" s="1015">
        <v>35466.29</v>
      </c>
      <c r="D262" s="1015">
        <v>22584.86</v>
      </c>
      <c r="E262" s="1015">
        <v>58051.15</v>
      </c>
      <c r="F262" s="1013" t="s">
        <v>424</v>
      </c>
      <c r="G262" s="1013" t="s">
        <v>2012</v>
      </c>
      <c r="H262" s="949"/>
      <c r="I262" s="949"/>
      <c r="J262" s="949"/>
      <c r="K262" s="949"/>
      <c r="L262" s="153" t="str">
        <f t="shared" si="18"/>
        <v>5401</v>
      </c>
      <c r="M262" s="154" t="str">
        <f t="shared" si="19"/>
        <v>COUT M.O. MECANIQUE CLIENTS</v>
      </c>
      <c r="N262" s="155">
        <f>+IF(OR($Q262=Parametres!$G$2,$Q262=Parametres!$G$3),I262,C262)</f>
        <v>35466.29</v>
      </c>
      <c r="O262" s="155">
        <f>+IF(OR($Q262=Parametres!$G$2,$Q262=Parametres!$G$3),J262,D262)</f>
        <v>22584.86</v>
      </c>
      <c r="P262" s="155">
        <f>+IF(OR($Q262=Parametres!$G$2,$Q262=Parametres!$G$3),K262,E262)</f>
        <v>58051.15</v>
      </c>
      <c r="Q262" s="154" t="str">
        <f t="shared" si="20"/>
        <v>6-Coût des ventes</v>
      </c>
      <c r="R262" s="153" t="str">
        <f t="shared" si="20"/>
        <v>4401</v>
      </c>
      <c r="S262" s="154">
        <f t="shared" si="20"/>
        <v>0</v>
      </c>
      <c r="T262" s="156" t="str">
        <f>+VLOOKUP($L262,Data_Validation!$A:$D,1,0)</f>
        <v>5401</v>
      </c>
      <c r="U262" s="156" t="str">
        <f>+VLOOKUP($L262,Data_Validation!$A:$D,3,0)</f>
        <v>Service</v>
      </c>
      <c r="V262" s="156" t="str">
        <f>+VLOOKUP($L262,Data_Validation!$A:$D,4,0)</f>
        <v>M/O Client</v>
      </c>
      <c r="W262" s="156" t="str">
        <f>+VLOOKUP($L262,Data_Validation!$A:$E,5,0)</f>
        <v>$</v>
      </c>
      <c r="X262" s="156">
        <f>+VLOOKUP($L262,Data_Validation!$A:$F,6,0)</f>
        <v>0</v>
      </c>
    </row>
    <row r="263" spans="1:24" ht="15" hidden="1" customHeight="1">
      <c r="A263" s="1013" t="s">
        <v>2791</v>
      </c>
      <c r="B263" s="1013" t="s">
        <v>2792</v>
      </c>
      <c r="C263" s="1015">
        <v>34101.22</v>
      </c>
      <c r="D263" s="1015">
        <v>20541.7</v>
      </c>
      <c r="E263" s="1015">
        <v>54642.92</v>
      </c>
      <c r="F263" s="1013" t="s">
        <v>424</v>
      </c>
      <c r="G263" s="1013" t="s">
        <v>2042</v>
      </c>
      <c r="H263" s="949"/>
      <c r="I263" s="949"/>
      <c r="J263" s="949"/>
      <c r="K263" s="949"/>
      <c r="L263" s="153" t="str">
        <f t="shared" si="18"/>
        <v>5403</v>
      </c>
      <c r="M263" s="154" t="str">
        <f t="shared" si="19"/>
        <v>COUT MEC VENTE GARANTIE MANUF</v>
      </c>
      <c r="N263" s="155">
        <f>+IF(OR($Q263=Parametres!$G$2,$Q263=Parametres!$G$3),I263,C263)</f>
        <v>34101.22</v>
      </c>
      <c r="O263" s="155">
        <f>+IF(OR($Q263=Parametres!$G$2,$Q263=Parametres!$G$3),J263,D263)</f>
        <v>20541.7</v>
      </c>
      <c r="P263" s="155">
        <f>+IF(OR($Q263=Parametres!$G$2,$Q263=Parametres!$G$3),K263,E263)</f>
        <v>54642.92</v>
      </c>
      <c r="Q263" s="154" t="str">
        <f t="shared" si="20"/>
        <v>6-Coût des ventes</v>
      </c>
      <c r="R263" s="153" t="str">
        <f t="shared" si="20"/>
        <v>4403</v>
      </c>
      <c r="S263" s="154">
        <f t="shared" si="20"/>
        <v>0</v>
      </c>
      <c r="T263" s="156" t="str">
        <f>+VLOOKUP($L263,Data_Validation!$A:$D,1,0)</f>
        <v>5403</v>
      </c>
      <c r="U263" s="156" t="str">
        <f>+VLOOKUP($L263,Data_Validation!$A:$D,3,0)</f>
        <v>Service</v>
      </c>
      <c r="V263" s="156" t="str">
        <f>+VLOOKUP($L263,Data_Validation!$A:$D,4,0)</f>
        <v>M/O Garantie</v>
      </c>
      <c r="W263" s="156" t="str">
        <f>+VLOOKUP($L263,Data_Validation!$A:$E,5,0)</f>
        <v>$</v>
      </c>
      <c r="X263" s="156">
        <f>+VLOOKUP($L263,Data_Validation!$A:$F,6,0)</f>
        <v>0</v>
      </c>
    </row>
    <row r="264" spans="1:24" ht="15" hidden="1" customHeight="1">
      <c r="A264" s="1013" t="s">
        <v>2777</v>
      </c>
      <c r="B264" s="1013" t="s">
        <v>2778</v>
      </c>
      <c r="C264" s="1015">
        <v>23698.02</v>
      </c>
      <c r="D264" s="1015">
        <v>12318.42</v>
      </c>
      <c r="E264" s="1015">
        <v>36016.44</v>
      </c>
      <c r="F264" s="1013" t="s">
        <v>424</v>
      </c>
      <c r="G264" s="1013" t="s">
        <v>2052</v>
      </c>
      <c r="H264" s="949"/>
      <c r="I264" s="949"/>
      <c r="J264" s="949"/>
      <c r="K264" s="949"/>
      <c r="L264" s="153" t="str">
        <f t="shared" si="18"/>
        <v>5405</v>
      </c>
      <c r="M264" s="154" t="str">
        <f t="shared" si="19"/>
        <v>C D V VENTES M OINTERNE</v>
      </c>
      <c r="N264" s="155">
        <f>+IF(OR($Q264=Parametres!$G$2,$Q264=Parametres!$G$3),I264,C264)</f>
        <v>23698.02</v>
      </c>
      <c r="O264" s="155">
        <f>+IF(OR($Q264=Parametres!$G$2,$Q264=Parametres!$G$3),J264,D264)</f>
        <v>12318.42</v>
      </c>
      <c r="P264" s="155">
        <f>+IF(OR($Q264=Parametres!$G$2,$Q264=Parametres!$G$3),K264,E264)</f>
        <v>36016.44</v>
      </c>
      <c r="Q264" s="154" t="str">
        <f t="shared" si="20"/>
        <v>6-Coût des ventes</v>
      </c>
      <c r="R264" s="153" t="str">
        <f t="shared" si="20"/>
        <v>4405</v>
      </c>
      <c r="S264" s="154">
        <f t="shared" si="20"/>
        <v>0</v>
      </c>
      <c r="T264" s="156" t="str">
        <f>+VLOOKUP($L264,Data_Validation!$A:$D,1,0)</f>
        <v>5405</v>
      </c>
      <c r="U264" s="156" t="str">
        <f>+VLOOKUP($L264,Data_Validation!$A:$D,3,0)</f>
        <v>Service</v>
      </c>
      <c r="V264" s="156" t="str">
        <f>+VLOOKUP($L264,Data_Validation!$A:$D,4,0)</f>
        <v>M/O Interne</v>
      </c>
      <c r="W264" s="156" t="str">
        <f>+VLOOKUP($L264,Data_Validation!$A:$E,5,0)</f>
        <v>$</v>
      </c>
      <c r="X264" s="156">
        <f>+VLOOKUP($L264,Data_Validation!$A:$F,6,0)</f>
        <v>0</v>
      </c>
    </row>
    <row r="265" spans="1:24" ht="15" hidden="1" customHeight="1">
      <c r="A265" s="1013" t="s">
        <v>2725</v>
      </c>
      <c r="B265" s="1013" t="s">
        <v>2726</v>
      </c>
      <c r="C265" s="1015">
        <v>6250.62</v>
      </c>
      <c r="D265" s="1015">
        <v>3388.98</v>
      </c>
      <c r="E265" s="1015">
        <v>9639.6</v>
      </c>
      <c r="F265" s="1013" t="s">
        <v>424</v>
      </c>
      <c r="G265" s="1013" t="s">
        <v>2727</v>
      </c>
      <c r="H265" s="949"/>
      <c r="I265" s="949"/>
      <c r="J265" s="949"/>
      <c r="K265" s="949"/>
      <c r="L265" s="153" t="str">
        <f t="shared" si="18"/>
        <v>5416</v>
      </c>
      <c r="M265" s="154" t="str">
        <f t="shared" si="19"/>
        <v>C/V - TEMPS MORT M.O. SERVICE</v>
      </c>
      <c r="N265" s="155">
        <f>+IF(OR($Q265=Parametres!$G$2,$Q265=Parametres!$G$3),I265,C265)</f>
        <v>6250.62</v>
      </c>
      <c r="O265" s="155">
        <f>+IF(OR($Q265=Parametres!$G$2,$Q265=Parametres!$G$3),J265,D265)</f>
        <v>3388.98</v>
      </c>
      <c r="P265" s="155">
        <f>+IF(OR($Q265=Parametres!$G$2,$Q265=Parametres!$G$3),K265,E265)</f>
        <v>9639.6</v>
      </c>
      <c r="Q265" s="154" t="str">
        <f t="shared" si="20"/>
        <v>6-Coût des ventes</v>
      </c>
      <c r="R265" s="153" t="str">
        <f t="shared" si="20"/>
        <v>4416</v>
      </c>
      <c r="S265" s="154">
        <f t="shared" si="20"/>
        <v>0</v>
      </c>
      <c r="T265" s="156" t="str">
        <f>+VLOOKUP($L265,Data_Validation!$A:$D,1,0)</f>
        <v>5416</v>
      </c>
      <c r="U265" s="156" t="str">
        <f>+VLOOKUP($L265,Data_Validation!$A:$D,3,0)</f>
        <v>Service</v>
      </c>
      <c r="V265" s="156" t="str">
        <f>+VLOOKUP($L265,Data_Validation!$A:$D,4,0)</f>
        <v>Ajustement M/O</v>
      </c>
      <c r="W265" s="156" t="str">
        <f>+VLOOKUP($L265,Data_Validation!$A:$E,5,0)</f>
        <v>$</v>
      </c>
      <c r="X265" s="156">
        <f>+VLOOKUP($L265,Data_Validation!$A:$F,6,0)</f>
        <v>0</v>
      </c>
    </row>
    <row r="266" spans="1:24" ht="15" hidden="1" customHeight="1">
      <c r="A266" s="1013" t="s">
        <v>2071</v>
      </c>
      <c r="B266" s="1013" t="s">
        <v>2802</v>
      </c>
      <c r="C266" s="1015">
        <v>18596.39</v>
      </c>
      <c r="D266" s="1015">
        <v>10685.13</v>
      </c>
      <c r="E266" s="1015">
        <v>29281.52</v>
      </c>
      <c r="F266" s="1013" t="s">
        <v>424</v>
      </c>
      <c r="G266" s="1013" t="s">
        <v>2073</v>
      </c>
      <c r="H266" s="949"/>
      <c r="I266" s="949"/>
      <c r="J266" s="949"/>
      <c r="K266" s="949"/>
      <c r="L266" s="153" t="str">
        <f t="shared" si="18"/>
        <v>5451</v>
      </c>
      <c r="M266" s="154" t="str">
        <f t="shared" si="19"/>
        <v>CARBURANT/HUILE/GRAISSE</v>
      </c>
      <c r="N266" s="155">
        <f>+IF(OR($Q266=Parametres!$G$2,$Q266=Parametres!$G$3),I266,C266)</f>
        <v>18596.39</v>
      </c>
      <c r="O266" s="155">
        <f>+IF(OR($Q266=Parametres!$G$2,$Q266=Parametres!$G$3),J266,D266)</f>
        <v>10685.13</v>
      </c>
      <c r="P266" s="155">
        <f>+IF(OR($Q266=Parametres!$G$2,$Q266=Parametres!$G$3),K266,E266)</f>
        <v>29281.52</v>
      </c>
      <c r="Q266" s="154" t="str">
        <f t="shared" si="20"/>
        <v>6-Coût des ventes</v>
      </c>
      <c r="R266" s="153" t="str">
        <f t="shared" si="20"/>
        <v>4782</v>
      </c>
      <c r="S266" s="154">
        <f t="shared" si="20"/>
        <v>0</v>
      </c>
      <c r="T266" s="156" t="str">
        <f>+VLOOKUP($L266,Data_Validation!$A:$D,1,0)</f>
        <v>5451</v>
      </c>
      <c r="U266" s="156" t="str">
        <f>+VLOOKUP($L266,Data_Validation!$A:$D,3,0)</f>
        <v>Pièces</v>
      </c>
      <c r="V266" s="156" t="str">
        <f>+VLOOKUP($L266,Data_Validation!$A:$D,4,0)</f>
        <v>Huiles et Graisse</v>
      </c>
      <c r="W266" s="156" t="str">
        <f>+VLOOKUP($L266,Data_Validation!$A:$E,5,0)</f>
        <v>$</v>
      </c>
      <c r="X266" s="156">
        <f>+VLOOKUP($L266,Data_Validation!$A:$F,6,0)</f>
        <v>0</v>
      </c>
    </row>
    <row r="267" spans="1:24" ht="15" hidden="1" customHeight="1">
      <c r="A267" s="1013" t="s">
        <v>2144</v>
      </c>
      <c r="B267" s="1013" t="s">
        <v>2713</v>
      </c>
      <c r="C267" s="1015">
        <v>2216.19</v>
      </c>
      <c r="D267" s="1015">
        <v>1715</v>
      </c>
      <c r="E267" s="1015">
        <v>3931.19</v>
      </c>
      <c r="F267" s="1013" t="s">
        <v>424</v>
      </c>
      <c r="G267" s="1013" t="s">
        <v>2145</v>
      </c>
      <c r="H267" s="949"/>
      <c r="I267" s="949"/>
      <c r="J267" s="949"/>
      <c r="K267" s="949"/>
      <c r="L267" s="153" t="str">
        <f t="shared" si="18"/>
        <v>5491</v>
      </c>
      <c r="M267" s="154" t="str">
        <f t="shared" si="19"/>
        <v>REPARATION SOUS-LOC. - GENERAL</v>
      </c>
      <c r="N267" s="155">
        <f>+IF(OR($Q267=Parametres!$G$2,$Q267=Parametres!$G$3),I267,C267)</f>
        <v>2216.19</v>
      </c>
      <c r="O267" s="155">
        <f>+IF(OR($Q267=Parametres!$G$2,$Q267=Parametres!$G$3),J267,D267)</f>
        <v>1715</v>
      </c>
      <c r="P267" s="155">
        <f>+IF(OR($Q267=Parametres!$G$2,$Q267=Parametres!$G$3),K267,E267)</f>
        <v>3931.19</v>
      </c>
      <c r="Q267" s="154" t="str">
        <f t="shared" si="20"/>
        <v>6-Coût des ventes</v>
      </c>
      <c r="R267" s="153" t="str">
        <f t="shared" si="20"/>
        <v>4491</v>
      </c>
      <c r="S267" s="154">
        <f t="shared" si="20"/>
        <v>0</v>
      </c>
      <c r="T267" s="156" t="str">
        <f>+VLOOKUP($L267,Data_Validation!$A:$D,1,0)</f>
        <v>5491</v>
      </c>
      <c r="U267" s="156" t="str">
        <f>+VLOOKUP($L267,Data_Validation!$A:$D,3,0)</f>
        <v>Service</v>
      </c>
      <c r="V267" s="156" t="str">
        <f>+VLOOKUP($L267,Data_Validation!$A:$D,4,0)</f>
        <v>Sous-traitement</v>
      </c>
      <c r="W267" s="156" t="str">
        <f>+VLOOKUP($L267,Data_Validation!$A:$E,5,0)</f>
        <v>$</v>
      </c>
      <c r="X267" s="156">
        <f>+VLOOKUP($L267,Data_Validation!$A:$F,6,0)</f>
        <v>0</v>
      </c>
    </row>
    <row r="268" spans="1:24" ht="15" hidden="1" customHeight="1">
      <c r="A268" s="1013" t="s">
        <v>2687</v>
      </c>
      <c r="B268" s="1013" t="s">
        <v>2688</v>
      </c>
      <c r="C268" s="1015">
        <v>2350.77</v>
      </c>
      <c r="D268" s="1015">
        <v>880.19</v>
      </c>
      <c r="E268" s="1015">
        <v>3230.96</v>
      </c>
      <c r="F268" s="1013" t="s">
        <v>424</v>
      </c>
      <c r="G268" s="1013" t="s">
        <v>2168</v>
      </c>
      <c r="H268" s="949"/>
      <c r="I268" s="949"/>
      <c r="J268" s="949"/>
      <c r="K268" s="949"/>
      <c r="L268" s="153" t="str">
        <f t="shared" si="18"/>
        <v>5493</v>
      </c>
      <c r="M268" s="154" t="str">
        <f t="shared" si="19"/>
        <v>C/V - SOUS-TRAITANCE GARANTIE</v>
      </c>
      <c r="N268" s="155">
        <f>+IF(OR($Q268=Parametres!$G$2,$Q268=Parametres!$G$3),I268,C268)</f>
        <v>2350.77</v>
      </c>
      <c r="O268" s="155">
        <f>+IF(OR($Q268=Parametres!$G$2,$Q268=Parametres!$G$3),J268,D268)</f>
        <v>880.19</v>
      </c>
      <c r="P268" s="155">
        <f>+IF(OR($Q268=Parametres!$G$2,$Q268=Parametres!$G$3),K268,E268)</f>
        <v>3230.96</v>
      </c>
      <c r="Q268" s="154" t="str">
        <f t="shared" si="20"/>
        <v>6-Coût des ventes</v>
      </c>
      <c r="R268" s="153" t="str">
        <f t="shared" si="20"/>
        <v>4493</v>
      </c>
      <c r="S268" s="154">
        <f t="shared" si="20"/>
        <v>0</v>
      </c>
      <c r="T268" s="156" t="str">
        <f>+VLOOKUP($L268,Data_Validation!$A:$D,1,0)</f>
        <v>5493</v>
      </c>
      <c r="U268" s="156" t="str">
        <f>+VLOOKUP($L268,Data_Validation!$A:$D,3,0)</f>
        <v>Service</v>
      </c>
      <c r="V268" s="156" t="str">
        <f>+VLOOKUP($L268,Data_Validation!$A:$D,4,0)</f>
        <v>Sous-traitement</v>
      </c>
      <c r="W268" s="156" t="str">
        <f>+VLOOKUP($L268,Data_Validation!$A:$E,5,0)</f>
        <v>$</v>
      </c>
      <c r="X268" s="156">
        <f>+VLOOKUP($L268,Data_Validation!$A:$F,6,0)</f>
        <v>0</v>
      </c>
    </row>
    <row r="269" spans="1:24" ht="15" hidden="1" customHeight="1">
      <c r="A269" s="1013" t="s">
        <v>2789</v>
      </c>
      <c r="B269" s="1013" t="s">
        <v>2790</v>
      </c>
      <c r="C269" s="1015">
        <v>33122.589999999997</v>
      </c>
      <c r="D269" s="1015">
        <v>21882.44</v>
      </c>
      <c r="E269" s="1015">
        <v>55005.03</v>
      </c>
      <c r="F269" s="1013" t="s">
        <v>424</v>
      </c>
      <c r="G269" s="1013" t="s">
        <v>2087</v>
      </c>
      <c r="H269" s="949"/>
      <c r="I269" s="949"/>
      <c r="J269" s="949"/>
      <c r="K269" s="949"/>
      <c r="L269" s="153" t="str">
        <f t="shared" si="18"/>
        <v>5495</v>
      </c>
      <c r="M269" s="154" t="str">
        <f t="shared" si="19"/>
        <v>C/V - SOUS-TRAITANCE INTERNE</v>
      </c>
      <c r="N269" s="155">
        <f>+IF(OR($Q269=Parametres!$G$2,$Q269=Parametres!$G$3),I269,C269)</f>
        <v>33122.589999999997</v>
      </c>
      <c r="O269" s="155">
        <f>+IF(OR($Q269=Parametres!$G$2,$Q269=Parametres!$G$3),J269,D269)</f>
        <v>21882.44</v>
      </c>
      <c r="P269" s="155">
        <f>+IF(OR($Q269=Parametres!$G$2,$Q269=Parametres!$G$3),K269,E269)</f>
        <v>55005.03</v>
      </c>
      <c r="Q269" s="154" t="str">
        <f t="shared" si="20"/>
        <v>6-Coût des ventes</v>
      </c>
      <c r="R269" s="153" t="str">
        <f t="shared" si="20"/>
        <v>4495</v>
      </c>
      <c r="S269" s="154">
        <f t="shared" si="20"/>
        <v>0</v>
      </c>
      <c r="T269" s="156" t="str">
        <f>+VLOOKUP($L269,Data_Validation!$A:$D,1,0)</f>
        <v>5495</v>
      </c>
      <c r="U269" s="156" t="str">
        <f>+VLOOKUP($L269,Data_Validation!$A:$D,3,0)</f>
        <v>Service</v>
      </c>
      <c r="V269" s="156" t="str">
        <f>+VLOOKUP($L269,Data_Validation!$A:$D,4,0)</f>
        <v>Sous-traitement</v>
      </c>
      <c r="W269" s="156" t="str">
        <f>+VLOOKUP($L269,Data_Validation!$A:$E,5,0)</f>
        <v>$</v>
      </c>
      <c r="X269" s="156">
        <f>+VLOOKUP($L269,Data_Validation!$A:$F,6,0)</f>
        <v>0</v>
      </c>
    </row>
    <row r="270" spans="1:24" ht="15" hidden="1" customHeight="1">
      <c r="A270" s="1013" t="s">
        <v>2798</v>
      </c>
      <c r="B270" s="1013" t="s">
        <v>2799</v>
      </c>
      <c r="C270" s="1015">
        <v>51702.51</v>
      </c>
      <c r="D270" s="1015">
        <v>28725.66</v>
      </c>
      <c r="E270" s="1015">
        <v>80428.17</v>
      </c>
      <c r="F270" s="1013" t="s">
        <v>424</v>
      </c>
      <c r="G270" s="1013" t="s">
        <v>2070</v>
      </c>
      <c r="H270" s="949"/>
      <c r="I270" s="949"/>
      <c r="J270" s="949"/>
      <c r="K270" s="949"/>
      <c r="L270" s="153" t="str">
        <f t="shared" si="18"/>
        <v>5591</v>
      </c>
      <c r="M270" s="154" t="str">
        <f t="shared" si="19"/>
        <v>C/V - S-TRAIT. CARR.</v>
      </c>
      <c r="N270" s="155">
        <f>+IF(OR($Q270=Parametres!$G$2,$Q270=Parametres!$G$3),I270,C270)</f>
        <v>51702.51</v>
      </c>
      <c r="O270" s="575">
        <f>+IF(OR($Q270=Parametres!$G$2,$Q270=Parametres!$G$3),J270,D270)</f>
        <v>28725.66</v>
      </c>
      <c r="P270" s="155">
        <f>+IF(OR($Q270=Parametres!$G$2,$Q270=Parametres!$G$3),K270,E270)</f>
        <v>80428.17</v>
      </c>
      <c r="Q270" s="154" t="str">
        <f t="shared" si="20"/>
        <v>6-Coût des ventes</v>
      </c>
      <c r="R270" s="153" t="str">
        <f t="shared" si="20"/>
        <v>4591</v>
      </c>
      <c r="S270" s="154">
        <f t="shared" si="20"/>
        <v>0</v>
      </c>
      <c r="T270" s="156" t="str">
        <f>+VLOOKUP($L270,Data_Validation!$A:$D,1,0)</f>
        <v>5591</v>
      </c>
      <c r="U270" s="156" t="str">
        <f>+VLOOKUP($L270,Data_Validation!$A:$D,3,0)</f>
        <v>Carrosserie</v>
      </c>
      <c r="V270" s="156" t="str">
        <f>+VLOOKUP($L270,Data_Validation!$A:$D,4,0)</f>
        <v>M/O Sous-traitement</v>
      </c>
      <c r="W270" s="156" t="str">
        <f>+VLOOKUP($L270,Data_Validation!$A:$E,5,0)</f>
        <v>$</v>
      </c>
      <c r="X270" s="156">
        <f>+VLOOKUP($L270,Data_Validation!$A:$F,6,0)</f>
        <v>0</v>
      </c>
    </row>
    <row r="271" spans="1:24" ht="15" hidden="1" customHeight="1">
      <c r="A271" s="1013" t="s">
        <v>2808</v>
      </c>
      <c r="B271" s="1013" t="s">
        <v>2809</v>
      </c>
      <c r="C271" s="1015">
        <v>88522.1</v>
      </c>
      <c r="D271" s="1015">
        <v>64782.36</v>
      </c>
      <c r="E271" s="1015">
        <v>153304.46</v>
      </c>
      <c r="F271" s="1013" t="s">
        <v>424</v>
      </c>
      <c r="G271" s="1013" t="s">
        <v>2068</v>
      </c>
      <c r="H271" s="949"/>
      <c r="I271" s="949"/>
      <c r="J271" s="949"/>
      <c r="K271" s="949"/>
      <c r="L271" s="153" t="str">
        <f t="shared" si="18"/>
        <v>5593</v>
      </c>
      <c r="M271" s="154" t="str">
        <f t="shared" si="19"/>
        <v>C/V - S-TRAIT.GARANTIE CARROS.</v>
      </c>
      <c r="N271" s="155">
        <f>+IF(OR($Q271=Parametres!$G$2,$Q271=Parametres!$G$3),I271,C271)</f>
        <v>88522.1</v>
      </c>
      <c r="O271" s="575">
        <f>+IF(OR($Q271=Parametres!$G$2,$Q271=Parametres!$G$3),J271,D271)</f>
        <v>64782.36</v>
      </c>
      <c r="P271" s="155">
        <f>+IF(OR($Q271=Parametres!$G$2,$Q271=Parametres!$G$3),K271,E271)</f>
        <v>153304.46</v>
      </c>
      <c r="Q271" s="154" t="str">
        <f t="shared" si="20"/>
        <v>6-Coût des ventes</v>
      </c>
      <c r="R271" s="153" t="str">
        <f t="shared" si="20"/>
        <v>4593</v>
      </c>
      <c r="S271" s="154">
        <f t="shared" si="20"/>
        <v>0</v>
      </c>
      <c r="T271" s="156" t="str">
        <f>+VLOOKUP($L271,Data_Validation!$A:$D,1,0)</f>
        <v>5593</v>
      </c>
      <c r="U271" s="156" t="str">
        <f>+VLOOKUP($L271,Data_Validation!$A:$D,3,0)</f>
        <v>Carrosserie</v>
      </c>
      <c r="V271" s="156" t="str">
        <f>+VLOOKUP($L271,Data_Validation!$A:$D,4,0)</f>
        <v>M/O Sous-traitement</v>
      </c>
      <c r="W271" s="156" t="str">
        <f>+VLOOKUP($L271,Data_Validation!$A:$E,5,0)</f>
        <v>$</v>
      </c>
      <c r="X271" s="156">
        <f>+VLOOKUP($L271,Data_Validation!$A:$F,6,0)</f>
        <v>0</v>
      </c>
    </row>
    <row r="272" spans="1:24" ht="15.75" hidden="1" customHeight="1">
      <c r="A272" s="1013" t="s">
        <v>2767</v>
      </c>
      <c r="B272" s="1013" t="s">
        <v>2768</v>
      </c>
      <c r="C272" s="1015">
        <v>6210.25</v>
      </c>
      <c r="D272" s="1015">
        <v>9213</v>
      </c>
      <c r="E272" s="1015">
        <v>15423.25</v>
      </c>
      <c r="F272" s="1013" t="s">
        <v>424</v>
      </c>
      <c r="G272" s="1013" t="s">
        <v>2101</v>
      </c>
      <c r="H272" s="949"/>
      <c r="I272" s="949"/>
      <c r="J272" s="949"/>
      <c r="K272" s="949"/>
      <c r="L272" s="153" t="str">
        <f t="shared" si="18"/>
        <v>5595</v>
      </c>
      <c r="M272" s="154" t="str">
        <f t="shared" si="19"/>
        <v>C/V - S-TRAIT.INTERNE CARROS.</v>
      </c>
      <c r="N272" s="155">
        <f>+IF(OR($Q272=Parametres!$G$2,$Q272=Parametres!$G$3),I272,C272)</f>
        <v>6210.25</v>
      </c>
      <c r="O272" s="575">
        <f>+IF(OR($Q272=Parametres!$G$2,$Q272=Parametres!$G$3),J272,D272)</f>
        <v>9213</v>
      </c>
      <c r="P272" s="155">
        <f>+IF(OR($Q272=Parametres!$G$2,$Q272=Parametres!$G$3),K272,E272)</f>
        <v>15423.25</v>
      </c>
      <c r="Q272" s="154" t="str">
        <f t="shared" si="20"/>
        <v>6-Coût des ventes</v>
      </c>
      <c r="R272" s="153" t="str">
        <f t="shared" si="20"/>
        <v>4595</v>
      </c>
      <c r="S272" s="154">
        <f t="shared" si="20"/>
        <v>0</v>
      </c>
      <c r="T272" s="156" t="str">
        <f>+VLOOKUP($L272,Data_Validation!$A:$D,1,0)</f>
        <v>5595</v>
      </c>
      <c r="U272" s="156" t="str">
        <f>+VLOOKUP($L272,Data_Validation!$A:$D,3,0)</f>
        <v>Carrosserie</v>
      </c>
      <c r="V272" s="156" t="str">
        <f>+VLOOKUP($L272,Data_Validation!$A:$D,4,0)</f>
        <v>M/O Sous-traitement</v>
      </c>
      <c r="W272" s="156" t="str">
        <f>+VLOOKUP($L272,Data_Validation!$A:$E,5,0)</f>
        <v>$</v>
      </c>
      <c r="X272" s="156">
        <f>+VLOOKUP($L272,Data_Validation!$A:$F,6,0)</f>
        <v>0</v>
      </c>
    </row>
    <row r="273" spans="1:24" ht="15" hidden="1" customHeight="1">
      <c r="A273" s="1013" t="s">
        <v>2832</v>
      </c>
      <c r="B273" s="1013" t="s">
        <v>2833</v>
      </c>
      <c r="C273" s="1015">
        <v>61465.04</v>
      </c>
      <c r="D273" s="1015">
        <v>30657.79</v>
      </c>
      <c r="E273" s="1015">
        <v>92122.83</v>
      </c>
      <c r="F273" s="1013" t="s">
        <v>424</v>
      </c>
      <c r="G273" s="1013" t="s">
        <v>2024</v>
      </c>
      <c r="H273" s="949"/>
      <c r="I273" s="948"/>
      <c r="J273" s="948"/>
      <c r="K273" s="948"/>
      <c r="L273" s="153" t="str">
        <f t="shared" si="18"/>
        <v>5701</v>
      </c>
      <c r="M273" s="154" t="str">
        <f t="shared" si="19"/>
        <v>C/V - PIECE/ACC B.R. CLIENT VW</v>
      </c>
      <c r="N273" s="155">
        <f>+IF(OR($Q273=Parametres!$G$2,$Q273=Parametres!$G$3),I273,C273)</f>
        <v>61465.04</v>
      </c>
      <c r="O273" s="575">
        <f>+IF(OR($Q273=Parametres!$G$2,$Q273=Parametres!$G$3),J273,D273)</f>
        <v>30657.79</v>
      </c>
      <c r="P273" s="155">
        <f>+IF(OR($Q273=Parametres!$G$2,$Q273=Parametres!$G$3),K273,E273)</f>
        <v>92122.83</v>
      </c>
      <c r="Q273" s="154" t="str">
        <f t="shared" si="20"/>
        <v>6-Coût des ventes</v>
      </c>
      <c r="R273" s="153" t="str">
        <f t="shared" si="20"/>
        <v>4701</v>
      </c>
      <c r="S273" s="154">
        <f t="shared" si="20"/>
        <v>0</v>
      </c>
      <c r="T273" s="156" t="str">
        <f>+VLOOKUP($L273,Data_Validation!$A:$D,1,0)</f>
        <v>5701</v>
      </c>
      <c r="U273" s="156" t="str">
        <f>+VLOOKUP($L273,Data_Validation!$A:$D,3,0)</f>
        <v>Pièces</v>
      </c>
      <c r="V273" s="156" t="str">
        <f>+VLOOKUP($L273,Data_Validation!$A:$D,4,0)</f>
        <v>Pièces Ro Clients</v>
      </c>
      <c r="W273" s="156" t="str">
        <f>+VLOOKUP($L273,Data_Validation!$A:$E,5,0)</f>
        <v>$</v>
      </c>
      <c r="X273" s="156">
        <f>+VLOOKUP($L273,Data_Validation!$A:$F,6,0)</f>
        <v>0</v>
      </c>
    </row>
    <row r="274" spans="1:24" ht="15" hidden="1" customHeight="1">
      <c r="A274" s="1013" t="s">
        <v>2814</v>
      </c>
      <c r="B274" s="1013" t="s">
        <v>2815</v>
      </c>
      <c r="C274" s="1015">
        <v>130023.16</v>
      </c>
      <c r="D274" s="1015">
        <v>59303.519999999997</v>
      </c>
      <c r="E274" s="1015">
        <v>189326.68</v>
      </c>
      <c r="F274" s="1013" t="s">
        <v>424</v>
      </c>
      <c r="G274" s="1013" t="s">
        <v>2044</v>
      </c>
      <c r="H274" s="949"/>
      <c r="I274" s="948"/>
      <c r="J274" s="948"/>
      <c r="K274" s="948"/>
      <c r="L274" s="153" t="str">
        <f t="shared" si="18"/>
        <v>5703</v>
      </c>
      <c r="M274" s="154" t="str">
        <f t="shared" si="19"/>
        <v>C/V - PIECE/ACC B.R. GARANTIE VW</v>
      </c>
      <c r="N274" s="155">
        <f>+IF(OR($Q274=Parametres!$G$2,$Q274=Parametres!$G$3),I274,C274)</f>
        <v>130023.16</v>
      </c>
      <c r="O274" s="575">
        <f>+IF(OR($Q274=Parametres!$G$2,$Q274=Parametres!$G$3),J274,D274)</f>
        <v>59303.519999999997</v>
      </c>
      <c r="P274" s="155">
        <f>+IF(OR($Q274=Parametres!$G$2,$Q274=Parametres!$G$3),K274,E274)</f>
        <v>189326.68</v>
      </c>
      <c r="Q274" s="154" t="str">
        <f t="shared" ref="Q274:S289" si="21">+F274</f>
        <v>6-Coût des ventes</v>
      </c>
      <c r="R274" s="153" t="str">
        <f t="shared" si="21"/>
        <v>4703</v>
      </c>
      <c r="S274" s="154">
        <f t="shared" si="21"/>
        <v>0</v>
      </c>
      <c r="T274" s="156" t="str">
        <f>+VLOOKUP($L274,Data_Validation!$A:$D,1,0)</f>
        <v>5703</v>
      </c>
      <c r="U274" s="156" t="str">
        <f>+VLOOKUP($L274,Data_Validation!$A:$D,3,0)</f>
        <v>Pièces</v>
      </c>
      <c r="V274" s="156" t="str">
        <f>+VLOOKUP($L274,Data_Validation!$A:$D,4,0)</f>
        <v>P/A Garantie</v>
      </c>
      <c r="W274" s="156" t="str">
        <f>+VLOOKUP($L274,Data_Validation!$A:$E,5,0)</f>
        <v>$</v>
      </c>
      <c r="X274" s="156">
        <f>+VLOOKUP($L274,Data_Validation!$A:$F,6,0)</f>
        <v>0</v>
      </c>
    </row>
    <row r="275" spans="1:24" ht="15" hidden="1" customHeight="1">
      <c r="A275" s="1013" t="s">
        <v>2811</v>
      </c>
      <c r="B275" s="1013" t="s">
        <v>2812</v>
      </c>
      <c r="C275" s="1015">
        <v>46251.69</v>
      </c>
      <c r="D275" s="1015">
        <v>25336.720000000001</v>
      </c>
      <c r="E275" s="1015">
        <v>71588.41</v>
      </c>
      <c r="F275" s="1013" t="s">
        <v>424</v>
      </c>
      <c r="G275" s="1013" t="s">
        <v>2048</v>
      </c>
      <c r="H275" s="949"/>
      <c r="I275" s="948"/>
      <c r="J275" s="948"/>
      <c r="K275" s="948"/>
      <c r="L275" s="153" t="str">
        <f t="shared" si="18"/>
        <v>5705</v>
      </c>
      <c r="M275" s="154" t="str">
        <f t="shared" si="19"/>
        <v>C/V - PIECE/ACC B.R. INTERNE VW</v>
      </c>
      <c r="N275" s="155">
        <f>+IF(OR($Q275=Parametres!$G$2,$Q275=Parametres!$G$3),I275,C275)</f>
        <v>46251.69</v>
      </c>
      <c r="O275" s="575">
        <f>+IF(OR($Q275=Parametres!$G$2,$Q275=Parametres!$G$3),J275,D275)</f>
        <v>25336.720000000001</v>
      </c>
      <c r="P275" s="155">
        <f>+IF(OR($Q275=Parametres!$G$2,$Q275=Parametres!$G$3),K275,E275)</f>
        <v>71588.41</v>
      </c>
      <c r="Q275" s="154" t="str">
        <f t="shared" si="21"/>
        <v>6-Coût des ventes</v>
      </c>
      <c r="R275" s="153" t="str">
        <f t="shared" si="21"/>
        <v>4705</v>
      </c>
      <c r="S275" s="154">
        <f t="shared" si="21"/>
        <v>0</v>
      </c>
      <c r="T275" s="156" t="str">
        <f>+VLOOKUP($L275,Data_Validation!$A:$D,1,0)</f>
        <v>5705</v>
      </c>
      <c r="U275" s="156" t="str">
        <f>+VLOOKUP($L275,Data_Validation!$A:$D,3,0)</f>
        <v>Pièces</v>
      </c>
      <c r="V275" s="156" t="str">
        <f>+VLOOKUP($L275,Data_Validation!$A:$D,4,0)</f>
        <v>Ventes Internes</v>
      </c>
      <c r="W275" s="156" t="str">
        <f>+VLOOKUP($L275,Data_Validation!$A:$E,5,0)</f>
        <v>$</v>
      </c>
      <c r="X275" s="156">
        <f>+VLOOKUP($L275,Data_Validation!$A:$F,6,0)</f>
        <v>0</v>
      </c>
    </row>
    <row r="276" spans="1:24" ht="15" hidden="1" customHeight="1">
      <c r="A276" s="1013" t="s">
        <v>2460</v>
      </c>
      <c r="B276" s="1013" t="s">
        <v>2728</v>
      </c>
      <c r="C276" s="1015">
        <v>3552.63</v>
      </c>
      <c r="D276" s="1015">
        <v>2987.96</v>
      </c>
      <c r="E276" s="1015">
        <v>6540.59</v>
      </c>
      <c r="F276" s="1013" t="s">
        <v>424</v>
      </c>
      <c r="G276" s="1013" t="s">
        <v>2115</v>
      </c>
      <c r="H276" s="949"/>
      <c r="I276" s="948"/>
      <c r="J276" s="948"/>
      <c r="K276" s="948"/>
      <c r="L276" s="153" t="str">
        <f t="shared" si="18"/>
        <v>5711</v>
      </c>
      <c r="M276" s="154" t="str">
        <f t="shared" si="19"/>
        <v>C/V - AUTRE PIECE/ACC/CARR B.R. CLIENT</v>
      </c>
      <c r="N276" s="155">
        <f>+IF(OR($Q276=Parametres!$G$2,$Q276=Parametres!$G$3),I276,C276)</f>
        <v>3552.63</v>
      </c>
      <c r="O276" s="575">
        <f>+IF(OR($Q276=Parametres!$G$2,$Q276=Parametres!$G$3),J276,D276)</f>
        <v>2987.96</v>
      </c>
      <c r="P276" s="155">
        <f>+IF(OR($Q276=Parametres!$G$2,$Q276=Parametres!$G$3),K276,E276)</f>
        <v>6540.59</v>
      </c>
      <c r="Q276" s="154" t="str">
        <f t="shared" si="21"/>
        <v>6-Coût des ventes</v>
      </c>
      <c r="R276" s="153" t="str">
        <f t="shared" si="21"/>
        <v>4711</v>
      </c>
      <c r="S276" s="154">
        <f t="shared" si="21"/>
        <v>0</v>
      </c>
      <c r="T276" s="156" t="str">
        <f>+VLOOKUP($L276,Data_Validation!$A:$D,1,0)</f>
        <v>5711</v>
      </c>
      <c r="U276" s="156" t="str">
        <f>+VLOOKUP($L276,Data_Validation!$A:$D,3,0)</f>
        <v>Pièces</v>
      </c>
      <c r="V276" s="156" t="str">
        <f>+VLOOKUP($L276,Data_Validation!$A:$D,4,0)</f>
        <v>Pièces Ro Clients</v>
      </c>
      <c r="W276" s="156" t="str">
        <f>+VLOOKUP($L276,Data_Validation!$A:$E,5,0)</f>
        <v>$</v>
      </c>
      <c r="X276" s="156">
        <f>+VLOOKUP($L276,Data_Validation!$A:$F,6,0)</f>
        <v>0</v>
      </c>
    </row>
    <row r="277" spans="1:24" ht="15" hidden="1" customHeight="1">
      <c r="A277" s="1013" t="s">
        <v>2460</v>
      </c>
      <c r="B277" s="1013" t="s">
        <v>2461</v>
      </c>
      <c r="C277" s="1015">
        <v>13781.76</v>
      </c>
      <c r="D277" s="1015">
        <v>5853.35</v>
      </c>
      <c r="E277" s="1015">
        <v>19635.11</v>
      </c>
      <c r="F277" s="1013" t="s">
        <v>424</v>
      </c>
      <c r="G277" s="1013" t="s">
        <v>2445</v>
      </c>
      <c r="H277" s="949"/>
      <c r="I277" s="948"/>
      <c r="J277" s="948"/>
      <c r="K277" s="948"/>
      <c r="L277" s="153" t="str">
        <f t="shared" si="18"/>
        <v>5721</v>
      </c>
      <c r="M277" s="154" t="str">
        <f t="shared" si="19"/>
        <v>C/V - AUTRE PIECE/ACC/CARR B.R. CLIENT</v>
      </c>
      <c r="N277" s="155">
        <f>+IF(OR($Q277=Parametres!$G$2,$Q277=Parametres!$G$3),I277,C277)</f>
        <v>13781.76</v>
      </c>
      <c r="O277" s="575">
        <f>+IF(OR($Q277=Parametres!$G$2,$Q277=Parametres!$G$3),J277,D277)</f>
        <v>5853.35</v>
      </c>
      <c r="P277" s="155">
        <f>+IF(OR($Q277=Parametres!$G$2,$Q277=Parametres!$G$3),K277,E277)</f>
        <v>19635.11</v>
      </c>
      <c r="Q277" s="154" t="str">
        <f t="shared" si="21"/>
        <v>6-Coût des ventes</v>
      </c>
      <c r="R277" s="153" t="str">
        <f t="shared" si="21"/>
        <v>4721</v>
      </c>
      <c r="S277" s="154">
        <f t="shared" si="21"/>
        <v>0</v>
      </c>
      <c r="T277" s="156" t="str">
        <f>+VLOOKUP($L277,Data_Validation!$A:$D,1,0)</f>
        <v>5721</v>
      </c>
      <c r="U277" s="156" t="str">
        <f>+VLOOKUP($L277,Data_Validation!$A:$D,3,0)</f>
        <v>Pièces</v>
      </c>
      <c r="V277" s="156" t="str">
        <f>+VLOOKUP($L277,Data_Validation!$A:$D,4,0)</f>
        <v>Pièces Ro Clients</v>
      </c>
      <c r="W277" s="156" t="str">
        <f>+VLOOKUP($L277,Data_Validation!$A:$E,5,0)</f>
        <v>$</v>
      </c>
      <c r="X277" s="156">
        <f>+VLOOKUP($L277,Data_Validation!$A:$F,6,0)</f>
        <v>0</v>
      </c>
    </row>
    <row r="278" spans="1:24" ht="15" hidden="1" customHeight="1">
      <c r="A278" s="1013" t="s">
        <v>2754</v>
      </c>
      <c r="B278" s="1013" t="s">
        <v>2755</v>
      </c>
      <c r="C278" s="1015">
        <v>35602.89</v>
      </c>
      <c r="D278" s="1015">
        <v>10081.94</v>
      </c>
      <c r="E278" s="1015">
        <v>45684.83</v>
      </c>
      <c r="F278" s="1013" t="s">
        <v>424</v>
      </c>
      <c r="G278" s="1013" t="s">
        <v>2108</v>
      </c>
      <c r="H278" s="949"/>
      <c r="I278" s="948"/>
      <c r="J278" s="948"/>
      <c r="K278" s="948"/>
      <c r="L278" s="153" t="str">
        <f t="shared" si="18"/>
        <v>5731</v>
      </c>
      <c r="M278" s="154" t="str">
        <f t="shared" si="19"/>
        <v>C/V - PIECES-BON REPAR.-PEINT/DEBOS</v>
      </c>
      <c r="N278" s="155">
        <f>+IF(OR($Q278=Parametres!$G$2,$Q278=Parametres!$G$3),I278,C278)</f>
        <v>35602.89</v>
      </c>
      <c r="O278" s="575">
        <f>+IF(OR($Q278=Parametres!$G$2,$Q278=Parametres!$G$3),J278,D278)</f>
        <v>10081.94</v>
      </c>
      <c r="P278" s="155">
        <f>+IF(OR($Q278=Parametres!$G$2,$Q278=Parametres!$G$3),K278,E278)</f>
        <v>45684.83</v>
      </c>
      <c r="Q278" s="154" t="str">
        <f t="shared" si="21"/>
        <v>6-Coût des ventes</v>
      </c>
      <c r="R278" s="153" t="str">
        <f t="shared" si="21"/>
        <v>4731</v>
      </c>
      <c r="S278" s="154">
        <f t="shared" si="21"/>
        <v>0</v>
      </c>
      <c r="T278" s="156" t="str">
        <f>+VLOOKUP($L278,Data_Validation!$A:$D,1,0)</f>
        <v>5731</v>
      </c>
      <c r="U278" s="156" t="str">
        <f>+VLOOKUP($L278,Data_Validation!$A:$D,3,0)</f>
        <v>Pièces</v>
      </c>
      <c r="V278" s="156" t="str">
        <f>+VLOOKUP($L278,Data_Validation!$A:$D,4,0)</f>
        <v>Pièces Ro Carrosserie</v>
      </c>
      <c r="W278" s="156" t="str">
        <f>+VLOOKUP($L278,Data_Validation!$A:$E,5,0)</f>
        <v>$</v>
      </c>
      <c r="X278" s="156">
        <f>+VLOOKUP($L278,Data_Validation!$A:$F,6,0)</f>
        <v>0</v>
      </c>
    </row>
    <row r="279" spans="1:24" ht="15.75" hidden="1" customHeight="1">
      <c r="A279" s="1013" t="s">
        <v>2787</v>
      </c>
      <c r="B279" s="1013" t="s">
        <v>2788</v>
      </c>
      <c r="C279" s="1015">
        <v>65799.09</v>
      </c>
      <c r="D279" s="1015">
        <v>38472.03</v>
      </c>
      <c r="E279" s="1015">
        <v>104271.12</v>
      </c>
      <c r="F279" s="1013" t="s">
        <v>424</v>
      </c>
      <c r="G279" s="1013" t="s">
        <v>2091</v>
      </c>
      <c r="H279" s="949"/>
      <c r="I279" s="948"/>
      <c r="J279" s="948"/>
      <c r="K279" s="948"/>
      <c r="L279" s="153" t="str">
        <f t="shared" si="18"/>
        <v>5733</v>
      </c>
      <c r="M279" s="154" t="str">
        <f t="shared" si="19"/>
        <v>C/V - P&amp;A B.T. GAR.CARR.VW</v>
      </c>
      <c r="N279" s="155">
        <f>+IF(OR($Q279=Parametres!$G$2,$Q279=Parametres!$G$3),I279,C279)</f>
        <v>65799.09</v>
      </c>
      <c r="O279" s="575">
        <f>+IF(OR($Q279=Parametres!$G$2,$Q279=Parametres!$G$3),J279,D279)</f>
        <v>38472.03</v>
      </c>
      <c r="P279" s="155">
        <f>+IF(OR($Q279=Parametres!$G$2,$Q279=Parametres!$G$3),K279,E279)</f>
        <v>104271.12</v>
      </c>
      <c r="Q279" s="154" t="str">
        <f t="shared" si="21"/>
        <v>6-Coût des ventes</v>
      </c>
      <c r="R279" s="153" t="str">
        <f t="shared" si="21"/>
        <v>4733</v>
      </c>
      <c r="S279" s="154">
        <f t="shared" si="21"/>
        <v>0</v>
      </c>
      <c r="T279" s="156" t="str">
        <f>+VLOOKUP($L279,Data_Validation!$A:$D,1,0)</f>
        <v>5733</v>
      </c>
      <c r="U279" s="156" t="str">
        <f>+VLOOKUP($L279,Data_Validation!$A:$D,3,0)</f>
        <v>Pièces</v>
      </c>
      <c r="V279" s="156" t="str">
        <f>+VLOOKUP($L279,Data_Validation!$A:$D,4,0)</f>
        <v>Pièces Ro Carrosserie</v>
      </c>
      <c r="W279" s="156" t="str">
        <f>+VLOOKUP($L279,Data_Validation!$A:$E,5,0)</f>
        <v>$</v>
      </c>
      <c r="X279" s="156">
        <f>+VLOOKUP($L279,Data_Validation!$A:$F,6,0)</f>
        <v>0</v>
      </c>
    </row>
    <row r="280" spans="1:24" ht="15" hidden="1" customHeight="1">
      <c r="A280" s="1013" t="s">
        <v>2668</v>
      </c>
      <c r="B280" s="1013" t="s">
        <v>2669</v>
      </c>
      <c r="C280" s="1015">
        <v>288.05</v>
      </c>
      <c r="D280" s="1015">
        <v>2538.23</v>
      </c>
      <c r="E280" s="1015">
        <v>2826.28</v>
      </c>
      <c r="F280" s="1013" t="s">
        <v>424</v>
      </c>
      <c r="G280" s="1013" t="s">
        <v>2166</v>
      </c>
      <c r="H280" s="949"/>
      <c r="I280" s="948"/>
      <c r="J280" s="948"/>
      <c r="K280" s="948"/>
      <c r="L280" s="153" t="str">
        <f t="shared" si="18"/>
        <v>5735</v>
      </c>
      <c r="M280" s="154" t="str">
        <f t="shared" si="19"/>
        <v>C/V - P&amp;A B.T.INTERNE CARR.VW</v>
      </c>
      <c r="N280" s="155">
        <f>+IF(OR($Q280=Parametres!$G$2,$Q280=Parametres!$G$3),I280,C280)</f>
        <v>288.05</v>
      </c>
      <c r="O280" s="575">
        <f>+IF(OR($Q280=Parametres!$G$2,$Q280=Parametres!$G$3),J280,D280)</f>
        <v>2538.23</v>
      </c>
      <c r="P280" s="155">
        <f>+IF(OR($Q280=Parametres!$G$2,$Q280=Parametres!$G$3),K280,E280)</f>
        <v>2826.28</v>
      </c>
      <c r="Q280" s="154" t="str">
        <f t="shared" si="21"/>
        <v>6-Coût des ventes</v>
      </c>
      <c r="R280" s="153" t="str">
        <f t="shared" si="21"/>
        <v>4735</v>
      </c>
      <c r="S280" s="154">
        <f t="shared" si="21"/>
        <v>0</v>
      </c>
      <c r="T280" s="156" t="str">
        <f>+VLOOKUP($L280,Data_Validation!$A:$D,1,0)</f>
        <v>5735</v>
      </c>
      <c r="U280" s="156" t="str">
        <f>+VLOOKUP($L280,Data_Validation!$A:$D,3,0)</f>
        <v>Pièces</v>
      </c>
      <c r="V280" s="156" t="str">
        <f>+VLOOKUP($L280,Data_Validation!$A:$D,4,0)</f>
        <v>Pièces Ro Carrosserie</v>
      </c>
      <c r="W280" s="156" t="str">
        <f>+VLOOKUP($L280,Data_Validation!$A:$E,5,0)</f>
        <v>$</v>
      </c>
      <c r="X280" s="156">
        <f>+VLOOKUP($L280,Data_Validation!$A:$F,6,0)</f>
        <v>0</v>
      </c>
    </row>
    <row r="281" spans="1:24" ht="15" hidden="1" customHeight="1">
      <c r="A281" s="1013" t="s">
        <v>2794</v>
      </c>
      <c r="B281" s="1013" t="s">
        <v>2795</v>
      </c>
      <c r="C281" s="1015">
        <v>13267.22</v>
      </c>
      <c r="D281" s="1015">
        <v>7237.63</v>
      </c>
      <c r="E281" s="1015">
        <v>20504.849999999999</v>
      </c>
      <c r="F281" s="1013" t="s">
        <v>424</v>
      </c>
      <c r="G281" s="1013" t="s">
        <v>2083</v>
      </c>
      <c r="H281" s="949"/>
      <c r="I281" s="948"/>
      <c r="J281" s="948"/>
      <c r="K281" s="948"/>
      <c r="L281" s="153" t="str">
        <f t="shared" si="18"/>
        <v>5761</v>
      </c>
      <c r="M281" s="154" t="str">
        <f t="shared" si="19"/>
        <v>C/V - P&amp;A VW COMPTOIR - DETAIL</v>
      </c>
      <c r="N281" s="155">
        <f>+IF(OR($Q281=Parametres!$G$2,$Q281=Parametres!$G$3),I281,C281)</f>
        <v>13267.22</v>
      </c>
      <c r="O281" s="575">
        <f>+IF(OR($Q281=Parametres!$G$2,$Q281=Parametres!$G$3),J281,D281)</f>
        <v>7237.63</v>
      </c>
      <c r="P281" s="155">
        <f>+IF(OR($Q281=Parametres!$G$2,$Q281=Parametres!$G$3),K281,E281)</f>
        <v>20504.849999999999</v>
      </c>
      <c r="Q281" s="154" t="str">
        <f t="shared" si="21"/>
        <v>6-Coût des ventes</v>
      </c>
      <c r="R281" s="153" t="str">
        <f t="shared" si="21"/>
        <v>4761</v>
      </c>
      <c r="S281" s="154">
        <f t="shared" si="21"/>
        <v>0</v>
      </c>
      <c r="T281" s="156" t="str">
        <f>+VLOOKUP($L281,Data_Validation!$A:$D,1,0)</f>
        <v>5761</v>
      </c>
      <c r="U281" s="156" t="str">
        <f>+VLOOKUP($L281,Data_Validation!$A:$D,3,0)</f>
        <v>Pièces</v>
      </c>
      <c r="V281" s="156" t="str">
        <f>+VLOOKUP($L281,Data_Validation!$A:$D,4,0)</f>
        <v>Ventes Détails</v>
      </c>
      <c r="W281" s="156" t="str">
        <f>+VLOOKUP($L281,Data_Validation!$A:$E,5,0)</f>
        <v>$</v>
      </c>
      <c r="X281" s="156">
        <f>+VLOOKUP($L281,Data_Validation!$A:$F,6,0)</f>
        <v>0</v>
      </c>
    </row>
    <row r="282" spans="1:24" ht="15" hidden="1" customHeight="1">
      <c r="A282" s="1013" t="s">
        <v>2816</v>
      </c>
      <c r="B282" s="1013" t="s">
        <v>2817</v>
      </c>
      <c r="C282" s="1015">
        <v>77075.22</v>
      </c>
      <c r="D282" s="1015">
        <v>37978.720000000001</v>
      </c>
      <c r="E282" s="1015">
        <v>115053.94</v>
      </c>
      <c r="F282" s="1013" t="s">
        <v>424</v>
      </c>
      <c r="G282" s="1013" t="s">
        <v>2046</v>
      </c>
      <c r="H282" s="949"/>
      <c r="I282" s="949"/>
      <c r="J282" s="949"/>
      <c r="K282" s="949"/>
      <c r="L282" s="153" t="str">
        <f t="shared" si="18"/>
        <v>5763</v>
      </c>
      <c r="M282" s="154" t="str">
        <f t="shared" si="19"/>
        <v>C/V - P&amp;A VW COMPTOIR GROS - ECHANGE</v>
      </c>
      <c r="N282" s="155">
        <f>+IF(OR($Q282=Parametres!$G$2,$Q282=Parametres!$G$3),I282,C282)</f>
        <v>77075.22</v>
      </c>
      <c r="O282" s="575">
        <f>+IF(OR($Q282=Parametres!$G$2,$Q282=Parametres!$G$3),J282,D282)</f>
        <v>37978.720000000001</v>
      </c>
      <c r="P282" s="155">
        <f>+IF(OR($Q282=Parametres!$G$2,$Q282=Parametres!$G$3),K282,E282)</f>
        <v>115053.94</v>
      </c>
      <c r="Q282" s="154" t="str">
        <f t="shared" si="21"/>
        <v>6-Coût des ventes</v>
      </c>
      <c r="R282" s="153" t="str">
        <f t="shared" si="21"/>
        <v>4763</v>
      </c>
      <c r="S282" s="154">
        <f t="shared" si="21"/>
        <v>0</v>
      </c>
      <c r="T282" s="156" t="str">
        <f>+VLOOKUP($L282,Data_Validation!$A:$D,1,0)</f>
        <v>5763</v>
      </c>
      <c r="U282" s="156" t="str">
        <f>+VLOOKUP($L282,Data_Validation!$A:$D,3,0)</f>
        <v>Pièces</v>
      </c>
      <c r="V282" s="156" t="str">
        <f>+VLOOKUP($L282,Data_Validation!$A:$D,4,0)</f>
        <v>Ventes de Gros</v>
      </c>
      <c r="W282" s="156" t="str">
        <f>+VLOOKUP($L282,Data_Validation!$A:$E,5,0)</f>
        <v>$</v>
      </c>
      <c r="X282" s="156">
        <f>+VLOOKUP($L282,Data_Validation!$A:$F,6,0)</f>
        <v>0</v>
      </c>
    </row>
    <row r="283" spans="1:24" ht="15.75" hidden="1" customHeight="1">
      <c r="A283" s="1013" t="s">
        <v>2820</v>
      </c>
      <c r="B283" s="1013" t="s">
        <v>2821</v>
      </c>
      <c r="C283" s="1015">
        <v>72640.490000000005</v>
      </c>
      <c r="D283" s="1015">
        <v>23525.38</v>
      </c>
      <c r="E283" s="1015">
        <v>96165.87</v>
      </c>
      <c r="F283" s="1013" t="s">
        <v>424</v>
      </c>
      <c r="G283" s="1013" t="s">
        <v>2035</v>
      </c>
      <c r="H283" s="949"/>
      <c r="I283" s="949"/>
      <c r="J283" s="949"/>
      <c r="K283" s="949"/>
      <c r="L283" s="153" t="str">
        <f t="shared" si="18"/>
        <v>5781</v>
      </c>
      <c r="M283" s="154" t="str">
        <f t="shared" si="19"/>
        <v>COUT PNEUS</v>
      </c>
      <c r="N283" s="155">
        <f>+IF(OR($Q283=Parametres!$G$2,$Q283=Parametres!$G$3),I283,C283)</f>
        <v>72640.490000000005</v>
      </c>
      <c r="O283" s="575">
        <f>+IF(OR($Q283=Parametres!$G$2,$Q283=Parametres!$G$3),J283,D283)</f>
        <v>23525.38</v>
      </c>
      <c r="P283" s="155">
        <f>+IF(OR($Q283=Parametres!$G$2,$Q283=Parametres!$G$3),K283,E283)</f>
        <v>96165.87</v>
      </c>
      <c r="Q283" s="154" t="str">
        <f t="shared" si="21"/>
        <v>6-Coût des ventes</v>
      </c>
      <c r="R283" s="153" t="str">
        <f t="shared" si="21"/>
        <v>4781</v>
      </c>
      <c r="S283" s="154">
        <f t="shared" si="21"/>
        <v>0</v>
      </c>
      <c r="T283" s="156" t="str">
        <f>+VLOOKUP($L283,Data_Validation!$A:$D,1,0)</f>
        <v>5781</v>
      </c>
      <c r="U283" s="156" t="str">
        <f>+VLOOKUP($L283,Data_Validation!$A:$D,3,0)</f>
        <v>Pièces</v>
      </c>
      <c r="V283" s="156" t="str">
        <f>+VLOOKUP($L283,Data_Validation!$A:$D,4,0)</f>
        <v>Ventes Pneus</v>
      </c>
      <c r="W283" s="156" t="str">
        <f>+VLOOKUP($L283,Data_Validation!$A:$E,5,0)</f>
        <v>$</v>
      </c>
      <c r="X283" s="156">
        <f>+VLOOKUP($L283,Data_Validation!$A:$F,6,0)</f>
        <v>0</v>
      </c>
    </row>
    <row r="284" spans="1:24" ht="15" hidden="1" customHeight="1">
      <c r="A284" s="1013" t="s">
        <v>2729</v>
      </c>
      <c r="B284" s="1013" t="s">
        <v>2730</v>
      </c>
      <c r="C284" s="1015">
        <v>414.93</v>
      </c>
      <c r="D284" s="1015">
        <v>288.35000000000002</v>
      </c>
      <c r="E284" s="1015">
        <v>703.28</v>
      </c>
      <c r="F284" s="1013" t="s">
        <v>424</v>
      </c>
      <c r="G284" s="1013" t="s">
        <v>2035</v>
      </c>
      <c r="H284" s="949"/>
      <c r="I284" s="949"/>
      <c r="J284" s="949"/>
      <c r="K284" s="949"/>
      <c r="L284" s="153" t="str">
        <f t="shared" si="18"/>
        <v>5785</v>
      </c>
      <c r="M284" s="154" t="str">
        <f t="shared" si="19"/>
        <v>C/V - VW PNEUS</v>
      </c>
      <c r="N284" s="155">
        <f>+IF(OR($Q284=Parametres!$G$2,$Q284=Parametres!$G$3),I284,C284)</f>
        <v>414.93</v>
      </c>
      <c r="O284" s="575">
        <f>+IF(OR($Q284=Parametres!$G$2,$Q284=Parametres!$G$3),J284,D284)</f>
        <v>288.35000000000002</v>
      </c>
      <c r="P284" s="155">
        <f>+IF(OR($Q284=Parametres!$G$2,$Q284=Parametres!$G$3),K284,E284)</f>
        <v>703.28</v>
      </c>
      <c r="Q284" s="154" t="str">
        <f t="shared" si="21"/>
        <v>6-Coût des ventes</v>
      </c>
      <c r="R284" s="153" t="str">
        <f t="shared" si="21"/>
        <v>4781</v>
      </c>
      <c r="S284" s="154">
        <f t="shared" si="21"/>
        <v>0</v>
      </c>
      <c r="T284" s="156" t="str">
        <f>+VLOOKUP($L284,Data_Validation!$A:$D,1,0)</f>
        <v>5785</v>
      </c>
      <c r="U284" s="156" t="str">
        <f>+VLOOKUP($L284,Data_Validation!$A:$D,3,0)</f>
        <v>Pièces</v>
      </c>
      <c r="V284" s="156" t="str">
        <f>+VLOOKUP($L284,Data_Validation!$A:$D,4,0)</f>
        <v>Ventes Pneus</v>
      </c>
      <c r="W284" s="156" t="str">
        <f>+VLOOKUP($L284,Data_Validation!$A:$E,5,0)</f>
        <v>$</v>
      </c>
      <c r="X284" s="156">
        <f>+VLOOKUP($L284,Data_Validation!$A:$F,6,0)</f>
        <v>0</v>
      </c>
    </row>
    <row r="285" spans="1:24" ht="15" hidden="1" customHeight="1">
      <c r="A285" s="1013" t="s">
        <v>2135</v>
      </c>
      <c r="B285" s="1013" t="s">
        <v>2136</v>
      </c>
      <c r="C285" s="1015">
        <v>-7576.45</v>
      </c>
      <c r="D285" s="1015">
        <v>-30490.18</v>
      </c>
      <c r="E285" s="1015">
        <v>-38066.629999999997</v>
      </c>
      <c r="F285" s="1013" t="s">
        <v>424</v>
      </c>
      <c r="G285" s="1013" t="s">
        <v>2137</v>
      </c>
      <c r="H285" s="949"/>
      <c r="I285" s="949"/>
      <c r="J285" s="949"/>
      <c r="K285" s="949"/>
      <c r="L285" s="153" t="str">
        <f t="shared" si="18"/>
        <v>5796</v>
      </c>
      <c r="M285" s="154" t="str">
        <f t="shared" si="19"/>
        <v>C/V - BONI / ESCPTE PI VW</v>
      </c>
      <c r="N285" s="155">
        <f>+IF(OR($Q285=Parametres!$G$2,$Q285=Parametres!$G$3),I285,C285)</f>
        <v>-7576.45</v>
      </c>
      <c r="O285" s="575">
        <f>+IF(OR($Q285=Parametres!$G$2,$Q285=Parametres!$G$3),J285,D285)</f>
        <v>-30490.18</v>
      </c>
      <c r="P285" s="155">
        <f>+IF(OR($Q285=Parametres!$G$2,$Q285=Parametres!$G$3),K285,E285)</f>
        <v>-38066.629999999997</v>
      </c>
      <c r="Q285" s="154" t="str">
        <f t="shared" si="21"/>
        <v>6-Coût des ventes</v>
      </c>
      <c r="R285" s="153" t="str">
        <f t="shared" si="21"/>
        <v>5792</v>
      </c>
      <c r="S285" s="154">
        <f t="shared" si="21"/>
        <v>0</v>
      </c>
      <c r="T285" s="156" t="str">
        <f>+VLOOKUP($L285,Data_Validation!$A:$D,1,0)</f>
        <v>5796</v>
      </c>
      <c r="U285" s="156" t="str">
        <f>+VLOOKUP($L285,Data_Validation!$A:$D,3,0)</f>
        <v>Pièces</v>
      </c>
      <c r="V285" s="156" t="str">
        <f>+VLOOKUP($L285,Data_Validation!$A:$D,4,0)</f>
        <v>Escomptes</v>
      </c>
      <c r="W285" s="156" t="str">
        <f>+VLOOKUP($L285,Data_Validation!$A:$E,5,0)</f>
        <v>$</v>
      </c>
      <c r="X285" s="156">
        <f>+VLOOKUP($L285,Data_Validation!$A:$F,6,0)</f>
        <v>0</v>
      </c>
    </row>
    <row r="286" spans="1:24" ht="15" hidden="1" customHeight="1">
      <c r="A286" s="1013" t="s">
        <v>1523</v>
      </c>
      <c r="B286" s="1013" t="s">
        <v>2781</v>
      </c>
      <c r="C286" s="1015">
        <v>58987.61</v>
      </c>
      <c r="D286" s="1015">
        <v>30014.5</v>
      </c>
      <c r="E286" s="1015">
        <v>89002.11</v>
      </c>
      <c r="F286" s="1013" t="s">
        <v>401</v>
      </c>
      <c r="G286" s="1013" t="s">
        <v>2781</v>
      </c>
      <c r="H286" s="949"/>
      <c r="I286" s="949"/>
      <c r="J286" s="949"/>
      <c r="K286" s="949"/>
      <c r="L286" s="153" t="str">
        <f t="shared" si="18"/>
        <v>6101</v>
      </c>
      <c r="M286" s="154" t="str">
        <f t="shared" si="19"/>
        <v>COMMISSION VENDEUR NEUFS</v>
      </c>
      <c r="N286" s="155">
        <f>+IF(OR($Q286=Parametres!$G$2,$Q286=Parametres!$G$3),I286,C286)</f>
        <v>58987.61</v>
      </c>
      <c r="O286" s="575">
        <f>+IF(OR($Q286=Parametres!$G$2,$Q286=Parametres!$G$3),J286,D286)</f>
        <v>30014.5</v>
      </c>
      <c r="P286" s="155">
        <f>+IF(OR($Q286=Parametres!$G$2,$Q286=Parametres!$G$3),K286,E286)</f>
        <v>89002.11</v>
      </c>
      <c r="Q286" s="154" t="str">
        <f t="shared" si="21"/>
        <v>7-Dépenses</v>
      </c>
      <c r="R286" s="153" t="str">
        <f t="shared" si="21"/>
        <v>6101</v>
      </c>
      <c r="S286" s="154">
        <f t="shared" si="21"/>
        <v>0</v>
      </c>
      <c r="T286" s="156" t="str">
        <f>+VLOOKUP($L286,Data_Validation!$A:$D,1,0)</f>
        <v>6101</v>
      </c>
      <c r="U286" s="156" t="str">
        <f>+VLOOKUP($L286,Data_Validation!$A:$D,3,0)</f>
        <v>Véhicules neufs</v>
      </c>
      <c r="V286" s="156" t="str">
        <f>+VLOOKUP($L286,Data_Validation!$A:$D,4,0)</f>
        <v>Comm. vendeurs</v>
      </c>
      <c r="W286" s="156" t="str">
        <f>+VLOOKUP($L286,Data_Validation!$A:$E,5,0)</f>
        <v>$</v>
      </c>
      <c r="X286" s="156">
        <f>+VLOOKUP($L286,Data_Validation!$A:$F,6,0)</f>
        <v>0</v>
      </c>
    </row>
    <row r="287" spans="1:24" ht="15.75" hidden="1" customHeight="1">
      <c r="A287" s="1013" t="s">
        <v>1442</v>
      </c>
      <c r="B287" s="1013" t="s">
        <v>2770</v>
      </c>
      <c r="C287" s="1015">
        <v>23904.02</v>
      </c>
      <c r="D287" s="1015">
        <v>20977.35</v>
      </c>
      <c r="E287" s="1015">
        <v>44881.37</v>
      </c>
      <c r="F287" s="1013" t="s">
        <v>401</v>
      </c>
      <c r="G287" s="1013" t="s">
        <v>2770</v>
      </c>
      <c r="H287" s="949"/>
      <c r="I287" s="949"/>
      <c r="J287" s="949"/>
      <c r="K287" s="949"/>
      <c r="L287" s="153" t="str">
        <f t="shared" si="18"/>
        <v>6102</v>
      </c>
      <c r="M287" s="154" t="str">
        <f t="shared" si="19"/>
        <v>RENUMERATION F &amp; I</v>
      </c>
      <c r="N287" s="155">
        <f>+IF(OR($Q287=Parametres!$G$2,$Q287=Parametres!$G$3),I287,C287)</f>
        <v>23904.02</v>
      </c>
      <c r="O287" s="575">
        <f>+IF(OR($Q287=Parametres!$G$2,$Q287=Parametres!$G$3),J287,D287)</f>
        <v>20977.35</v>
      </c>
      <c r="P287" s="155">
        <f>+IF(OR($Q287=Parametres!$G$2,$Q287=Parametres!$G$3),K287,E287)</f>
        <v>44881.37</v>
      </c>
      <c r="Q287" s="154" t="str">
        <f t="shared" si="21"/>
        <v>7-Dépenses</v>
      </c>
      <c r="R287" s="153" t="str">
        <f t="shared" si="21"/>
        <v>6102</v>
      </c>
      <c r="S287" s="154">
        <f t="shared" si="21"/>
        <v>0</v>
      </c>
      <c r="T287" s="156" t="str">
        <f>+VLOOKUP($L287,Data_Validation!$A:$D,1,0)</f>
        <v>6102</v>
      </c>
      <c r="U287" s="156" t="str">
        <f>+VLOOKUP($L287,Data_Validation!$A:$D,3,0)</f>
        <v>Véhicules neufs</v>
      </c>
      <c r="V287" s="156" t="str">
        <f>+VLOOKUP($L287,Data_Validation!$A:$D,4,0)</f>
        <v>Comm. F&amp;I</v>
      </c>
      <c r="W287" s="156" t="str">
        <f>+VLOOKUP($L287,Data_Validation!$A:$E,5,0)</f>
        <v>$</v>
      </c>
      <c r="X287" s="156">
        <f>+VLOOKUP($L287,Data_Validation!$A:$F,6,0)</f>
        <v>0</v>
      </c>
    </row>
    <row r="288" spans="1:24" ht="15" hidden="1" customHeight="1">
      <c r="A288" s="1013" t="s">
        <v>399</v>
      </c>
      <c r="B288" s="1013" t="s">
        <v>2706</v>
      </c>
      <c r="C288" s="1015">
        <v>864.98</v>
      </c>
      <c r="D288" s="1015">
        <v>960.98</v>
      </c>
      <c r="E288" s="1015">
        <v>1825.96</v>
      </c>
      <c r="F288" s="1013" t="s">
        <v>401</v>
      </c>
      <c r="G288" s="1013" t="s">
        <v>2706</v>
      </c>
      <c r="H288" s="949"/>
      <c r="I288" s="949"/>
      <c r="J288" s="949"/>
      <c r="K288" s="949"/>
      <c r="L288" s="153" t="str">
        <f t="shared" si="18"/>
        <v>6103</v>
      </c>
      <c r="M288" s="154" t="str">
        <f t="shared" si="19"/>
        <v>RELAT. A LA CLIENTELE &amp; AJUST.</v>
      </c>
      <c r="N288" s="155">
        <f>+IF(OR($Q288=Parametres!$G$2,$Q288=Parametres!$G$3),I288,C288)</f>
        <v>864.98</v>
      </c>
      <c r="O288" s="575">
        <f>+IF(OR($Q288=Parametres!$G$2,$Q288=Parametres!$G$3),J288,D288)</f>
        <v>960.98</v>
      </c>
      <c r="P288" s="155">
        <f>+IF(OR($Q288=Parametres!$G$2,$Q288=Parametres!$G$3),K288,E288)</f>
        <v>1825.96</v>
      </c>
      <c r="Q288" s="154" t="str">
        <f t="shared" si="21"/>
        <v>7-Dépenses</v>
      </c>
      <c r="R288" s="153" t="str">
        <f t="shared" si="21"/>
        <v>6103</v>
      </c>
      <c r="S288" s="154">
        <f t="shared" si="21"/>
        <v>0</v>
      </c>
      <c r="T288" s="156" t="str">
        <f>+VLOOKUP($L288,Data_Validation!$A:$D,1,0)</f>
        <v>6103</v>
      </c>
      <c r="U288" s="156" t="str">
        <f>+VLOOKUP($L288,Data_Validation!$A:$D,3,0)</f>
        <v>Véhicules neufs</v>
      </c>
      <c r="V288" s="156" t="str">
        <f>+VLOOKUP($L288,Data_Validation!$A:$D,4,0)</f>
        <v>Service gratuit 1</v>
      </c>
      <c r="W288" s="156" t="str">
        <f>+VLOOKUP($L288,Data_Validation!$A:$E,5,0)</f>
        <v>$</v>
      </c>
      <c r="X288" s="156">
        <f>+VLOOKUP($L288,Data_Validation!$A:$F,6,0)</f>
        <v>0</v>
      </c>
    </row>
    <row r="289" spans="1:24" ht="15" hidden="1" customHeight="1">
      <c r="A289" s="1013" t="s">
        <v>2757</v>
      </c>
      <c r="B289" s="1013" t="s">
        <v>2759</v>
      </c>
      <c r="C289" s="1015">
        <v>4853.66</v>
      </c>
      <c r="D289" s="1015">
        <v>3619.86</v>
      </c>
      <c r="E289" s="1015">
        <v>8473.52</v>
      </c>
      <c r="F289" s="1013" t="s">
        <v>401</v>
      </c>
      <c r="G289" s="1013" t="s">
        <v>2759</v>
      </c>
      <c r="H289" s="972"/>
      <c r="I289" s="973"/>
      <c r="J289" s="973"/>
      <c r="K289" s="973"/>
      <c r="L289" s="153" t="str">
        <f t="shared" si="18"/>
        <v>6106</v>
      </c>
      <c r="M289" s="154" t="str">
        <f t="shared" si="19"/>
        <v>ENTRETIEN DES STOCKS</v>
      </c>
      <c r="N289" s="155">
        <f>+IF(OR($Q289=Parametres!$G$2,$Q289=Parametres!$G$3),I289,C289)</f>
        <v>4853.66</v>
      </c>
      <c r="O289" s="575">
        <f>+IF(OR($Q289=Parametres!$G$2,$Q289=Parametres!$G$3),J289,D289)</f>
        <v>3619.86</v>
      </c>
      <c r="P289" s="155">
        <f>+IF(OR($Q289=Parametres!$G$2,$Q289=Parametres!$G$3),K289,E289)</f>
        <v>8473.52</v>
      </c>
      <c r="Q289" s="154" t="str">
        <f t="shared" si="21"/>
        <v>7-Dépenses</v>
      </c>
      <c r="R289" s="153" t="str">
        <f t="shared" si="21"/>
        <v>6106</v>
      </c>
      <c r="S289" s="154">
        <f t="shared" si="21"/>
        <v>0</v>
      </c>
      <c r="T289" s="156" t="str">
        <f>+VLOOKUP($L289,Data_Validation!$A:$D,1,0)</f>
        <v>6106</v>
      </c>
      <c r="U289" s="156" t="str">
        <f>+VLOOKUP($L289,Data_Validation!$A:$D,3,0)</f>
        <v>Véhicules neufs</v>
      </c>
      <c r="V289" s="156" t="str">
        <f>+VLOOKUP($L289,Data_Validation!$A:$D,4,0)</f>
        <v>Entretien stock</v>
      </c>
      <c r="W289" s="156" t="str">
        <f>+VLOOKUP($L289,Data_Validation!$A:$E,5,0)</f>
        <v>$</v>
      </c>
      <c r="X289" s="156">
        <f>+VLOOKUP($L289,Data_Validation!$A:$F,6,0)</f>
        <v>0</v>
      </c>
    </row>
    <row r="290" spans="1:24" ht="15" customHeight="1">
      <c r="A290" s="1013" t="s">
        <v>938</v>
      </c>
      <c r="B290" s="1013" t="s">
        <v>2612</v>
      </c>
      <c r="C290" s="1015">
        <v>34888.79</v>
      </c>
      <c r="D290" s="1015">
        <v>20366.64</v>
      </c>
      <c r="E290" s="1015">
        <v>55255.43</v>
      </c>
      <c r="F290" s="1013" t="s">
        <v>401</v>
      </c>
      <c r="G290" s="1013" t="s">
        <v>2612</v>
      </c>
      <c r="H290" s="972"/>
      <c r="I290" s="973"/>
      <c r="J290" s="973"/>
      <c r="K290" s="973"/>
      <c r="L290" s="153" t="str">
        <f t="shared" si="18"/>
        <v>6107</v>
      </c>
      <c r="M290" s="154" t="str">
        <f t="shared" si="19"/>
        <v>INTERET-PLAN DE FINANCEMENT</v>
      </c>
      <c r="N290" s="155">
        <f>+IF(OR($Q290=Parametres!$G$2,$Q290=Parametres!$G$3),I290,C290)</f>
        <v>34888.79</v>
      </c>
      <c r="O290" s="575">
        <f>+IF(OR($Q290=Parametres!$G$2,$Q290=Parametres!$G$3),J290,D290)</f>
        <v>20366.64</v>
      </c>
      <c r="P290" s="155">
        <f>+IF(OR($Q290=Parametres!$G$2,$Q290=Parametres!$G$3),K290,E290)</f>
        <v>55255.43</v>
      </c>
      <c r="Q290" s="154" t="str">
        <f t="shared" ref="Q290:S305" si="22">+F290</f>
        <v>7-Dépenses</v>
      </c>
      <c r="R290" s="153" t="str">
        <f t="shared" si="22"/>
        <v>6107</v>
      </c>
      <c r="S290" s="154">
        <f t="shared" si="22"/>
        <v>0</v>
      </c>
      <c r="T290" s="156" t="str">
        <f>+VLOOKUP($L290,Data_Validation!$A:$D,1,0)</f>
        <v>6107</v>
      </c>
      <c r="U290" s="156" t="str">
        <f>+VLOOKUP($L290,Data_Validation!$A:$D,3,0)</f>
        <v>Véhicules neufs</v>
      </c>
      <c r="V290" s="156" t="str">
        <f>+VLOOKUP($L290,Data_Validation!$A:$D,4,0)</f>
        <v>Intérêt de gros</v>
      </c>
      <c r="W290" s="156" t="str">
        <f>+VLOOKUP($L290,Data_Validation!$A:$E,5,0)</f>
        <v>$</v>
      </c>
      <c r="X290" s="156">
        <f>+VLOOKUP($L290,Data_Validation!$A:$F,6,0)</f>
        <v>0</v>
      </c>
    </row>
    <row r="291" spans="1:24" ht="15.75" hidden="1" customHeight="1">
      <c r="A291" s="1013" t="s">
        <v>1407</v>
      </c>
      <c r="B291" s="1013" t="s">
        <v>2696</v>
      </c>
      <c r="C291" s="1015">
        <v>18220.93</v>
      </c>
      <c r="D291" s="1015">
        <v>12101.58</v>
      </c>
      <c r="E291" s="1015">
        <v>30322.51</v>
      </c>
      <c r="F291" s="1013" t="s">
        <v>401</v>
      </c>
      <c r="G291" s="1013" t="s">
        <v>2696</v>
      </c>
      <c r="H291" s="972"/>
      <c r="I291" s="973"/>
      <c r="J291" s="973"/>
      <c r="K291" s="973"/>
      <c r="L291" s="153" t="str">
        <f t="shared" si="18"/>
        <v>6108</v>
      </c>
      <c r="M291" s="154" t="str">
        <f t="shared" si="19"/>
        <v>FRAIS DE LIVRAISON</v>
      </c>
      <c r="N291" s="155">
        <f>+IF(OR($Q291=Parametres!$G$2,$Q291=Parametres!$G$3),I291,C291)</f>
        <v>18220.93</v>
      </c>
      <c r="O291" s="575">
        <f>+IF(OR($Q291=Parametres!$G$2,$Q291=Parametres!$G$3),J291,D291)</f>
        <v>12101.58</v>
      </c>
      <c r="P291" s="155">
        <f>+IF(OR($Q291=Parametres!$G$2,$Q291=Parametres!$G$3),K291,E291)</f>
        <v>30322.51</v>
      </c>
      <c r="Q291" s="154" t="str">
        <f t="shared" si="22"/>
        <v>7-Dépenses</v>
      </c>
      <c r="R291" s="153" t="str">
        <f t="shared" si="22"/>
        <v>6108</v>
      </c>
      <c r="S291" s="154">
        <f t="shared" si="22"/>
        <v>0</v>
      </c>
      <c r="T291" s="156" t="str">
        <f>+VLOOKUP($L291,Data_Validation!$A:$D,1,0)</f>
        <v>6108</v>
      </c>
      <c r="U291" s="156" t="str">
        <f>+VLOOKUP($L291,Data_Validation!$A:$D,3,0)</f>
        <v>Véhicules neufs</v>
      </c>
      <c r="V291" s="156" t="str">
        <f>+VLOOKUP($L291,Data_Validation!$A:$D,4,0)</f>
        <v>Frais de livraison</v>
      </c>
      <c r="W291" s="156" t="str">
        <f>+VLOOKUP($L291,Data_Validation!$A:$E,5,0)</f>
        <v>$</v>
      </c>
      <c r="X291" s="156">
        <f>+VLOOKUP($L291,Data_Validation!$A:$F,6,0)</f>
        <v>0</v>
      </c>
    </row>
    <row r="292" spans="1:24" ht="15" hidden="1" customHeight="1">
      <c r="A292" s="1013" t="s">
        <v>1374</v>
      </c>
      <c r="B292" s="1013" t="s">
        <v>2113</v>
      </c>
      <c r="C292" s="1015">
        <v>22100</v>
      </c>
      <c r="D292" s="1015">
        <v>13090</v>
      </c>
      <c r="E292" s="1015">
        <v>35190</v>
      </c>
      <c r="F292" s="1013" t="s">
        <v>401</v>
      </c>
      <c r="G292" s="1013" t="s">
        <v>2113</v>
      </c>
      <c r="H292" s="972"/>
      <c r="I292" s="973"/>
      <c r="J292" s="973"/>
      <c r="K292" s="973"/>
      <c r="L292" s="153" t="str">
        <f t="shared" si="18"/>
        <v>6114</v>
      </c>
      <c r="M292" s="154" t="str">
        <f t="shared" si="19"/>
        <v>PUBLICITE</v>
      </c>
      <c r="N292" s="155">
        <f>+IF(OR($Q292=Parametres!$G$2,$Q292=Parametres!$G$3),I292,C292)</f>
        <v>22100</v>
      </c>
      <c r="O292" s="155">
        <f>+IF(OR($Q292=Parametres!$G$2,$Q292=Parametres!$G$3),J292,D292)</f>
        <v>13090</v>
      </c>
      <c r="P292" s="155">
        <f>+IF(OR($Q292=Parametres!$G$2,$Q292=Parametres!$G$3),K292,E292)</f>
        <v>35190</v>
      </c>
      <c r="Q292" s="154" t="str">
        <f t="shared" si="22"/>
        <v>7-Dépenses</v>
      </c>
      <c r="R292" s="153" t="str">
        <f t="shared" si="22"/>
        <v>6114</v>
      </c>
      <c r="S292" s="154">
        <f t="shared" si="22"/>
        <v>0</v>
      </c>
      <c r="T292" s="156" t="str">
        <f>+VLOOKUP($L292,Data_Validation!$A:$D,1,0)</f>
        <v>6114</v>
      </c>
      <c r="U292" s="156" t="str">
        <f>+VLOOKUP($L292,Data_Validation!$A:$D,3,0)</f>
        <v>Véhicules neufs</v>
      </c>
      <c r="V292" s="156" t="str">
        <f>+VLOOKUP($L292,Data_Validation!$A:$D,4,0)</f>
        <v>Publicité 1</v>
      </c>
      <c r="W292" s="156" t="str">
        <f>+VLOOKUP($L292,Data_Validation!$A:$E,5,0)</f>
        <v>$</v>
      </c>
      <c r="X292" s="156">
        <f>+VLOOKUP($L292,Data_Validation!$A:$F,6,0)</f>
        <v>0</v>
      </c>
    </row>
    <row r="293" spans="1:24" ht="15" hidden="1" customHeight="1">
      <c r="A293" s="1013" t="s">
        <v>2111</v>
      </c>
      <c r="B293" s="1013" t="s">
        <v>2112</v>
      </c>
      <c r="C293" s="1015">
        <v>-11600</v>
      </c>
      <c r="D293" s="1015">
        <v>-7800</v>
      </c>
      <c r="E293" s="1015">
        <v>-19400</v>
      </c>
      <c r="F293" s="1013" t="s">
        <v>401</v>
      </c>
      <c r="G293" s="1013" t="s">
        <v>2113</v>
      </c>
      <c r="H293" s="972"/>
      <c r="I293" s="973"/>
      <c r="J293" s="973"/>
      <c r="K293" s="973"/>
      <c r="L293" s="153" t="str">
        <f t="shared" si="18"/>
        <v>6115</v>
      </c>
      <c r="M293" s="154" t="str">
        <f t="shared" si="19"/>
        <v>CREDIT PUBLICITE NEUF</v>
      </c>
      <c r="N293" s="155">
        <f>+IF(OR($Q293=Parametres!$G$2,$Q293=Parametres!$G$3),I293,C293)</f>
        <v>-11600</v>
      </c>
      <c r="O293" s="155">
        <f>+IF(OR($Q293=Parametres!$G$2,$Q293=Parametres!$G$3),J293,D293)</f>
        <v>-7800</v>
      </c>
      <c r="P293" s="155">
        <f>+IF(OR($Q293=Parametres!$G$2,$Q293=Parametres!$G$3),K293,E293)</f>
        <v>-19400</v>
      </c>
      <c r="Q293" s="154" t="str">
        <f t="shared" si="22"/>
        <v>7-Dépenses</v>
      </c>
      <c r="R293" s="153" t="str">
        <f t="shared" si="22"/>
        <v>6114</v>
      </c>
      <c r="S293" s="154">
        <f t="shared" si="22"/>
        <v>0</v>
      </c>
      <c r="T293" s="156" t="str">
        <f>+VLOOKUP($L293,Data_Validation!$A:$D,1,0)</f>
        <v>6115</v>
      </c>
      <c r="U293" s="156" t="str">
        <f>+VLOOKUP($L293,Data_Validation!$A:$D,3,0)</f>
        <v>Véhicules neufs</v>
      </c>
      <c r="V293" s="156" t="str">
        <f>+VLOOKUP($L293,Data_Validation!$A:$D,4,0)</f>
        <v>Publicité 1</v>
      </c>
      <c r="W293" s="156" t="str">
        <f>+VLOOKUP($L293,Data_Validation!$A:$E,5,0)</f>
        <v>$</v>
      </c>
      <c r="X293" s="156">
        <f>+VLOOKUP($L293,Data_Validation!$A:$F,6,0)</f>
        <v>0</v>
      </c>
    </row>
    <row r="294" spans="1:24" ht="15" hidden="1" customHeight="1">
      <c r="A294" s="1013" t="s">
        <v>1259</v>
      </c>
      <c r="B294" s="1013" t="s">
        <v>2648</v>
      </c>
      <c r="C294" s="1015">
        <v>4919.55</v>
      </c>
      <c r="D294" s="1015">
        <v>2304.8200000000002</v>
      </c>
      <c r="E294" s="1015">
        <v>7224.37</v>
      </c>
      <c r="F294" s="1013" t="s">
        <v>401</v>
      </c>
      <c r="G294" s="1013" t="s">
        <v>2648</v>
      </c>
      <c r="H294" s="972"/>
      <c r="I294" s="973"/>
      <c r="J294" s="973"/>
      <c r="K294" s="973"/>
      <c r="L294" s="153" t="str">
        <f t="shared" si="18"/>
        <v>6121</v>
      </c>
      <c r="M294" s="154" t="str">
        <f t="shared" si="19"/>
        <v>SALAIRES - PROPRIETAIRES</v>
      </c>
      <c r="N294" s="155">
        <f>+IF(OR($Q294=Parametres!$G$2,$Q294=Parametres!$G$3),I294,C294)</f>
        <v>4919.55</v>
      </c>
      <c r="O294" s="155">
        <f>+IF(OR($Q294=Parametres!$G$2,$Q294=Parametres!$G$3),J294,D294)</f>
        <v>2304.8200000000002</v>
      </c>
      <c r="P294" s="155">
        <f>+IF(OR($Q294=Parametres!$G$2,$Q294=Parametres!$G$3),K294,E294)</f>
        <v>7224.37</v>
      </c>
      <c r="Q294" s="154" t="str">
        <f t="shared" si="22"/>
        <v>7-Dépenses</v>
      </c>
      <c r="R294" s="153" t="str">
        <f t="shared" si="22"/>
        <v>6121</v>
      </c>
      <c r="S294" s="154">
        <f t="shared" si="22"/>
        <v>0</v>
      </c>
      <c r="T294" s="156" t="str">
        <f>+VLOOKUP($L294,Data_Validation!$A:$D,1,0)</f>
        <v>6121</v>
      </c>
      <c r="U294" s="156" t="str">
        <f>+VLOOKUP($L294,Data_Validation!$A:$D,3,0)</f>
        <v>Véhicules neufs</v>
      </c>
      <c r="V294" s="156" t="str">
        <f>+VLOOKUP($L294,Data_Validation!$A:$D,4,0)</f>
        <v>Salaires propriétaire</v>
      </c>
      <c r="W294" s="156" t="str">
        <f>+VLOOKUP($L294,Data_Validation!$A:$E,5,0)</f>
        <v>$</v>
      </c>
      <c r="X294" s="156">
        <f>+VLOOKUP($L294,Data_Validation!$A:$F,6,0)</f>
        <v>0</v>
      </c>
    </row>
    <row r="295" spans="1:24" ht="15" hidden="1" customHeight="1">
      <c r="A295" s="1013" t="s">
        <v>2624</v>
      </c>
      <c r="B295" s="1013" t="s">
        <v>2626</v>
      </c>
      <c r="C295" s="1015">
        <v>38817.1</v>
      </c>
      <c r="D295" s="1015">
        <v>32957.339999999997</v>
      </c>
      <c r="E295" s="1015">
        <v>71774.44</v>
      </c>
      <c r="F295" s="1013" t="s">
        <v>401</v>
      </c>
      <c r="G295" s="1013" t="s">
        <v>2626</v>
      </c>
      <c r="H295" s="972"/>
      <c r="I295" s="973"/>
      <c r="J295" s="973"/>
      <c r="K295" s="973"/>
      <c r="L295" s="153" t="str">
        <f t="shared" si="18"/>
        <v>6122</v>
      </c>
      <c r="M295" s="154" t="str">
        <f t="shared" si="19"/>
        <v>SAL SUPERVISION / GERANT</v>
      </c>
      <c r="N295" s="155">
        <f>+IF(OR($Q295=Parametres!$G$2,$Q295=Parametres!$G$3),I295,C295)</f>
        <v>38817.1</v>
      </c>
      <c r="O295" s="155">
        <f>+IF(OR($Q295=Parametres!$G$2,$Q295=Parametres!$G$3),J295,D295)</f>
        <v>32957.339999999997</v>
      </c>
      <c r="P295" s="155">
        <f>+IF(OR($Q295=Parametres!$G$2,$Q295=Parametres!$G$3),K295,E295)</f>
        <v>71774.44</v>
      </c>
      <c r="Q295" s="154" t="str">
        <f t="shared" si="22"/>
        <v>7-Dépenses</v>
      </c>
      <c r="R295" s="153" t="str">
        <f t="shared" si="22"/>
        <v>6122</v>
      </c>
      <c r="S295" s="154">
        <f t="shared" si="22"/>
        <v>0</v>
      </c>
      <c r="T295" s="156" t="str">
        <f>+VLOOKUP($L295,Data_Validation!$A:$D,1,0)</f>
        <v>6122</v>
      </c>
      <c r="U295" s="156" t="str">
        <f>+VLOOKUP($L295,Data_Validation!$A:$D,3,0)</f>
        <v>Véhicules neufs</v>
      </c>
      <c r="V295" s="156" t="str">
        <f>+VLOOKUP($L295,Data_Validation!$A:$D,4,0)</f>
        <v>Salaires cadres</v>
      </c>
      <c r="W295" s="156" t="str">
        <f>+VLOOKUP($L295,Data_Validation!$A:$E,5,0)</f>
        <v>$</v>
      </c>
      <c r="X295" s="156">
        <f>+VLOOKUP($L295,Data_Validation!$A:$F,6,0)</f>
        <v>0</v>
      </c>
    </row>
    <row r="296" spans="1:24" ht="15" hidden="1" customHeight="1">
      <c r="A296" s="1013" t="s">
        <v>1342</v>
      </c>
      <c r="B296" s="1013" t="s">
        <v>2679</v>
      </c>
      <c r="C296" s="1015">
        <v>17029.97</v>
      </c>
      <c r="D296" s="1015">
        <v>10372.43</v>
      </c>
      <c r="E296" s="1015">
        <v>27402.400000000001</v>
      </c>
      <c r="F296" s="1013" t="s">
        <v>401</v>
      </c>
      <c r="G296" s="1013" t="s">
        <v>2679</v>
      </c>
      <c r="H296" s="972"/>
      <c r="I296" s="973"/>
      <c r="J296" s="973"/>
      <c r="K296" s="973"/>
      <c r="L296" s="153" t="str">
        <f t="shared" si="18"/>
        <v>6123</v>
      </c>
      <c r="M296" s="154" t="str">
        <f t="shared" si="19"/>
        <v>SAL. &amp; RENUM. - CLERICAL</v>
      </c>
      <c r="N296" s="155">
        <f>+IF(OR($Q296=Parametres!$G$2,$Q296=Parametres!$G$3),I296,C296)</f>
        <v>17029.97</v>
      </c>
      <c r="O296" s="155">
        <f>+IF(OR($Q296=Parametres!$G$2,$Q296=Parametres!$G$3),J296,D296)</f>
        <v>10372.43</v>
      </c>
      <c r="P296" s="155">
        <f>+IF(OR($Q296=Parametres!$G$2,$Q296=Parametres!$G$3),K296,E296)</f>
        <v>27402.400000000001</v>
      </c>
      <c r="Q296" s="154" t="str">
        <f t="shared" si="22"/>
        <v>7-Dépenses</v>
      </c>
      <c r="R296" s="153" t="str">
        <f t="shared" si="22"/>
        <v>6123</v>
      </c>
      <c r="S296" s="154">
        <f t="shared" si="22"/>
        <v>0</v>
      </c>
      <c r="T296" s="156" t="str">
        <f>+VLOOKUP($L296,Data_Validation!$A:$D,1,0)</f>
        <v>6123</v>
      </c>
      <c r="U296" s="156" t="str">
        <f>+VLOOKUP($L296,Data_Validation!$A:$D,3,0)</f>
        <v>Véhicules neufs</v>
      </c>
      <c r="V296" s="156" t="str">
        <f>+VLOOKUP($L296,Data_Validation!$A:$D,4,0)</f>
        <v>Salaires commis</v>
      </c>
      <c r="W296" s="156" t="str">
        <f>+VLOOKUP($L296,Data_Validation!$A:$E,5,0)</f>
        <v>$</v>
      </c>
      <c r="X296" s="156">
        <f>+VLOOKUP($L296,Data_Validation!$A:$F,6,0)</f>
        <v>0</v>
      </c>
    </row>
    <row r="297" spans="1:24" ht="15.75" hidden="1" customHeight="1">
      <c r="A297" s="1013" t="s">
        <v>1249</v>
      </c>
      <c r="B297" s="1013" t="s">
        <v>2735</v>
      </c>
      <c r="C297" s="1015">
        <v>12676.32</v>
      </c>
      <c r="D297" s="1015">
        <v>4969.0200000000004</v>
      </c>
      <c r="E297" s="1015">
        <v>17645.34</v>
      </c>
      <c r="F297" s="1013" t="s">
        <v>401</v>
      </c>
      <c r="G297" s="1013" t="s">
        <v>2735</v>
      </c>
      <c r="H297" s="972"/>
      <c r="I297" s="973"/>
      <c r="J297" s="973"/>
      <c r="K297" s="973"/>
      <c r="L297" s="153" t="str">
        <f t="shared" si="18"/>
        <v>6124</v>
      </c>
      <c r="M297" s="154" t="str">
        <f t="shared" si="19"/>
        <v>SALAIRES &amp; RENUM. - AUTRES</v>
      </c>
      <c r="N297" s="155">
        <f>+IF(OR($Q297=Parametres!$G$2,$Q297=Parametres!$G$3),I297,C297)</f>
        <v>12676.32</v>
      </c>
      <c r="O297" s="155">
        <f>+IF(OR($Q297=Parametres!$G$2,$Q297=Parametres!$G$3),J297,D297)</f>
        <v>4969.0200000000004</v>
      </c>
      <c r="P297" s="155">
        <f>+IF(OR($Q297=Parametres!$G$2,$Q297=Parametres!$G$3),K297,E297)</f>
        <v>17645.34</v>
      </c>
      <c r="Q297" s="154" t="str">
        <f t="shared" si="22"/>
        <v>7-Dépenses</v>
      </c>
      <c r="R297" s="153" t="str">
        <f t="shared" si="22"/>
        <v>6124</v>
      </c>
      <c r="S297" s="154">
        <f t="shared" si="22"/>
        <v>0</v>
      </c>
      <c r="T297" s="156" t="str">
        <f>+VLOOKUP($L297,Data_Validation!$A:$D,1,0)</f>
        <v>6124</v>
      </c>
      <c r="U297" s="156" t="str">
        <f>+VLOOKUP($L297,Data_Validation!$A:$D,3,0)</f>
        <v>Véhicules neufs</v>
      </c>
      <c r="V297" s="156" t="str">
        <f>+VLOOKUP($L297,Data_Validation!$A:$D,4,0)</f>
        <v>Salaires autres</v>
      </c>
      <c r="W297" s="156" t="str">
        <f>+VLOOKUP($L297,Data_Validation!$A:$E,5,0)</f>
        <v>$</v>
      </c>
      <c r="X297" s="156">
        <f>+VLOOKUP($L297,Data_Validation!$A:$F,6,0)</f>
        <v>0</v>
      </c>
    </row>
    <row r="298" spans="1:24" ht="15" hidden="1" customHeight="1">
      <c r="A298" s="1013" t="s">
        <v>1445</v>
      </c>
      <c r="B298" s="1013" t="s">
        <v>2641</v>
      </c>
      <c r="C298" s="1015">
        <v>24534.37</v>
      </c>
      <c r="D298" s="1015">
        <v>13634.47</v>
      </c>
      <c r="E298" s="1015">
        <v>38168.839999999997</v>
      </c>
      <c r="F298" s="1013" t="s">
        <v>401</v>
      </c>
      <c r="G298" s="1013" t="s">
        <v>2641</v>
      </c>
      <c r="H298" s="972"/>
      <c r="I298" s="973"/>
      <c r="J298" s="973"/>
      <c r="K298" s="973"/>
      <c r="L298" s="153" t="str">
        <f t="shared" si="18"/>
        <v>6129</v>
      </c>
      <c r="M298" s="154" t="str">
        <f t="shared" si="19"/>
        <v>ABS., VACANCE &amp; SAL. JOURS FER</v>
      </c>
      <c r="N298" s="155">
        <f>+IF(OR($Q298=Parametres!$G$2,$Q298=Parametres!$G$3),I298,C298)</f>
        <v>24534.37</v>
      </c>
      <c r="O298" s="155">
        <f>+IF(OR($Q298=Parametres!$G$2,$Q298=Parametres!$G$3),J298,D298)</f>
        <v>13634.47</v>
      </c>
      <c r="P298" s="155">
        <f>+IF(OR($Q298=Parametres!$G$2,$Q298=Parametres!$G$3),K298,E298)</f>
        <v>38168.839999999997</v>
      </c>
      <c r="Q298" s="154" t="str">
        <f t="shared" si="22"/>
        <v>7-Dépenses</v>
      </c>
      <c r="R298" s="153" t="str">
        <f t="shared" si="22"/>
        <v>6129</v>
      </c>
      <c r="S298" s="154">
        <f t="shared" si="22"/>
        <v>0</v>
      </c>
      <c r="T298" s="156" t="str">
        <f>+VLOOKUP($L298,Data_Validation!$A:$D,1,0)</f>
        <v>6129</v>
      </c>
      <c r="U298" s="156" t="str">
        <f>+VLOOKUP($L298,Data_Validation!$A:$D,3,0)</f>
        <v>Véhicules neufs</v>
      </c>
      <c r="V298" s="156" t="str">
        <f>+VLOOKUP($L298,Data_Validation!$A:$D,4,0)</f>
        <v>Salaires en absences</v>
      </c>
      <c r="W298" s="156" t="str">
        <f>+VLOOKUP($L298,Data_Validation!$A:$E,5,0)</f>
        <v>$</v>
      </c>
      <c r="X298" s="156">
        <f>+VLOOKUP($L298,Data_Validation!$A:$F,6,0)</f>
        <v>0</v>
      </c>
    </row>
    <row r="299" spans="1:24" ht="15" hidden="1" customHeight="1">
      <c r="A299" s="1013" t="s">
        <v>1252</v>
      </c>
      <c r="B299" s="1013" t="s">
        <v>2586</v>
      </c>
      <c r="C299" s="1015">
        <v>5944.93</v>
      </c>
      <c r="D299" s="1015">
        <v>2994.03</v>
      </c>
      <c r="E299" s="1015">
        <v>8938.9599999999991</v>
      </c>
      <c r="F299" s="1013" t="s">
        <v>401</v>
      </c>
      <c r="G299" s="1013" t="s">
        <v>2586</v>
      </c>
      <c r="H299" s="972"/>
      <c r="I299" s="973"/>
      <c r="J299" s="973"/>
      <c r="K299" s="973"/>
      <c r="L299" s="153" t="str">
        <f t="shared" si="18"/>
        <v>6131</v>
      </c>
      <c r="M299" s="154" t="str">
        <f t="shared" si="19"/>
        <v>CSST</v>
      </c>
      <c r="N299" s="155">
        <f>+IF(OR($Q299=Parametres!$G$2,$Q299=Parametres!$G$3),I299,C299)</f>
        <v>5944.93</v>
      </c>
      <c r="O299" s="155">
        <f>+IF(OR($Q299=Parametres!$G$2,$Q299=Parametres!$G$3),J299,D299)</f>
        <v>2994.03</v>
      </c>
      <c r="P299" s="155">
        <f>+IF(OR($Q299=Parametres!$G$2,$Q299=Parametres!$G$3),K299,E299)</f>
        <v>8938.9599999999991</v>
      </c>
      <c r="Q299" s="154" t="str">
        <f t="shared" si="22"/>
        <v>7-Dépenses</v>
      </c>
      <c r="R299" s="153" t="str">
        <f t="shared" si="22"/>
        <v>6131</v>
      </c>
      <c r="S299" s="154">
        <f t="shared" si="22"/>
        <v>0</v>
      </c>
      <c r="T299" s="156" t="str">
        <f>+VLOOKUP($L299,Data_Validation!$A:$D,1,0)</f>
        <v>6131</v>
      </c>
      <c r="U299" s="156" t="str">
        <f>+VLOOKUP($L299,Data_Validation!$A:$D,3,0)</f>
        <v>Véhicules neufs</v>
      </c>
      <c r="V299" s="156" t="str">
        <f>+VLOOKUP($L299,Data_Validation!$A:$D,4,0)</f>
        <v>Csst</v>
      </c>
      <c r="W299" s="156" t="str">
        <f>+VLOOKUP($L299,Data_Validation!$A:$E,5,0)</f>
        <v>$</v>
      </c>
      <c r="X299" s="156">
        <f>+VLOOKUP($L299,Data_Validation!$A:$F,6,0)</f>
        <v>0</v>
      </c>
    </row>
    <row r="300" spans="1:24" ht="15" hidden="1" customHeight="1">
      <c r="A300" s="1013" t="s">
        <v>1283</v>
      </c>
      <c r="B300" s="1013" t="s">
        <v>2685</v>
      </c>
      <c r="C300" s="1015">
        <v>21717.77</v>
      </c>
      <c r="D300" s="1015">
        <v>12017.04</v>
      </c>
      <c r="E300" s="1015">
        <v>33734.81</v>
      </c>
      <c r="F300" s="1013" t="s">
        <v>401</v>
      </c>
      <c r="G300" s="1013" t="s">
        <v>2685</v>
      </c>
      <c r="H300" s="972"/>
      <c r="I300" s="973"/>
      <c r="J300" s="973"/>
      <c r="K300" s="973"/>
      <c r="L300" s="153" t="str">
        <f t="shared" si="18"/>
        <v>6132</v>
      </c>
      <c r="M300" s="154" t="str">
        <f t="shared" si="19"/>
        <v>RRQ RAMQ AC</v>
      </c>
      <c r="N300" s="155">
        <f>+IF(OR($Q300=Parametres!$G$2,$Q300=Parametres!$G$3),I300,C300)</f>
        <v>21717.77</v>
      </c>
      <c r="O300" s="155">
        <f>+IF(OR($Q300=Parametres!$G$2,$Q300=Parametres!$G$3),J300,D300)</f>
        <v>12017.04</v>
      </c>
      <c r="P300" s="155">
        <f>+IF(OR($Q300=Parametres!$G$2,$Q300=Parametres!$G$3),K300,E300)</f>
        <v>33734.81</v>
      </c>
      <c r="Q300" s="154" t="str">
        <f t="shared" si="22"/>
        <v>7-Dépenses</v>
      </c>
      <c r="R300" s="153" t="str">
        <f t="shared" si="22"/>
        <v>6132</v>
      </c>
      <c r="S300" s="154">
        <f t="shared" si="22"/>
        <v>0</v>
      </c>
      <c r="T300" s="156" t="str">
        <f>+VLOOKUP($L300,Data_Validation!$A:$D,1,0)</f>
        <v>6132</v>
      </c>
      <c r="U300" s="156" t="str">
        <f>+VLOOKUP($L300,Data_Validation!$A:$D,3,0)</f>
        <v>Véhicules neufs</v>
      </c>
      <c r="V300" s="156" t="str">
        <f>+VLOOKUP($L300,Data_Validation!$A:$D,4,0)</f>
        <v>Déduction à la source</v>
      </c>
      <c r="W300" s="156" t="str">
        <f>+VLOOKUP($L300,Data_Validation!$A:$E,5,0)</f>
        <v>$</v>
      </c>
      <c r="X300" s="156">
        <f>+VLOOKUP($L300,Data_Validation!$A:$F,6,0)</f>
        <v>0</v>
      </c>
    </row>
    <row r="301" spans="1:24" ht="15.75" hidden="1" customHeight="1">
      <c r="A301" s="1013" t="s">
        <v>1414</v>
      </c>
      <c r="B301" s="1013" t="s">
        <v>2694</v>
      </c>
      <c r="C301" s="1015">
        <v>15140.35</v>
      </c>
      <c r="D301" s="1015">
        <v>8128.51</v>
      </c>
      <c r="E301" s="1015">
        <v>23268.86</v>
      </c>
      <c r="F301" s="1013" t="s">
        <v>401</v>
      </c>
      <c r="G301" s="1013" t="s">
        <v>2694</v>
      </c>
      <c r="H301" s="972"/>
      <c r="I301" s="973"/>
      <c r="J301" s="973"/>
      <c r="K301" s="973"/>
      <c r="L301" s="153" t="str">
        <f t="shared" si="18"/>
        <v>6139</v>
      </c>
      <c r="M301" s="154" t="str">
        <f t="shared" si="19"/>
        <v>ASSURANCE GROUPS</v>
      </c>
      <c r="N301" s="155">
        <f>+IF(OR($Q301=Parametres!$G$2,$Q301=Parametres!$G$3),I301,C301)</f>
        <v>15140.35</v>
      </c>
      <c r="O301" s="155">
        <f>+IF(OR($Q301=Parametres!$G$2,$Q301=Parametres!$G$3),J301,D301)</f>
        <v>8128.51</v>
      </c>
      <c r="P301" s="155">
        <f>+IF(OR($Q301=Parametres!$G$2,$Q301=Parametres!$G$3),K301,E301)</f>
        <v>23268.86</v>
      </c>
      <c r="Q301" s="154" t="str">
        <f t="shared" si="22"/>
        <v>7-Dépenses</v>
      </c>
      <c r="R301" s="153" t="str">
        <f t="shared" si="22"/>
        <v>6139</v>
      </c>
      <c r="S301" s="154">
        <f t="shared" si="22"/>
        <v>0</v>
      </c>
      <c r="T301" s="156" t="str">
        <f>+VLOOKUP($L301,Data_Validation!$A:$D,1,0)</f>
        <v>6139</v>
      </c>
      <c r="U301" s="156" t="str">
        <f>+VLOOKUP($L301,Data_Validation!$A:$D,3,0)</f>
        <v>Véhicules neufs</v>
      </c>
      <c r="V301" s="156" t="str">
        <f>+VLOOKUP($L301,Data_Validation!$A:$D,4,0)</f>
        <v>Bénéfices marginaux</v>
      </c>
      <c r="W301" s="156" t="str">
        <f>+VLOOKUP($L301,Data_Validation!$A:$E,5,0)</f>
        <v>$</v>
      </c>
      <c r="X301" s="156">
        <f>+VLOOKUP($L301,Data_Validation!$A:$F,6,0)</f>
        <v>0</v>
      </c>
    </row>
    <row r="302" spans="1:24" ht="15" hidden="1" customHeight="1">
      <c r="A302" s="1013" t="s">
        <v>1157</v>
      </c>
      <c r="B302" s="1013" t="s">
        <v>2563</v>
      </c>
      <c r="C302" s="1015">
        <v>390</v>
      </c>
      <c r="D302" s="1015">
        <v>231</v>
      </c>
      <c r="E302" s="1015">
        <v>621</v>
      </c>
      <c r="F302" s="1013" t="s">
        <v>401</v>
      </c>
      <c r="G302" s="1013" t="s">
        <v>2563</v>
      </c>
      <c r="H302" s="972"/>
      <c r="I302" s="973"/>
      <c r="J302" s="973"/>
      <c r="K302" s="973"/>
      <c r="L302" s="153" t="str">
        <f t="shared" si="18"/>
        <v>6142</v>
      </c>
      <c r="M302" s="154" t="str">
        <f t="shared" si="19"/>
        <v>FOURNITURES &amp; PETITS OUTILS</v>
      </c>
      <c r="N302" s="155">
        <f>+IF(OR($Q302=Parametres!$G$2,$Q302=Parametres!$G$3),I302,C302)</f>
        <v>390</v>
      </c>
      <c r="O302" s="155">
        <f>+IF(OR($Q302=Parametres!$G$2,$Q302=Parametres!$G$3),J302,D302)</f>
        <v>231</v>
      </c>
      <c r="P302" s="155">
        <f>+IF(OR($Q302=Parametres!$G$2,$Q302=Parametres!$G$3),K302,E302)</f>
        <v>621</v>
      </c>
      <c r="Q302" s="154" t="str">
        <f t="shared" si="22"/>
        <v>7-Dépenses</v>
      </c>
      <c r="R302" s="153" t="str">
        <f t="shared" si="22"/>
        <v>6142</v>
      </c>
      <c r="S302" s="154">
        <f t="shared" si="22"/>
        <v>0</v>
      </c>
      <c r="T302" s="156" t="str">
        <f>+VLOOKUP($L302,Data_Validation!$A:$D,1,0)</f>
        <v>6142</v>
      </c>
      <c r="U302" s="156" t="str">
        <f>+VLOOKUP($L302,Data_Validation!$A:$D,3,0)</f>
        <v>Véhicules neufs</v>
      </c>
      <c r="V302" s="156" t="str">
        <f>+VLOOKUP($L302,Data_Validation!$A:$D,4,0)</f>
        <v>Fournitures autres</v>
      </c>
      <c r="W302" s="156" t="str">
        <f>+VLOOKUP($L302,Data_Validation!$A:$E,5,0)</f>
        <v>$</v>
      </c>
      <c r="X302" s="156">
        <f>+VLOOKUP($L302,Data_Validation!$A:$F,6,0)</f>
        <v>0</v>
      </c>
    </row>
    <row r="303" spans="1:24" ht="15" hidden="1" customHeight="1">
      <c r="A303" s="1013" t="s">
        <v>932</v>
      </c>
      <c r="B303" s="1013" t="s">
        <v>2159</v>
      </c>
      <c r="C303" s="1015">
        <v>70</v>
      </c>
      <c r="D303" s="1015">
        <v>35</v>
      </c>
      <c r="E303" s="1015">
        <v>105</v>
      </c>
      <c r="F303" s="1013" t="s">
        <v>401</v>
      </c>
      <c r="G303" s="1013" t="s">
        <v>2159</v>
      </c>
      <c r="H303" s="972"/>
      <c r="I303" s="973"/>
      <c r="J303" s="973"/>
      <c r="K303" s="973"/>
      <c r="L303" s="153" t="str">
        <f t="shared" si="18"/>
        <v>6143</v>
      </c>
      <c r="M303" s="154" t="str">
        <f t="shared" si="19"/>
        <v>UNIFORMES &amp; LESSIVE</v>
      </c>
      <c r="N303" s="155">
        <f>+IF(OR($Q303=Parametres!$G$2,$Q303=Parametres!$G$3),I303,C303)</f>
        <v>70</v>
      </c>
      <c r="O303" s="155">
        <f>+IF(OR($Q303=Parametres!$G$2,$Q303=Parametres!$G$3),J303,D303)</f>
        <v>35</v>
      </c>
      <c r="P303" s="155">
        <f>+IF(OR($Q303=Parametres!$G$2,$Q303=Parametres!$G$3),K303,E303)</f>
        <v>105</v>
      </c>
      <c r="Q303" s="154" t="str">
        <f t="shared" si="22"/>
        <v>7-Dépenses</v>
      </c>
      <c r="R303" s="153" t="str">
        <f t="shared" si="22"/>
        <v>6143</v>
      </c>
      <c r="S303" s="154">
        <f t="shared" si="22"/>
        <v>0</v>
      </c>
      <c r="T303" s="156" t="str">
        <f>+VLOOKUP($L303,Data_Validation!$A:$D,1,0)</f>
        <v>6143</v>
      </c>
      <c r="U303" s="156" t="str">
        <f>+VLOOKUP($L303,Data_Validation!$A:$D,3,0)</f>
        <v>Véhicules neufs</v>
      </c>
      <c r="V303" s="156" t="str">
        <f>+VLOOKUP($L303,Data_Validation!$A:$D,4,0)</f>
        <v>Uniformes</v>
      </c>
      <c r="W303" s="156" t="str">
        <f>+VLOOKUP($L303,Data_Validation!$A:$E,5,0)</f>
        <v>$</v>
      </c>
      <c r="X303" s="156">
        <f>+VLOOKUP($L303,Data_Validation!$A:$F,6,0)</f>
        <v>0</v>
      </c>
    </row>
    <row r="304" spans="1:24" ht="15" hidden="1" customHeight="1">
      <c r="A304" s="1013" t="s">
        <v>934</v>
      </c>
      <c r="B304" s="1013" t="s">
        <v>2561</v>
      </c>
      <c r="C304" s="1015">
        <v>9111.66</v>
      </c>
      <c r="D304" s="1015">
        <v>4555.83</v>
      </c>
      <c r="E304" s="1015">
        <v>13667.49</v>
      </c>
      <c r="F304" s="1013" t="s">
        <v>401</v>
      </c>
      <c r="G304" s="1013" t="s">
        <v>2561</v>
      </c>
      <c r="H304" s="972"/>
      <c r="I304" s="973"/>
      <c r="J304" s="973"/>
      <c r="K304" s="973"/>
      <c r="L304" s="153" t="str">
        <f t="shared" si="18"/>
        <v>6144</v>
      </c>
      <c r="M304" s="154" t="str">
        <f t="shared" si="19"/>
        <v>FORMATION</v>
      </c>
      <c r="N304" s="155">
        <f>+IF(OR($Q304=Parametres!$G$2,$Q304=Parametres!$G$3),I304,C304)</f>
        <v>9111.66</v>
      </c>
      <c r="O304" s="155">
        <f>+IF(OR($Q304=Parametres!$G$2,$Q304=Parametres!$G$3),J304,D304)</f>
        <v>4555.83</v>
      </c>
      <c r="P304" s="155">
        <f>+IF(OR($Q304=Parametres!$G$2,$Q304=Parametres!$G$3),K304,E304)</f>
        <v>13667.49</v>
      </c>
      <c r="Q304" s="154" t="str">
        <f t="shared" si="22"/>
        <v>7-Dépenses</v>
      </c>
      <c r="R304" s="153" t="str">
        <f t="shared" si="22"/>
        <v>6144</v>
      </c>
      <c r="S304" s="154">
        <f t="shared" si="22"/>
        <v>0</v>
      </c>
      <c r="T304" s="156" t="str">
        <f>+VLOOKUP($L304,Data_Validation!$A:$D,1,0)</f>
        <v>6144</v>
      </c>
      <c r="U304" s="156" t="str">
        <f>+VLOOKUP($L304,Data_Validation!$A:$D,3,0)</f>
        <v>Véhicules neufs</v>
      </c>
      <c r="V304" s="156" t="str">
        <f>+VLOOKUP($L304,Data_Validation!$A:$D,4,0)</f>
        <v>Formation</v>
      </c>
      <c r="W304" s="156" t="str">
        <f>+VLOOKUP($L304,Data_Validation!$A:$E,5,0)</f>
        <v>$</v>
      </c>
      <c r="X304" s="156">
        <f>+VLOOKUP($L304,Data_Validation!$A:$F,6,0)</f>
        <v>0</v>
      </c>
    </row>
    <row r="305" spans="1:24" ht="15.75" hidden="1" customHeight="1">
      <c r="A305" s="1013" t="s">
        <v>1186</v>
      </c>
      <c r="B305" s="1013" t="s">
        <v>2632</v>
      </c>
      <c r="C305" s="1015">
        <v>30689.74</v>
      </c>
      <c r="D305" s="1015">
        <v>8667.2900000000009</v>
      </c>
      <c r="E305" s="1015">
        <v>39357.03</v>
      </c>
      <c r="F305" s="1013" t="s">
        <v>401</v>
      </c>
      <c r="G305" s="1013" t="s">
        <v>2632</v>
      </c>
      <c r="H305" s="972"/>
      <c r="I305" s="973"/>
      <c r="J305" s="973"/>
      <c r="K305" s="973"/>
      <c r="L305" s="153" t="str">
        <f t="shared" si="18"/>
        <v>6145</v>
      </c>
      <c r="M305" s="154" t="str">
        <f t="shared" si="19"/>
        <v>VEHICULE DE COMPAGNIE - DEPENS</v>
      </c>
      <c r="N305" s="155">
        <f>+IF(OR($Q305=Parametres!$G$2,$Q305=Parametres!$G$3),I305,C305)</f>
        <v>30689.74</v>
      </c>
      <c r="O305" s="155">
        <f>+IF(OR($Q305=Parametres!$G$2,$Q305=Parametres!$G$3),J305,D305)</f>
        <v>8667.2900000000009</v>
      </c>
      <c r="P305" s="155">
        <f>+IF(OR($Q305=Parametres!$G$2,$Q305=Parametres!$G$3),K305,E305)</f>
        <v>39357.03</v>
      </c>
      <c r="Q305" s="154" t="str">
        <f t="shared" si="22"/>
        <v>7-Dépenses</v>
      </c>
      <c r="R305" s="153" t="str">
        <f t="shared" si="22"/>
        <v>6145</v>
      </c>
      <c r="S305" s="154">
        <f t="shared" si="22"/>
        <v>0</v>
      </c>
      <c r="T305" s="156" t="str">
        <f>+VLOOKUP($L305,Data_Validation!$A:$D,1,0)</f>
        <v>6145</v>
      </c>
      <c r="U305" s="156" t="str">
        <f>+VLOOKUP($L305,Data_Validation!$A:$D,3,0)</f>
        <v>Véhicules neufs</v>
      </c>
      <c r="V305" s="156" t="str">
        <f>+VLOOKUP($L305,Data_Validation!$A:$D,4,0)</f>
        <v>Frais véhicules de cie</v>
      </c>
      <c r="W305" s="156" t="str">
        <f>+VLOOKUP($L305,Data_Validation!$A:$E,5,0)</f>
        <v>$</v>
      </c>
      <c r="X305" s="156">
        <f>+VLOOKUP($L305,Data_Validation!$A:$F,6,0)</f>
        <v>0</v>
      </c>
    </row>
    <row r="306" spans="1:24" ht="15" hidden="1" customHeight="1">
      <c r="A306" s="1013" t="s">
        <v>1180</v>
      </c>
      <c r="B306" s="1013" t="s">
        <v>2581</v>
      </c>
      <c r="C306" s="1015">
        <v>301.41000000000003</v>
      </c>
      <c r="D306" s="1015">
        <v>82.32</v>
      </c>
      <c r="E306" s="1015">
        <v>383.73</v>
      </c>
      <c r="F306" s="1013" t="s">
        <v>401</v>
      </c>
      <c r="G306" s="1013" t="s">
        <v>2581</v>
      </c>
      <c r="H306" s="972"/>
      <c r="I306" s="973"/>
      <c r="J306" s="973"/>
      <c r="K306" s="973"/>
      <c r="L306" s="153" t="str">
        <f t="shared" si="18"/>
        <v>6147</v>
      </c>
      <c r="M306" s="154" t="str">
        <f t="shared" si="19"/>
        <v>FRET/EXPRESS/TRANS. PAR CAMION</v>
      </c>
      <c r="N306" s="155">
        <f>+IF(OR($Q306=Parametres!$G$2,$Q306=Parametres!$G$3),I306,C306)</f>
        <v>301.41000000000003</v>
      </c>
      <c r="O306" s="155">
        <f>+IF(OR($Q306=Parametres!$G$2,$Q306=Parametres!$G$3),J306,D306)</f>
        <v>82.32</v>
      </c>
      <c r="P306" s="155">
        <f>+IF(OR($Q306=Parametres!$G$2,$Q306=Parametres!$G$3),K306,E306)</f>
        <v>383.73</v>
      </c>
      <c r="Q306" s="154" t="str">
        <f t="shared" ref="Q306:S321" si="23">+F306</f>
        <v>7-Dépenses</v>
      </c>
      <c r="R306" s="153" t="str">
        <f t="shared" si="23"/>
        <v>6147</v>
      </c>
      <c r="S306" s="154">
        <f t="shared" si="23"/>
        <v>0</v>
      </c>
      <c r="T306" s="156" t="str">
        <f>+VLOOKUP($L306,Data_Validation!$A:$D,1,0)</f>
        <v>6147</v>
      </c>
      <c r="U306" s="156" t="str">
        <f>+VLOOKUP($L306,Data_Validation!$A:$D,3,0)</f>
        <v>Véhicules neufs</v>
      </c>
      <c r="V306" s="156" t="str">
        <f>+VLOOKUP($L306,Data_Validation!$A:$D,4,0)</f>
        <v>Frais postaux</v>
      </c>
      <c r="W306" s="156" t="str">
        <f>+VLOOKUP($L306,Data_Validation!$A:$E,5,0)</f>
        <v>$</v>
      </c>
      <c r="X306" s="156">
        <f>+VLOOKUP($L306,Data_Validation!$A:$F,6,0)</f>
        <v>0</v>
      </c>
    </row>
    <row r="307" spans="1:24" ht="15" hidden="1" customHeight="1">
      <c r="A307" s="1013" t="s">
        <v>1286</v>
      </c>
      <c r="B307" s="1013" t="s">
        <v>2702</v>
      </c>
      <c r="C307" s="1015">
        <v>13773.29</v>
      </c>
      <c r="D307" s="1015">
        <v>6718.5</v>
      </c>
      <c r="E307" s="1015">
        <v>20491.79</v>
      </c>
      <c r="F307" s="1013" t="s">
        <v>401</v>
      </c>
      <c r="G307" s="1013" t="s">
        <v>2702</v>
      </c>
      <c r="H307" s="972"/>
      <c r="I307" s="973"/>
      <c r="J307" s="973"/>
      <c r="K307" s="973"/>
      <c r="L307" s="153" t="str">
        <f t="shared" si="18"/>
        <v>6151</v>
      </c>
      <c r="M307" s="154" t="str">
        <f t="shared" si="19"/>
        <v>DEP. DU TRAITEMENT DES DONNEES</v>
      </c>
      <c r="N307" s="155">
        <f>+IF(OR($Q307=Parametres!$G$2,$Q307=Parametres!$G$3),I307,C307)</f>
        <v>13773.29</v>
      </c>
      <c r="O307" s="155">
        <f>+IF(OR($Q307=Parametres!$G$2,$Q307=Parametres!$G$3),J307,D307)</f>
        <v>6718.5</v>
      </c>
      <c r="P307" s="155">
        <f>+IF(OR($Q307=Parametres!$G$2,$Q307=Parametres!$G$3),K307,E307)</f>
        <v>20491.79</v>
      </c>
      <c r="Q307" s="154" t="str">
        <f t="shared" si="23"/>
        <v>7-Dépenses</v>
      </c>
      <c r="R307" s="153" t="str">
        <f t="shared" si="23"/>
        <v>6151</v>
      </c>
      <c r="S307" s="154">
        <f t="shared" si="23"/>
        <v>0</v>
      </c>
      <c r="T307" s="156" t="str">
        <f>+VLOOKUP($L307,Data_Validation!$A:$D,1,0)</f>
        <v>6151</v>
      </c>
      <c r="U307" s="156" t="str">
        <f>+VLOOKUP($L307,Data_Validation!$A:$D,3,0)</f>
        <v>Véhicules neufs</v>
      </c>
      <c r="V307" s="156" t="str">
        <f>+VLOOKUP($L307,Data_Validation!$A:$D,4,0)</f>
        <v>Informatique</v>
      </c>
      <c r="W307" s="156" t="str">
        <f>+VLOOKUP($L307,Data_Validation!$A:$E,5,0)</f>
        <v>$</v>
      </c>
      <c r="X307" s="156">
        <f>+VLOOKUP($L307,Data_Validation!$A:$F,6,0)</f>
        <v>0</v>
      </c>
    </row>
    <row r="308" spans="1:24" ht="15" hidden="1" customHeight="1">
      <c r="A308" s="1013" t="s">
        <v>1206</v>
      </c>
      <c r="B308" s="1013" t="s">
        <v>2588</v>
      </c>
      <c r="C308" s="1015">
        <v>1184</v>
      </c>
      <c r="D308" s="1015">
        <v>592</v>
      </c>
      <c r="E308" s="1015">
        <v>1776</v>
      </c>
      <c r="F308" s="1013" t="s">
        <v>401</v>
      </c>
      <c r="G308" s="1013" t="s">
        <v>2588</v>
      </c>
      <c r="H308" s="972"/>
      <c r="I308" s="973"/>
      <c r="J308" s="973"/>
      <c r="K308" s="973"/>
      <c r="L308" s="153" t="str">
        <f t="shared" si="18"/>
        <v>6152</v>
      </c>
      <c r="M308" s="154" t="str">
        <f t="shared" si="19"/>
        <v>PAPETERIE</v>
      </c>
      <c r="N308" s="155">
        <f>+IF(OR($Q308=Parametres!$G$2,$Q308=Parametres!$G$3),I308,C308)</f>
        <v>1184</v>
      </c>
      <c r="O308" s="155">
        <f>+IF(OR($Q308=Parametres!$G$2,$Q308=Parametres!$G$3),J308,D308)</f>
        <v>592</v>
      </c>
      <c r="P308" s="155">
        <f>+IF(OR($Q308=Parametres!$G$2,$Q308=Parametres!$G$3),K308,E308)</f>
        <v>1776</v>
      </c>
      <c r="Q308" s="154" t="str">
        <f t="shared" si="23"/>
        <v>7-Dépenses</v>
      </c>
      <c r="R308" s="153" t="str">
        <f t="shared" si="23"/>
        <v>6152</v>
      </c>
      <c r="S308" s="154">
        <f t="shared" si="23"/>
        <v>0</v>
      </c>
      <c r="T308" s="156" t="str">
        <f>+VLOOKUP($L308,Data_Validation!$A:$D,1,0)</f>
        <v>6152</v>
      </c>
      <c r="U308" s="156" t="str">
        <f>+VLOOKUP($L308,Data_Validation!$A:$D,3,0)</f>
        <v>Véhicules neufs</v>
      </c>
      <c r="V308" s="156" t="str">
        <f>+VLOOKUP($L308,Data_Validation!$A:$D,4,0)</f>
        <v>Papeterie</v>
      </c>
      <c r="W308" s="156" t="str">
        <f>+VLOOKUP($L308,Data_Validation!$A:$E,5,0)</f>
        <v>$</v>
      </c>
      <c r="X308" s="156">
        <f>+VLOOKUP($L308,Data_Validation!$A:$F,6,0)</f>
        <v>0</v>
      </c>
    </row>
    <row r="309" spans="1:24" ht="15.75" hidden="1" customHeight="1">
      <c r="A309" s="1013" t="s">
        <v>1154</v>
      </c>
      <c r="B309" s="1013" t="s">
        <v>2592</v>
      </c>
      <c r="C309" s="1015">
        <v>995.63</v>
      </c>
      <c r="D309" s="1015">
        <v>633.66999999999996</v>
      </c>
      <c r="E309" s="1015">
        <v>1629.3</v>
      </c>
      <c r="F309" s="1013" t="s">
        <v>401</v>
      </c>
      <c r="G309" s="1013" t="s">
        <v>2592</v>
      </c>
      <c r="H309" s="972"/>
      <c r="I309" s="973"/>
      <c r="J309" s="973"/>
      <c r="K309" s="973"/>
      <c r="L309" s="153" t="str">
        <f t="shared" si="18"/>
        <v>6153</v>
      </c>
      <c r="M309" s="154" t="str">
        <f t="shared" si="19"/>
        <v>TELEPHONE ET TELEX</v>
      </c>
      <c r="N309" s="155">
        <f>+IF(OR($Q309=Parametres!$G$2,$Q309=Parametres!$G$3),I309,C309)</f>
        <v>995.63</v>
      </c>
      <c r="O309" s="155">
        <f>+IF(OR($Q309=Parametres!$G$2,$Q309=Parametres!$G$3),J309,D309)</f>
        <v>633.66999999999996</v>
      </c>
      <c r="P309" s="155">
        <f>+IF(OR($Q309=Parametres!$G$2,$Q309=Parametres!$G$3),K309,E309)</f>
        <v>1629.3</v>
      </c>
      <c r="Q309" s="154" t="str">
        <f t="shared" si="23"/>
        <v>7-Dépenses</v>
      </c>
      <c r="R309" s="153" t="str">
        <f t="shared" si="23"/>
        <v>6153</v>
      </c>
      <c r="S309" s="154">
        <f t="shared" si="23"/>
        <v>0</v>
      </c>
      <c r="T309" s="156" t="str">
        <f>+VLOOKUP($L309,Data_Validation!$A:$D,1,0)</f>
        <v>6153</v>
      </c>
      <c r="U309" s="156" t="str">
        <f>+VLOOKUP($L309,Data_Validation!$A:$D,3,0)</f>
        <v>Véhicules neufs</v>
      </c>
      <c r="V309" s="156" t="str">
        <f>+VLOOKUP($L309,Data_Validation!$A:$D,4,0)</f>
        <v>Téléphone</v>
      </c>
      <c r="W309" s="156" t="str">
        <f>+VLOOKUP($L309,Data_Validation!$A:$E,5,0)</f>
        <v>$</v>
      </c>
      <c r="X309" s="156">
        <f>+VLOOKUP($L309,Data_Validation!$A:$F,6,0)</f>
        <v>0</v>
      </c>
    </row>
    <row r="310" spans="1:24" ht="15" hidden="1" customHeight="1">
      <c r="A310" s="1013" t="s">
        <v>1237</v>
      </c>
      <c r="B310" s="1013" t="s">
        <v>2637</v>
      </c>
      <c r="C310" s="1015">
        <v>3624.38</v>
      </c>
      <c r="D310" s="1015">
        <v>1545.45</v>
      </c>
      <c r="E310" s="1015">
        <v>5169.83</v>
      </c>
      <c r="F310" s="1013" t="s">
        <v>401</v>
      </c>
      <c r="G310" s="1013" t="s">
        <v>2637</v>
      </c>
      <c r="H310" s="972"/>
      <c r="I310" s="973"/>
      <c r="J310" s="973"/>
      <c r="K310" s="973"/>
      <c r="L310" s="153" t="str">
        <f t="shared" si="18"/>
        <v>6155</v>
      </c>
      <c r="M310" s="154" t="str">
        <f t="shared" si="19"/>
        <v>DEPENSES DIVERS</v>
      </c>
      <c r="N310" s="155">
        <f>+IF(OR($Q310=Parametres!$G$2,$Q310=Parametres!$G$3),I310,C310)</f>
        <v>3624.38</v>
      </c>
      <c r="O310" s="155">
        <f>+IF(OR($Q310=Parametres!$G$2,$Q310=Parametres!$G$3),J310,D310)</f>
        <v>1545.45</v>
      </c>
      <c r="P310" s="155">
        <f>+IF(OR($Q310=Parametres!$G$2,$Q310=Parametres!$G$3),K310,E310)</f>
        <v>5169.83</v>
      </c>
      <c r="Q310" s="154" t="str">
        <f t="shared" si="23"/>
        <v>7-Dépenses</v>
      </c>
      <c r="R310" s="153" t="str">
        <f t="shared" si="23"/>
        <v>6155</v>
      </c>
      <c r="S310" s="154">
        <f t="shared" si="23"/>
        <v>0</v>
      </c>
      <c r="T310" s="156" t="str">
        <f>+VLOOKUP($L310,Data_Validation!$A:$D,1,0)</f>
        <v>6155</v>
      </c>
      <c r="U310" s="156" t="str">
        <f>+VLOOKUP($L310,Data_Validation!$A:$D,3,0)</f>
        <v>Véhicules neufs</v>
      </c>
      <c r="V310" s="156" t="str">
        <f>+VLOOKUP($L310,Data_Validation!$A:$D,4,0)</f>
        <v>Divers</v>
      </c>
      <c r="W310" s="156" t="str">
        <f>+VLOOKUP($L310,Data_Validation!$A:$E,5,0)</f>
        <v>$</v>
      </c>
      <c r="X310" s="156">
        <f>+VLOOKUP($L310,Data_Validation!$A:$F,6,0)</f>
        <v>0</v>
      </c>
    </row>
    <row r="311" spans="1:24" ht="15" hidden="1" customHeight="1">
      <c r="A311" s="1013" t="s">
        <v>1315</v>
      </c>
      <c r="B311" s="1013" t="s">
        <v>2470</v>
      </c>
      <c r="C311" s="1015">
        <v>3889.28</v>
      </c>
      <c r="D311" s="1015">
        <v>1944.64</v>
      </c>
      <c r="E311" s="1015">
        <v>5833.92</v>
      </c>
      <c r="F311" s="1013" t="s">
        <v>401</v>
      </c>
      <c r="G311" s="1013" t="s">
        <v>2470</v>
      </c>
      <c r="H311" s="972"/>
      <c r="I311" s="973"/>
      <c r="J311" s="973"/>
      <c r="K311" s="973"/>
      <c r="L311" s="153" t="str">
        <f t="shared" si="18"/>
        <v>6156</v>
      </c>
      <c r="M311" s="154" t="str">
        <f t="shared" si="19"/>
        <v>FRAIS REPRESENTATION - NEUF</v>
      </c>
      <c r="N311" s="155">
        <f>+IF(OR($Q311=Parametres!$G$2,$Q311=Parametres!$G$3),I311,C311)</f>
        <v>3889.28</v>
      </c>
      <c r="O311" s="155">
        <f>+IF(OR($Q311=Parametres!$G$2,$Q311=Parametres!$G$3),J311,D311)</f>
        <v>1944.64</v>
      </c>
      <c r="P311" s="155">
        <f>+IF(OR($Q311=Parametres!$G$2,$Q311=Parametres!$G$3),K311,E311)</f>
        <v>5833.92</v>
      </c>
      <c r="Q311" s="154" t="str">
        <f t="shared" si="23"/>
        <v>7-Dépenses</v>
      </c>
      <c r="R311" s="153" t="str">
        <f t="shared" si="23"/>
        <v>6156</v>
      </c>
      <c r="S311" s="154">
        <f t="shared" si="23"/>
        <v>0</v>
      </c>
      <c r="T311" s="156" t="str">
        <f>+VLOOKUP($L311,Data_Validation!$A:$D,1,0)</f>
        <v>6156</v>
      </c>
      <c r="U311" s="156" t="str">
        <f>+VLOOKUP($L311,Data_Validation!$A:$D,3,0)</f>
        <v>Véhicules neufs</v>
      </c>
      <c r="V311" s="156" t="str">
        <f>+VLOOKUP($L311,Data_Validation!$A:$D,4,0)</f>
        <v>Frais de déplacement</v>
      </c>
      <c r="W311" s="156" t="str">
        <f>+VLOOKUP($L311,Data_Validation!$A:$E,5,0)</f>
        <v>$</v>
      </c>
      <c r="X311" s="156">
        <f>+VLOOKUP($L311,Data_Validation!$A:$F,6,0)</f>
        <v>0</v>
      </c>
    </row>
    <row r="312" spans="1:24" ht="15" hidden="1" customHeight="1">
      <c r="A312" s="1013" t="s">
        <v>1308</v>
      </c>
      <c r="B312" s="1013" t="s">
        <v>2662</v>
      </c>
      <c r="C312" s="1015">
        <v>15915.17</v>
      </c>
      <c r="D312" s="1015">
        <v>8135.35</v>
      </c>
      <c r="E312" s="1015">
        <v>24050.52</v>
      </c>
      <c r="F312" s="1013" t="s">
        <v>401</v>
      </c>
      <c r="G312" s="1013" t="s">
        <v>2662</v>
      </c>
      <c r="H312" s="972"/>
      <c r="I312" s="973"/>
      <c r="J312" s="973"/>
      <c r="K312" s="973"/>
      <c r="L312" s="153" t="str">
        <f t="shared" si="18"/>
        <v>6159</v>
      </c>
      <c r="M312" s="154" t="str">
        <f t="shared" si="19"/>
        <v>SERVICE EXTERIEUR</v>
      </c>
      <c r="N312" s="155">
        <f>+IF(OR($Q312=Parametres!$G$2,$Q312=Parametres!$G$3),I312,C312)</f>
        <v>15915.17</v>
      </c>
      <c r="O312" s="155">
        <f>+IF(OR($Q312=Parametres!$G$2,$Q312=Parametres!$G$3),J312,D312)</f>
        <v>8135.35</v>
      </c>
      <c r="P312" s="155">
        <f>+IF(OR($Q312=Parametres!$G$2,$Q312=Parametres!$G$3),K312,E312)</f>
        <v>24050.52</v>
      </c>
      <c r="Q312" s="154" t="str">
        <f t="shared" si="23"/>
        <v>7-Dépenses</v>
      </c>
      <c r="R312" s="153" t="str">
        <f t="shared" si="23"/>
        <v>6159</v>
      </c>
      <c r="S312" s="154">
        <f t="shared" si="23"/>
        <v>0</v>
      </c>
      <c r="T312" s="156" t="str">
        <f>+VLOOKUP($L312,Data_Validation!$A:$D,1,0)</f>
        <v>6159</v>
      </c>
      <c r="U312" s="156" t="str">
        <f>+VLOOKUP($L312,Data_Validation!$A:$D,3,0)</f>
        <v>Véhicules neufs</v>
      </c>
      <c r="V312" s="156" t="str">
        <f>+VLOOKUP($L312,Data_Validation!$A:$D,4,0)</f>
        <v>Services extérieurs</v>
      </c>
      <c r="W312" s="156" t="str">
        <f>+VLOOKUP($L312,Data_Validation!$A:$E,5,0)</f>
        <v>$</v>
      </c>
      <c r="X312" s="156">
        <f>+VLOOKUP($L312,Data_Validation!$A:$F,6,0)</f>
        <v>0</v>
      </c>
    </row>
    <row r="313" spans="1:24" ht="15" hidden="1" customHeight="1">
      <c r="A313" s="1013" t="s">
        <v>1333</v>
      </c>
      <c r="B313" s="1013" t="s">
        <v>2653</v>
      </c>
      <c r="C313" s="1015">
        <v>5760</v>
      </c>
      <c r="D313" s="1015">
        <v>2880</v>
      </c>
      <c r="E313" s="1015">
        <v>8640</v>
      </c>
      <c r="F313" s="1013" t="s">
        <v>401</v>
      </c>
      <c r="G313" s="1013" t="s">
        <v>2653</v>
      </c>
      <c r="H313" s="972"/>
      <c r="I313" s="973"/>
      <c r="J313" s="973"/>
      <c r="K313" s="973"/>
      <c r="L313" s="153" t="str">
        <f t="shared" si="18"/>
        <v>6161</v>
      </c>
      <c r="M313" s="154" t="str">
        <f t="shared" si="19"/>
        <v>DEPRECIATION EQUIP. &amp; FIXTURES</v>
      </c>
      <c r="N313" s="155">
        <f>+IF(OR($Q313=Parametres!$G$2,$Q313=Parametres!$G$3),I313,C313)</f>
        <v>5760</v>
      </c>
      <c r="O313" s="155">
        <f>+IF(OR($Q313=Parametres!$G$2,$Q313=Parametres!$G$3),J313,D313)</f>
        <v>2880</v>
      </c>
      <c r="P313" s="155">
        <f>+IF(OR($Q313=Parametres!$G$2,$Q313=Parametres!$G$3),K313,E313)</f>
        <v>8640</v>
      </c>
      <c r="Q313" s="154" t="str">
        <f t="shared" si="23"/>
        <v>7-Dépenses</v>
      </c>
      <c r="R313" s="153" t="str">
        <f t="shared" si="23"/>
        <v>6161</v>
      </c>
      <c r="S313" s="154">
        <f t="shared" si="23"/>
        <v>0</v>
      </c>
      <c r="T313" s="156" t="str">
        <f>+VLOOKUP($L313,Data_Validation!$A:$D,1,0)</f>
        <v>6161</v>
      </c>
      <c r="U313" s="156" t="str">
        <f>+VLOOKUP($L313,Data_Validation!$A:$D,3,0)</f>
        <v>Véhicules neufs</v>
      </c>
      <c r="V313" s="156" t="str">
        <f>+VLOOKUP($L313,Data_Validation!$A:$D,4,0)</f>
        <v>Amortissement</v>
      </c>
      <c r="W313" s="156" t="str">
        <f>+VLOOKUP($L313,Data_Validation!$A:$E,5,0)</f>
        <v>$</v>
      </c>
      <c r="X313" s="156">
        <f>+VLOOKUP($L313,Data_Validation!$A:$F,6,0)</f>
        <v>0</v>
      </c>
    </row>
    <row r="314" spans="1:24" ht="15" hidden="1" customHeight="1">
      <c r="A314" s="1013" t="s">
        <v>936</v>
      </c>
      <c r="B314" s="1013" t="s">
        <v>2463</v>
      </c>
      <c r="C314" s="1015">
        <v>256</v>
      </c>
      <c r="D314" s="1015">
        <v>128</v>
      </c>
      <c r="E314" s="1015">
        <v>384</v>
      </c>
      <c r="F314" s="1013" t="s">
        <v>401</v>
      </c>
      <c r="G314" s="1013" t="s">
        <v>2463</v>
      </c>
      <c r="H314" s="972"/>
      <c r="I314" s="973"/>
      <c r="J314" s="973"/>
      <c r="K314" s="973"/>
      <c r="L314" s="153" t="str">
        <f t="shared" si="18"/>
        <v>6162</v>
      </c>
      <c r="M314" s="154" t="str">
        <f t="shared" si="19"/>
        <v>LOCATION D'EQUIPEMENTS</v>
      </c>
      <c r="N314" s="155">
        <f>+IF(OR($Q314=Parametres!$G$2,$Q314=Parametres!$G$3),I314,C314)</f>
        <v>256</v>
      </c>
      <c r="O314" s="155">
        <f>+IF(OR($Q314=Parametres!$G$2,$Q314=Parametres!$G$3),J314,D314)</f>
        <v>128</v>
      </c>
      <c r="P314" s="155">
        <f>+IF(OR($Q314=Parametres!$G$2,$Q314=Parametres!$G$3),K314,E314)</f>
        <v>384</v>
      </c>
      <c r="Q314" s="154" t="str">
        <f t="shared" si="23"/>
        <v>7-Dépenses</v>
      </c>
      <c r="R314" s="153" t="str">
        <f t="shared" si="23"/>
        <v>6162</v>
      </c>
      <c r="S314" s="154">
        <f t="shared" si="23"/>
        <v>0</v>
      </c>
      <c r="T314" s="156" t="str">
        <f>+VLOOKUP($L314,Data_Validation!$A:$D,1,0)</f>
        <v>6162</v>
      </c>
      <c r="U314" s="156" t="str">
        <f>+VLOOKUP($L314,Data_Validation!$A:$D,3,0)</f>
        <v>Véhicules neufs</v>
      </c>
      <c r="V314" s="156" t="str">
        <f>+VLOOKUP($L314,Data_Validation!$A:$D,4,0)</f>
        <v>Location équipement</v>
      </c>
      <c r="W314" s="156" t="str">
        <f>+VLOOKUP($L314,Data_Validation!$A:$E,5,0)</f>
        <v>$</v>
      </c>
      <c r="X314" s="156">
        <f>+VLOOKUP($L314,Data_Validation!$A:$F,6,0)</f>
        <v>0</v>
      </c>
    </row>
    <row r="315" spans="1:24" ht="15" hidden="1" customHeight="1">
      <c r="A315" s="1013" t="s">
        <v>1332</v>
      </c>
      <c r="B315" s="1013" t="s">
        <v>2604</v>
      </c>
      <c r="C315" s="1015">
        <v>2348.8000000000002</v>
      </c>
      <c r="D315" s="1015">
        <v>1174.4000000000001</v>
      </c>
      <c r="E315" s="1015">
        <v>3523.2</v>
      </c>
      <c r="F315" s="1013" t="s">
        <v>401</v>
      </c>
      <c r="G315" s="1013" t="s">
        <v>2604</v>
      </c>
      <c r="H315" s="972"/>
      <c r="I315" s="973"/>
      <c r="J315" s="973"/>
      <c r="K315" s="973"/>
      <c r="L315" s="153" t="str">
        <f t="shared" si="18"/>
        <v>6181</v>
      </c>
      <c r="M315" s="154" t="str">
        <f t="shared" si="19"/>
        <v>ELECTRICITE CHAUFFAGE</v>
      </c>
      <c r="N315" s="155">
        <f>+IF(OR($Q315=Parametres!$G$2,$Q315=Parametres!$G$3),I315,C315)</f>
        <v>2348.8000000000002</v>
      </c>
      <c r="O315" s="155">
        <f>+IF(OR($Q315=Parametres!$G$2,$Q315=Parametres!$G$3),J315,D315)</f>
        <v>1174.4000000000001</v>
      </c>
      <c r="P315" s="155">
        <f>+IF(OR($Q315=Parametres!$G$2,$Q315=Parametres!$G$3),K315,E315)</f>
        <v>3523.2</v>
      </c>
      <c r="Q315" s="154" t="str">
        <f t="shared" si="23"/>
        <v>7-Dépenses</v>
      </c>
      <c r="R315" s="153" t="str">
        <f t="shared" si="23"/>
        <v>6181</v>
      </c>
      <c r="S315" s="154">
        <f t="shared" si="23"/>
        <v>0</v>
      </c>
      <c r="T315" s="156" t="str">
        <f>+VLOOKUP($L315,Data_Validation!$A:$D,1,0)</f>
        <v>6181</v>
      </c>
      <c r="U315" s="156" t="str">
        <f>+VLOOKUP($L315,Data_Validation!$A:$D,3,0)</f>
        <v>Véhicules neufs</v>
      </c>
      <c r="V315" s="156" t="str">
        <f>+VLOOKUP($L315,Data_Validation!$A:$D,4,0)</f>
        <v>Chauffage, éclairage</v>
      </c>
      <c r="W315" s="156" t="str">
        <f>+VLOOKUP($L315,Data_Validation!$A:$E,5,0)</f>
        <v>$</v>
      </c>
      <c r="X315" s="156">
        <f>+VLOOKUP($L315,Data_Validation!$A:$F,6,0)</f>
        <v>0</v>
      </c>
    </row>
    <row r="316" spans="1:24" ht="15" hidden="1" customHeight="1">
      <c r="A316" s="1013" t="s">
        <v>1469</v>
      </c>
      <c r="B316" s="1013" t="s">
        <v>2709</v>
      </c>
      <c r="C316" s="1015">
        <v>16640.04</v>
      </c>
      <c r="D316" s="1015">
        <v>8320.06</v>
      </c>
      <c r="E316" s="1015">
        <v>24960.1</v>
      </c>
      <c r="F316" s="1013" t="s">
        <v>401</v>
      </c>
      <c r="G316" s="1013" t="s">
        <v>2709</v>
      </c>
      <c r="H316" s="972"/>
      <c r="I316" s="973"/>
      <c r="J316" s="973"/>
      <c r="K316" s="973"/>
      <c r="L316" s="153" t="str">
        <f t="shared" si="18"/>
        <v>6182</v>
      </c>
      <c r="M316" s="154" t="str">
        <f t="shared" si="19"/>
        <v>LOYER NEUFS</v>
      </c>
      <c r="N316" s="155">
        <f>+IF(OR($Q316=Parametres!$G$2,$Q316=Parametres!$G$3),I316,C316)</f>
        <v>16640.04</v>
      </c>
      <c r="O316" s="155">
        <f>+IF(OR($Q316=Parametres!$G$2,$Q316=Parametres!$G$3),J316,D316)</f>
        <v>8320.06</v>
      </c>
      <c r="P316" s="155">
        <f>+IF(OR($Q316=Parametres!$G$2,$Q316=Parametres!$G$3),K316,E316)</f>
        <v>24960.1</v>
      </c>
      <c r="Q316" s="154" t="str">
        <f t="shared" si="23"/>
        <v>7-Dépenses</v>
      </c>
      <c r="R316" s="153" t="str">
        <f t="shared" si="23"/>
        <v>6182</v>
      </c>
      <c r="S316" s="154">
        <f t="shared" si="23"/>
        <v>0</v>
      </c>
      <c r="T316" s="156" t="str">
        <f>+VLOOKUP($L316,Data_Validation!$A:$D,1,0)</f>
        <v>6182</v>
      </c>
      <c r="U316" s="156" t="str">
        <f>+VLOOKUP($L316,Data_Validation!$A:$D,3,0)</f>
        <v>Véhicules neufs</v>
      </c>
      <c r="V316" s="156" t="str">
        <f>+VLOOKUP($L316,Data_Validation!$A:$D,4,0)</f>
        <v>Loyer</v>
      </c>
      <c r="W316" s="156" t="str">
        <f>+VLOOKUP($L316,Data_Validation!$A:$E,5,0)</f>
        <v>$</v>
      </c>
      <c r="X316" s="156">
        <f>+VLOOKUP($L316,Data_Validation!$A:$F,6,0)</f>
        <v>0</v>
      </c>
    </row>
    <row r="317" spans="1:24" ht="15" hidden="1" customHeight="1">
      <c r="A317" s="1013" t="s">
        <v>1366</v>
      </c>
      <c r="B317" s="1013" t="s">
        <v>2594</v>
      </c>
      <c r="C317" s="1015">
        <v>960</v>
      </c>
      <c r="D317" s="1015">
        <v>480</v>
      </c>
      <c r="E317" s="1015">
        <v>1440</v>
      </c>
      <c r="F317" s="1013" t="s">
        <v>401</v>
      </c>
      <c r="G317" s="1013" t="s">
        <v>2594</v>
      </c>
      <c r="H317" s="972"/>
      <c r="I317" s="973"/>
      <c r="J317" s="973"/>
      <c r="K317" s="973"/>
      <c r="L317" s="153" t="str">
        <f t="shared" si="18"/>
        <v>6186</v>
      </c>
      <c r="M317" s="154" t="str">
        <f t="shared" si="19"/>
        <v>ASSURANCE BATIMENT</v>
      </c>
      <c r="N317" s="155">
        <f>+IF(OR($Q317=Parametres!$G$2,$Q317=Parametres!$G$3),I317,C317)</f>
        <v>960</v>
      </c>
      <c r="O317" s="155">
        <f>+IF(OR($Q317=Parametres!$G$2,$Q317=Parametres!$G$3),J317,D317)</f>
        <v>480</v>
      </c>
      <c r="P317" s="155">
        <f>+IF(OR($Q317=Parametres!$G$2,$Q317=Parametres!$G$3),K317,E317)</f>
        <v>1440</v>
      </c>
      <c r="Q317" s="154" t="str">
        <f t="shared" si="23"/>
        <v>7-Dépenses</v>
      </c>
      <c r="R317" s="153" t="str">
        <f t="shared" si="23"/>
        <v>6186</v>
      </c>
      <c r="S317" s="154">
        <f t="shared" si="23"/>
        <v>0</v>
      </c>
      <c r="T317" s="156" t="str">
        <f>+VLOOKUP($L317,Data_Validation!$A:$D,1,0)</f>
        <v>6186</v>
      </c>
      <c r="U317" s="156" t="str">
        <f>+VLOOKUP($L317,Data_Validation!$A:$D,3,0)</f>
        <v>Véhicules neufs</v>
      </c>
      <c r="V317" s="156" t="str">
        <f>+VLOOKUP($L317,Data_Validation!$A:$D,4,0)</f>
        <v>Assurances</v>
      </c>
      <c r="W317" s="156" t="str">
        <f>+VLOOKUP($L317,Data_Validation!$A:$E,5,0)</f>
        <v>$</v>
      </c>
      <c r="X317" s="156">
        <f>+VLOOKUP($L317,Data_Validation!$A:$F,6,0)</f>
        <v>0</v>
      </c>
    </row>
    <row r="318" spans="1:24" ht="15.75" hidden="1" customHeight="1">
      <c r="A318" s="1013" t="s">
        <v>1362</v>
      </c>
      <c r="B318" s="1013" t="s">
        <v>2614</v>
      </c>
      <c r="C318" s="1015">
        <v>3008</v>
      </c>
      <c r="D318" s="1015">
        <v>1504</v>
      </c>
      <c r="E318" s="1015">
        <v>4512</v>
      </c>
      <c r="F318" s="1013" t="s">
        <v>401</v>
      </c>
      <c r="G318" s="1013" t="s">
        <v>2614</v>
      </c>
      <c r="H318" s="972"/>
      <c r="I318" s="973"/>
      <c r="J318" s="973"/>
      <c r="K318" s="973"/>
      <c r="L318" s="153" t="str">
        <f t="shared" si="18"/>
        <v>6187</v>
      </c>
      <c r="M318" s="154" t="str">
        <f t="shared" si="19"/>
        <v>TAXE SUR PROPRIETE</v>
      </c>
      <c r="N318" s="155">
        <f>+IF(OR($Q318=Parametres!$G$2,$Q318=Parametres!$G$3),I318,C318)</f>
        <v>3008</v>
      </c>
      <c r="O318" s="155">
        <f>+IF(OR($Q318=Parametres!$G$2,$Q318=Parametres!$G$3),J318,D318)</f>
        <v>1504</v>
      </c>
      <c r="P318" s="155">
        <f>+IF(OR($Q318=Parametres!$G$2,$Q318=Parametres!$G$3),K318,E318)</f>
        <v>4512</v>
      </c>
      <c r="Q318" s="154" t="str">
        <f t="shared" si="23"/>
        <v>7-Dépenses</v>
      </c>
      <c r="R318" s="153" t="str">
        <f t="shared" si="23"/>
        <v>6187</v>
      </c>
      <c r="S318" s="154">
        <f t="shared" si="23"/>
        <v>0</v>
      </c>
      <c r="T318" s="156" t="str">
        <f>+VLOOKUP($L318,Data_Validation!$A:$D,1,0)</f>
        <v>6187</v>
      </c>
      <c r="U318" s="156" t="str">
        <f>+VLOOKUP($L318,Data_Validation!$A:$D,3,0)</f>
        <v>Véhicules neufs</v>
      </c>
      <c r="V318" s="156" t="str">
        <f>+VLOOKUP($L318,Data_Validation!$A:$D,4,0)</f>
        <v>Taxes foncières</v>
      </c>
      <c r="W318" s="156" t="str">
        <f>+VLOOKUP($L318,Data_Validation!$A:$E,5,0)</f>
        <v>$</v>
      </c>
      <c r="X318" s="156">
        <f>+VLOOKUP($L318,Data_Validation!$A:$F,6,0)</f>
        <v>0</v>
      </c>
    </row>
    <row r="319" spans="1:24" ht="15" hidden="1" customHeight="1">
      <c r="A319" s="1013" t="s">
        <v>1296</v>
      </c>
      <c r="B319" s="1013" t="s">
        <v>2597</v>
      </c>
      <c r="C319" s="1015">
        <v>2016</v>
      </c>
      <c r="D319" s="1015">
        <v>1008</v>
      </c>
      <c r="E319" s="1015">
        <v>3024</v>
      </c>
      <c r="F319" s="1013" t="s">
        <v>401</v>
      </c>
      <c r="G319" s="1013" t="s">
        <v>2597</v>
      </c>
      <c r="H319" s="972"/>
      <c r="I319" s="973"/>
      <c r="J319" s="973"/>
      <c r="K319" s="973"/>
      <c r="L319" s="153" t="str">
        <f t="shared" si="18"/>
        <v>6193</v>
      </c>
      <c r="M319" s="154" t="str">
        <f t="shared" si="19"/>
        <v>TAXES AUTRES PERMIS LICENCE</v>
      </c>
      <c r="N319" s="155">
        <f>+IF(OR($Q319=Parametres!$G$2,$Q319=Parametres!$G$3),I319,C319)</f>
        <v>2016</v>
      </c>
      <c r="O319" s="155">
        <f>+IF(OR($Q319=Parametres!$G$2,$Q319=Parametres!$G$3),J319,D319)</f>
        <v>1008</v>
      </c>
      <c r="P319" s="155">
        <f>+IF(OR($Q319=Parametres!$G$2,$Q319=Parametres!$G$3),K319,E319)</f>
        <v>3024</v>
      </c>
      <c r="Q319" s="154" t="str">
        <f t="shared" si="23"/>
        <v>7-Dépenses</v>
      </c>
      <c r="R319" s="153" t="str">
        <f t="shared" si="23"/>
        <v>6193</v>
      </c>
      <c r="S319" s="154">
        <f t="shared" si="23"/>
        <v>0</v>
      </c>
      <c r="T319" s="156" t="str">
        <f>+VLOOKUP($L319,Data_Validation!$A:$D,1,0)</f>
        <v>6193</v>
      </c>
      <c r="U319" s="156" t="str">
        <f>+VLOOKUP($L319,Data_Validation!$A:$D,3,0)</f>
        <v>Véhicules neufs</v>
      </c>
      <c r="V319" s="156" t="str">
        <f>+VLOOKUP($L319,Data_Validation!$A:$D,4,0)</f>
        <v>Taxes d`affaires</v>
      </c>
      <c r="W319" s="156" t="str">
        <f>+VLOOKUP($L319,Data_Validation!$A:$E,5,0)</f>
        <v>$</v>
      </c>
      <c r="X319" s="156">
        <f>+VLOOKUP($L319,Data_Validation!$A:$F,6,0)</f>
        <v>0</v>
      </c>
    </row>
    <row r="320" spans="1:24" ht="15" hidden="1" customHeight="1">
      <c r="A320" s="1013" t="s">
        <v>1395</v>
      </c>
      <c r="B320" s="1013" t="s">
        <v>2635</v>
      </c>
      <c r="C320" s="1015">
        <v>5136</v>
      </c>
      <c r="D320" s="1015">
        <v>2568</v>
      </c>
      <c r="E320" s="1015">
        <v>7704</v>
      </c>
      <c r="F320" s="1013" t="s">
        <v>401</v>
      </c>
      <c r="G320" s="1013" t="s">
        <v>2635</v>
      </c>
      <c r="H320" s="972"/>
      <c r="I320" s="973"/>
      <c r="J320" s="973"/>
      <c r="K320" s="973"/>
      <c r="L320" s="153" t="str">
        <f t="shared" si="18"/>
        <v>6194</v>
      </c>
      <c r="M320" s="154" t="str">
        <f t="shared" si="19"/>
        <v>HONORAIRES PROFESSIONNELS</v>
      </c>
      <c r="N320" s="155">
        <f>+IF(OR($Q320=Parametres!$G$2,$Q320=Parametres!$G$3),I320,C320)</f>
        <v>5136</v>
      </c>
      <c r="O320" s="155">
        <f>+IF(OR($Q320=Parametres!$G$2,$Q320=Parametres!$G$3),J320,D320)</f>
        <v>2568</v>
      </c>
      <c r="P320" s="155">
        <f>+IF(OR($Q320=Parametres!$G$2,$Q320=Parametres!$G$3),K320,E320)</f>
        <v>7704</v>
      </c>
      <c r="Q320" s="154" t="str">
        <f t="shared" si="23"/>
        <v>7-Dépenses</v>
      </c>
      <c r="R320" s="153" t="str">
        <f t="shared" si="23"/>
        <v>6194</v>
      </c>
      <c r="S320" s="154">
        <f t="shared" si="23"/>
        <v>0</v>
      </c>
      <c r="T320" s="156" t="str">
        <f>+VLOOKUP($L320,Data_Validation!$A:$D,1,0)</f>
        <v>6194</v>
      </c>
      <c r="U320" s="156" t="str">
        <f>+VLOOKUP($L320,Data_Validation!$A:$D,3,0)</f>
        <v>Véhicules neufs</v>
      </c>
      <c r="V320" s="156" t="str">
        <f>+VLOOKUP($L320,Data_Validation!$A:$D,4,0)</f>
        <v>Honoraires</v>
      </c>
      <c r="W320" s="156" t="str">
        <f>+VLOOKUP($L320,Data_Validation!$A:$E,5,0)</f>
        <v>$</v>
      </c>
      <c r="X320" s="156">
        <f>+VLOOKUP($L320,Data_Validation!$A:$F,6,0)</f>
        <v>0</v>
      </c>
    </row>
    <row r="321" spans="1:24" ht="15" hidden="1" customHeight="1">
      <c r="A321" s="1013" t="s">
        <v>1483</v>
      </c>
      <c r="B321" s="1013" t="s">
        <v>2780</v>
      </c>
      <c r="C321" s="1015">
        <v>32863.17</v>
      </c>
      <c r="D321" s="1015">
        <v>11183.93</v>
      </c>
      <c r="E321" s="1015">
        <v>44047.1</v>
      </c>
      <c r="F321" s="1013" t="s">
        <v>401</v>
      </c>
      <c r="G321" s="1013" t="s">
        <v>2781</v>
      </c>
      <c r="H321" s="972"/>
      <c r="I321" s="973"/>
      <c r="J321" s="973"/>
      <c r="K321" s="973"/>
      <c r="L321" s="153" t="str">
        <f t="shared" si="18"/>
        <v>6201</v>
      </c>
      <c r="M321" s="154" t="str">
        <f t="shared" si="19"/>
        <v>COMMISSION USAGES</v>
      </c>
      <c r="N321" s="155">
        <f>+IF(OR($Q321=Parametres!$G$2,$Q321=Parametres!$G$3),I321,C321)</f>
        <v>32863.17</v>
      </c>
      <c r="O321" s="155">
        <f>+IF(OR($Q321=Parametres!$G$2,$Q321=Parametres!$G$3),J321,D321)</f>
        <v>11183.93</v>
      </c>
      <c r="P321" s="155">
        <f>+IF(OR($Q321=Parametres!$G$2,$Q321=Parametres!$G$3),K321,E321)</f>
        <v>44047.1</v>
      </c>
      <c r="Q321" s="154" t="str">
        <f t="shared" si="23"/>
        <v>7-Dépenses</v>
      </c>
      <c r="R321" s="153" t="str">
        <f t="shared" si="23"/>
        <v>6101</v>
      </c>
      <c r="S321" s="154">
        <f t="shared" si="23"/>
        <v>0</v>
      </c>
      <c r="T321" s="156" t="str">
        <f>+VLOOKUP($L321,Data_Validation!$A:$D,1,0)</f>
        <v>6201</v>
      </c>
      <c r="U321" s="156" t="str">
        <f>+VLOOKUP($L321,Data_Validation!$A:$D,3,0)</f>
        <v>Véhicules usagés</v>
      </c>
      <c r="V321" s="156" t="str">
        <f>+VLOOKUP($L321,Data_Validation!$A:$D,4,0)</f>
        <v>Comm. vendeurs</v>
      </c>
      <c r="W321" s="156" t="str">
        <f>+VLOOKUP($L321,Data_Validation!$A:$E,5,0)</f>
        <v>$</v>
      </c>
      <c r="X321" s="156">
        <f>+VLOOKUP($L321,Data_Validation!$A:$F,6,0)</f>
        <v>0</v>
      </c>
    </row>
    <row r="322" spans="1:24" ht="15.75" hidden="1" customHeight="1">
      <c r="A322" s="1013" t="s">
        <v>1442</v>
      </c>
      <c r="B322" s="1013" t="s">
        <v>2769</v>
      </c>
      <c r="C322" s="1015">
        <v>9230.35</v>
      </c>
      <c r="D322" s="1015">
        <v>7116.21</v>
      </c>
      <c r="E322" s="1015">
        <v>16346.56</v>
      </c>
      <c r="F322" s="1013" t="s">
        <v>401</v>
      </c>
      <c r="G322" s="1013" t="s">
        <v>2770</v>
      </c>
      <c r="H322" s="972"/>
      <c r="I322" s="973"/>
      <c r="J322" s="973"/>
      <c r="K322" s="973"/>
      <c r="L322" s="153" t="str">
        <f t="shared" si="18"/>
        <v>6202</v>
      </c>
      <c r="M322" s="154" t="str">
        <f t="shared" si="19"/>
        <v>RENUMERATION F &amp; I</v>
      </c>
      <c r="N322" s="155">
        <f>+IF(OR($Q322=Parametres!$G$2,$Q322=Parametres!$G$3),I322,C322)</f>
        <v>9230.35</v>
      </c>
      <c r="O322" s="155">
        <f>+IF(OR($Q322=Parametres!$G$2,$Q322=Parametres!$G$3),J322,D322)</f>
        <v>7116.21</v>
      </c>
      <c r="P322" s="155">
        <f>+IF(OR($Q322=Parametres!$G$2,$Q322=Parametres!$G$3),K322,E322)</f>
        <v>16346.56</v>
      </c>
      <c r="Q322" s="154" t="str">
        <f t="shared" ref="Q322:S337" si="24">+F322</f>
        <v>7-Dépenses</v>
      </c>
      <c r="R322" s="153" t="str">
        <f t="shared" si="24"/>
        <v>6102</v>
      </c>
      <c r="S322" s="154">
        <f t="shared" si="24"/>
        <v>0</v>
      </c>
      <c r="T322" s="156" t="str">
        <f>+VLOOKUP($L322,Data_Validation!$A:$D,1,0)</f>
        <v>6202</v>
      </c>
      <c r="U322" s="156" t="str">
        <f>+VLOOKUP($L322,Data_Validation!$A:$D,3,0)</f>
        <v>Véhicules usagés</v>
      </c>
      <c r="V322" s="156" t="str">
        <f>+VLOOKUP($L322,Data_Validation!$A:$D,4,0)</f>
        <v>Comm. F&amp;I</v>
      </c>
      <c r="W322" s="156" t="str">
        <f>+VLOOKUP($L322,Data_Validation!$A:$E,5,0)</f>
        <v>$</v>
      </c>
      <c r="X322" s="156">
        <f>+VLOOKUP($L322,Data_Validation!$A:$F,6,0)</f>
        <v>0</v>
      </c>
    </row>
    <row r="323" spans="1:24" ht="15" hidden="1" customHeight="1">
      <c r="A323" s="1013" t="s">
        <v>1230</v>
      </c>
      <c r="B323" s="1013" t="s">
        <v>2751</v>
      </c>
      <c r="C323" s="1015">
        <v>255</v>
      </c>
      <c r="D323" s="1015">
        <v>0</v>
      </c>
      <c r="E323" s="1015">
        <v>255</v>
      </c>
      <c r="F323" s="1013" t="s">
        <v>401</v>
      </c>
      <c r="G323" s="1013" t="s">
        <v>2706</v>
      </c>
      <c r="H323" s="972"/>
      <c r="I323" s="973"/>
      <c r="J323" s="973"/>
      <c r="K323" s="973"/>
      <c r="L323" s="153" t="str">
        <f t="shared" si="18"/>
        <v>6203</v>
      </c>
      <c r="M323" s="154" t="str">
        <f t="shared" si="19"/>
        <v>RELAT. A LA CLIENTELLE &amp; AJUST</v>
      </c>
      <c r="N323" s="155">
        <f>+IF(OR($Q323=Parametres!$G$2,$Q323=Parametres!$G$3),I323,C323)</f>
        <v>255</v>
      </c>
      <c r="O323" s="155">
        <f>+IF(OR($Q323=Parametres!$G$2,$Q323=Parametres!$G$3),J323,D323)</f>
        <v>0</v>
      </c>
      <c r="P323" s="155">
        <f>+IF(OR($Q323=Parametres!$G$2,$Q323=Parametres!$G$3),K323,E323)</f>
        <v>255</v>
      </c>
      <c r="Q323" s="154" t="str">
        <f t="shared" si="24"/>
        <v>7-Dépenses</v>
      </c>
      <c r="R323" s="153" t="str">
        <f t="shared" si="24"/>
        <v>6103</v>
      </c>
      <c r="S323" s="154">
        <f t="shared" si="24"/>
        <v>0</v>
      </c>
      <c r="T323" s="156" t="str">
        <f>+VLOOKUP($L323,Data_Validation!$A:$D,1,0)</f>
        <v>6203</v>
      </c>
      <c r="U323" s="156" t="str">
        <f>+VLOOKUP($L323,Data_Validation!$A:$D,3,0)</f>
        <v>Véhicules usagés</v>
      </c>
      <c r="V323" s="156" t="str">
        <f>+VLOOKUP($L323,Data_Validation!$A:$D,4,0)</f>
        <v>Service gratuit 1</v>
      </c>
      <c r="W323" s="156" t="str">
        <f>+VLOOKUP($L323,Data_Validation!$A:$E,5,0)</f>
        <v>$</v>
      </c>
      <c r="X323" s="156">
        <f>+VLOOKUP($L323,Data_Validation!$A:$F,6,0)</f>
        <v>0</v>
      </c>
    </row>
    <row r="324" spans="1:24" ht="15" hidden="1" customHeight="1">
      <c r="A324" s="1013" t="s">
        <v>2757</v>
      </c>
      <c r="B324" s="1013" t="s">
        <v>2758</v>
      </c>
      <c r="C324" s="1015">
        <v>2945.88</v>
      </c>
      <c r="D324" s="1015">
        <v>1418.99</v>
      </c>
      <c r="E324" s="1015">
        <v>4364.87</v>
      </c>
      <c r="F324" s="1013" t="s">
        <v>401</v>
      </c>
      <c r="G324" s="1013" t="s">
        <v>2759</v>
      </c>
      <c r="H324" s="972"/>
      <c r="I324" s="973"/>
      <c r="J324" s="973"/>
      <c r="K324" s="973"/>
      <c r="L324" s="153" t="str">
        <f t="shared" si="18"/>
        <v>6206</v>
      </c>
      <c r="M324" s="154" t="str">
        <f t="shared" si="19"/>
        <v>ENTRETIEN DES STOCKS</v>
      </c>
      <c r="N324" s="155">
        <f>+IF(OR($Q324=Parametres!$G$2,$Q324=Parametres!$G$3),I324,C324)</f>
        <v>2945.88</v>
      </c>
      <c r="O324" s="155">
        <f>+IF(OR($Q324=Parametres!$G$2,$Q324=Parametres!$G$3),J324,D324)</f>
        <v>1418.99</v>
      </c>
      <c r="P324" s="155">
        <f>+IF(OR($Q324=Parametres!$G$2,$Q324=Parametres!$G$3),K324,E324)</f>
        <v>4364.87</v>
      </c>
      <c r="Q324" s="154" t="str">
        <f t="shared" si="24"/>
        <v>7-Dépenses</v>
      </c>
      <c r="R324" s="153" t="str">
        <f t="shared" si="24"/>
        <v>6106</v>
      </c>
      <c r="S324" s="154">
        <f t="shared" si="24"/>
        <v>0</v>
      </c>
      <c r="T324" s="156" t="str">
        <f>+VLOOKUP($L324,Data_Validation!$A:$D,1,0)</f>
        <v>6206</v>
      </c>
      <c r="U324" s="156" t="str">
        <f>+VLOOKUP($L324,Data_Validation!$A:$D,3,0)</f>
        <v>Véhicules usagés</v>
      </c>
      <c r="V324" s="156" t="str">
        <f>+VLOOKUP($L324,Data_Validation!$A:$D,4,0)</f>
        <v>Entretien stock</v>
      </c>
      <c r="W324" s="156" t="str">
        <f>+VLOOKUP($L324,Data_Validation!$A:$E,5,0)</f>
        <v>$</v>
      </c>
      <c r="X324" s="156">
        <f>+VLOOKUP($L324,Data_Validation!$A:$F,6,0)</f>
        <v>0</v>
      </c>
    </row>
    <row r="325" spans="1:24" ht="15" customHeight="1">
      <c r="A325" s="1013" t="s">
        <v>938</v>
      </c>
      <c r="B325" s="1013" t="s">
        <v>2611</v>
      </c>
      <c r="C325" s="1015">
        <v>0</v>
      </c>
      <c r="D325" s="1015">
        <v>130.91999999999999</v>
      </c>
      <c r="E325" s="1015">
        <v>130.91999999999999</v>
      </c>
      <c r="F325" s="1013" t="s">
        <v>401</v>
      </c>
      <c r="G325" s="1013" t="s">
        <v>2612</v>
      </c>
      <c r="H325" s="972"/>
      <c r="I325" s="973"/>
      <c r="J325" s="973"/>
      <c r="K325" s="973"/>
      <c r="L325" s="153" t="str">
        <f t="shared" si="18"/>
        <v>6207</v>
      </c>
      <c r="M325" s="154" t="str">
        <f t="shared" si="19"/>
        <v>INTERET-PLAN DE FINANCEMENT</v>
      </c>
      <c r="N325" s="155">
        <f>+IF(OR($Q325=Parametres!$G$2,$Q325=Parametres!$G$3),I325,C325)</f>
        <v>0</v>
      </c>
      <c r="O325" s="155">
        <f>+IF(OR($Q325=Parametres!$G$2,$Q325=Parametres!$G$3),J325,D325)</f>
        <v>130.91999999999999</v>
      </c>
      <c r="P325" s="155">
        <f>+IF(OR($Q325=Parametres!$G$2,$Q325=Parametres!$G$3),K325,E325)</f>
        <v>130.91999999999999</v>
      </c>
      <c r="Q325" s="154" t="str">
        <f t="shared" si="24"/>
        <v>7-Dépenses</v>
      </c>
      <c r="R325" s="153" t="str">
        <f t="shared" si="24"/>
        <v>6107</v>
      </c>
      <c r="S325" s="154">
        <f t="shared" si="24"/>
        <v>0</v>
      </c>
      <c r="T325" s="156" t="str">
        <f>+VLOOKUP($L325,Data_Validation!$A:$D,1,0)</f>
        <v>6207</v>
      </c>
      <c r="U325" s="156" t="str">
        <f>+VLOOKUP($L325,Data_Validation!$A:$D,3,0)</f>
        <v>Véhicules usagés</v>
      </c>
      <c r="V325" s="156" t="str">
        <f>+VLOOKUP($L325,Data_Validation!$A:$D,4,0)</f>
        <v>Intérêt de gros</v>
      </c>
      <c r="W325" s="156" t="str">
        <f>+VLOOKUP($L325,Data_Validation!$A:$E,5,0)</f>
        <v>$</v>
      </c>
      <c r="X325" s="156">
        <f>+VLOOKUP($L325,Data_Validation!$A:$F,6,0)</f>
        <v>0</v>
      </c>
    </row>
    <row r="326" spans="1:24" ht="15" hidden="1" customHeight="1">
      <c r="A326" s="1013" t="s">
        <v>1407</v>
      </c>
      <c r="B326" s="1013" t="s">
        <v>2695</v>
      </c>
      <c r="C326" s="1015">
        <v>5947.9</v>
      </c>
      <c r="D326" s="1015">
        <v>0.02</v>
      </c>
      <c r="E326" s="1015">
        <v>5947.92</v>
      </c>
      <c r="F326" s="1013" t="s">
        <v>401</v>
      </c>
      <c r="G326" s="1013" t="s">
        <v>2696</v>
      </c>
      <c r="H326" s="972"/>
      <c r="I326" s="973"/>
      <c r="J326" s="973"/>
      <c r="K326" s="973"/>
      <c r="L326" s="153" t="str">
        <f t="shared" si="18"/>
        <v>6208</v>
      </c>
      <c r="M326" s="154" t="str">
        <f t="shared" si="19"/>
        <v>FRAIS DE LIVRAISON</v>
      </c>
      <c r="N326" s="155">
        <f>+IF(OR($Q326=Parametres!$G$2,$Q326=Parametres!$G$3),I326,C326)</f>
        <v>5947.9</v>
      </c>
      <c r="O326" s="155">
        <f>+IF(OR($Q326=Parametres!$G$2,$Q326=Parametres!$G$3),J326,D326)</f>
        <v>0.02</v>
      </c>
      <c r="P326" s="155">
        <f>+IF(OR($Q326=Parametres!$G$2,$Q326=Parametres!$G$3),K326,E326)</f>
        <v>5947.92</v>
      </c>
      <c r="Q326" s="154" t="str">
        <f t="shared" si="24"/>
        <v>7-Dépenses</v>
      </c>
      <c r="R326" s="153" t="str">
        <f t="shared" si="24"/>
        <v>6108</v>
      </c>
      <c r="S326" s="154">
        <f t="shared" si="24"/>
        <v>0</v>
      </c>
      <c r="T326" s="156" t="str">
        <f>+VLOOKUP($L326,Data_Validation!$A:$D,1,0)</f>
        <v>6208</v>
      </c>
      <c r="U326" s="156" t="str">
        <f>+VLOOKUP($L326,Data_Validation!$A:$D,3,0)</f>
        <v>Véhicules usagés</v>
      </c>
      <c r="V326" s="156" t="str">
        <f>+VLOOKUP($L326,Data_Validation!$A:$D,4,0)</f>
        <v>Frais de livraison</v>
      </c>
      <c r="W326" s="156" t="str">
        <f>+VLOOKUP($L326,Data_Validation!$A:$E,5,0)</f>
        <v>$</v>
      </c>
      <c r="X326" s="156">
        <f>+VLOOKUP($L326,Data_Validation!$A:$F,6,0)</f>
        <v>0</v>
      </c>
    </row>
    <row r="327" spans="1:24" ht="15.75" hidden="1" customHeight="1">
      <c r="A327" s="1013" t="s">
        <v>1374</v>
      </c>
      <c r="B327" s="1013" t="s">
        <v>2774</v>
      </c>
      <c r="C327" s="1015">
        <v>14500</v>
      </c>
      <c r="D327" s="1015">
        <v>9250</v>
      </c>
      <c r="E327" s="1015">
        <v>23750</v>
      </c>
      <c r="F327" s="1013" t="s">
        <v>401</v>
      </c>
      <c r="G327" s="1013" t="s">
        <v>2113</v>
      </c>
      <c r="H327" s="972"/>
      <c r="I327" s="973"/>
      <c r="J327" s="973"/>
      <c r="K327" s="973"/>
      <c r="L327" s="153" t="str">
        <f t="shared" si="18"/>
        <v>6214</v>
      </c>
      <c r="M327" s="154" t="str">
        <f t="shared" si="19"/>
        <v>PUBLICITE</v>
      </c>
      <c r="N327" s="155">
        <f>+IF(OR($Q327=Parametres!$G$2,$Q327=Parametres!$G$3),I327,C327)</f>
        <v>14500</v>
      </c>
      <c r="O327" s="155">
        <f>+IF(OR($Q327=Parametres!$G$2,$Q327=Parametres!$G$3),J327,D327)</f>
        <v>9250</v>
      </c>
      <c r="P327" s="155">
        <f>+IF(OR($Q327=Parametres!$G$2,$Q327=Parametres!$G$3),K327,E327)</f>
        <v>23750</v>
      </c>
      <c r="Q327" s="154" t="str">
        <f t="shared" si="24"/>
        <v>7-Dépenses</v>
      </c>
      <c r="R327" s="153" t="str">
        <f t="shared" si="24"/>
        <v>6114</v>
      </c>
      <c r="S327" s="154">
        <f t="shared" si="24"/>
        <v>0</v>
      </c>
      <c r="T327" s="156" t="str">
        <f>+VLOOKUP($L327,Data_Validation!$A:$D,1,0)</f>
        <v>6214</v>
      </c>
      <c r="U327" s="156" t="str">
        <f>+VLOOKUP($L327,Data_Validation!$A:$D,3,0)</f>
        <v>Véhicules usagés</v>
      </c>
      <c r="V327" s="156" t="str">
        <f>+VLOOKUP($L327,Data_Validation!$A:$D,4,0)</f>
        <v>Publicité 1</v>
      </c>
      <c r="W327" s="156" t="str">
        <f>+VLOOKUP($L327,Data_Validation!$A:$E,5,0)</f>
        <v>$</v>
      </c>
      <c r="X327" s="156">
        <f>+VLOOKUP($L327,Data_Validation!$A:$F,6,0)</f>
        <v>0</v>
      </c>
    </row>
    <row r="328" spans="1:24" ht="15" hidden="1" customHeight="1">
      <c r="A328" s="1013" t="s">
        <v>2148</v>
      </c>
      <c r="B328" s="1013" t="s">
        <v>2149</v>
      </c>
      <c r="C328" s="1015">
        <v>-4570</v>
      </c>
      <c r="D328" s="1015">
        <v>-3300</v>
      </c>
      <c r="E328" s="1015">
        <v>-7870</v>
      </c>
      <c r="F328" s="1013" t="s">
        <v>401</v>
      </c>
      <c r="G328" s="1013" t="s">
        <v>2113</v>
      </c>
      <c r="H328" s="972"/>
      <c r="I328" s="973"/>
      <c r="J328" s="973"/>
      <c r="K328" s="973"/>
      <c r="L328" s="153" t="str">
        <f t="shared" si="18"/>
        <v>6215</v>
      </c>
      <c r="M328" s="154" t="str">
        <f t="shared" si="19"/>
        <v>CREDIT PUBLICITE USAGES</v>
      </c>
      <c r="N328" s="155">
        <f>+IF(OR($Q328=Parametres!$G$2,$Q328=Parametres!$G$3),I328,C328)</f>
        <v>-4570</v>
      </c>
      <c r="O328" s="155">
        <f>+IF(OR($Q328=Parametres!$G$2,$Q328=Parametres!$G$3),J328,D328)</f>
        <v>-3300</v>
      </c>
      <c r="P328" s="155">
        <f>+IF(OR($Q328=Parametres!$G$2,$Q328=Parametres!$G$3),K328,E328)</f>
        <v>-7870</v>
      </c>
      <c r="Q328" s="154" t="str">
        <f t="shared" si="24"/>
        <v>7-Dépenses</v>
      </c>
      <c r="R328" s="153" t="str">
        <f t="shared" si="24"/>
        <v>6114</v>
      </c>
      <c r="S328" s="154">
        <f t="shared" si="24"/>
        <v>0</v>
      </c>
      <c r="T328" s="156" t="str">
        <f>+VLOOKUP($L328,Data_Validation!$A:$D,1,0)</f>
        <v>6215</v>
      </c>
      <c r="U328" s="156" t="str">
        <f>+VLOOKUP($L328,Data_Validation!$A:$D,3,0)</f>
        <v>Véhicules usagés</v>
      </c>
      <c r="V328" s="156" t="str">
        <f>+VLOOKUP($L328,Data_Validation!$A:$D,4,0)</f>
        <v>Publicité 1</v>
      </c>
      <c r="W328" s="156" t="str">
        <f>+VLOOKUP($L328,Data_Validation!$A:$E,5,0)</f>
        <v>$</v>
      </c>
      <c r="X328" s="156">
        <f>+VLOOKUP($L328,Data_Validation!$A:$F,6,0)</f>
        <v>0</v>
      </c>
    </row>
    <row r="329" spans="1:24" ht="15" hidden="1" customHeight="1">
      <c r="A329" s="1013" t="s">
        <v>1259</v>
      </c>
      <c r="B329" s="1013" t="s">
        <v>2674</v>
      </c>
      <c r="C329" s="1015">
        <v>981.07</v>
      </c>
      <c r="D329" s="1015">
        <v>864.32</v>
      </c>
      <c r="E329" s="1015">
        <v>1845.39</v>
      </c>
      <c r="F329" s="1013" t="s">
        <v>401</v>
      </c>
      <c r="G329" s="1013" t="s">
        <v>2648</v>
      </c>
      <c r="H329" s="972"/>
      <c r="I329" s="973"/>
      <c r="J329" s="973"/>
      <c r="K329" s="973"/>
      <c r="L329" s="153" t="str">
        <f t="shared" si="18"/>
        <v>6221</v>
      </c>
      <c r="M329" s="154" t="str">
        <f t="shared" si="19"/>
        <v>SALAIRES - PROPRIETAIRES</v>
      </c>
      <c r="N329" s="155">
        <f>+IF(OR($Q329=Parametres!$G$2,$Q329=Parametres!$G$3),I329,C329)</f>
        <v>981.07</v>
      </c>
      <c r="O329" s="155">
        <f>+IF(OR($Q329=Parametres!$G$2,$Q329=Parametres!$G$3),J329,D329)</f>
        <v>864.32</v>
      </c>
      <c r="P329" s="155">
        <f>+IF(OR($Q329=Parametres!$G$2,$Q329=Parametres!$G$3),K329,E329)</f>
        <v>1845.39</v>
      </c>
      <c r="Q329" s="154" t="str">
        <f t="shared" si="24"/>
        <v>7-Dépenses</v>
      </c>
      <c r="R329" s="153" t="str">
        <f t="shared" si="24"/>
        <v>6121</v>
      </c>
      <c r="S329" s="154">
        <f t="shared" si="24"/>
        <v>0</v>
      </c>
      <c r="T329" s="156" t="str">
        <f>+VLOOKUP($L329,Data_Validation!$A:$D,1,0)</f>
        <v>6221</v>
      </c>
      <c r="U329" s="156" t="str">
        <f>+VLOOKUP($L329,Data_Validation!$A:$D,3,0)</f>
        <v>Véhicules usagés</v>
      </c>
      <c r="V329" s="156" t="str">
        <f>+VLOOKUP($L329,Data_Validation!$A:$D,4,0)</f>
        <v>Salaires propriétaire</v>
      </c>
      <c r="W329" s="156" t="str">
        <f>+VLOOKUP($L329,Data_Validation!$A:$E,5,0)</f>
        <v>$</v>
      </c>
      <c r="X329" s="156">
        <f>+VLOOKUP($L329,Data_Validation!$A:$F,6,0)</f>
        <v>0</v>
      </c>
    </row>
    <row r="330" spans="1:24" ht="15" hidden="1" customHeight="1">
      <c r="A330" s="1013" t="s">
        <v>2624</v>
      </c>
      <c r="B330" s="1013" t="s">
        <v>2748</v>
      </c>
      <c r="C330" s="1015">
        <v>9597.5300000000007</v>
      </c>
      <c r="D330" s="1015">
        <v>10140.299999999999</v>
      </c>
      <c r="E330" s="1015">
        <v>19737.830000000002</v>
      </c>
      <c r="F330" s="1013" t="s">
        <v>401</v>
      </c>
      <c r="G330" s="1013" t="s">
        <v>2626</v>
      </c>
      <c r="H330" s="972"/>
      <c r="I330" s="973"/>
      <c r="J330" s="973"/>
      <c r="K330" s="973"/>
      <c r="L330" s="153" t="str">
        <f t="shared" si="18"/>
        <v>6222</v>
      </c>
      <c r="M330" s="154" t="str">
        <f t="shared" si="19"/>
        <v>SAL SUPERVISION / GERANT</v>
      </c>
      <c r="N330" s="155">
        <f>+IF(OR($Q330=Parametres!$G$2,$Q330=Parametres!$G$3),I330,C330)</f>
        <v>9597.5300000000007</v>
      </c>
      <c r="O330" s="155">
        <f>+IF(OR($Q330=Parametres!$G$2,$Q330=Parametres!$G$3),J330,D330)</f>
        <v>10140.299999999999</v>
      </c>
      <c r="P330" s="155">
        <f>+IF(OR($Q330=Parametres!$G$2,$Q330=Parametres!$G$3),K330,E330)</f>
        <v>19737.830000000002</v>
      </c>
      <c r="Q330" s="154" t="str">
        <f t="shared" si="24"/>
        <v>7-Dépenses</v>
      </c>
      <c r="R330" s="153" t="str">
        <f t="shared" si="24"/>
        <v>6122</v>
      </c>
      <c r="S330" s="154">
        <f t="shared" si="24"/>
        <v>0</v>
      </c>
      <c r="T330" s="156" t="str">
        <f>+VLOOKUP($L330,Data_Validation!$A:$D,1,0)</f>
        <v>6222</v>
      </c>
      <c r="U330" s="156" t="str">
        <f>+VLOOKUP($L330,Data_Validation!$A:$D,3,0)</f>
        <v>Véhicules usagés</v>
      </c>
      <c r="V330" s="156" t="str">
        <f>+VLOOKUP($L330,Data_Validation!$A:$D,4,0)</f>
        <v>Salaires cadres</v>
      </c>
      <c r="W330" s="156" t="str">
        <f>+VLOOKUP($L330,Data_Validation!$A:$E,5,0)</f>
        <v>$</v>
      </c>
      <c r="X330" s="156">
        <f>+VLOOKUP($L330,Data_Validation!$A:$F,6,0)</f>
        <v>0</v>
      </c>
    </row>
    <row r="331" spans="1:24" ht="15" hidden="1" customHeight="1">
      <c r="A331" s="1013" t="s">
        <v>1342</v>
      </c>
      <c r="B331" s="1013" t="s">
        <v>2707</v>
      </c>
      <c r="C331" s="1015">
        <v>6464.75</v>
      </c>
      <c r="D331" s="1015">
        <v>2559.4</v>
      </c>
      <c r="E331" s="1015">
        <v>9024.15</v>
      </c>
      <c r="F331" s="1013" t="s">
        <v>401</v>
      </c>
      <c r="G331" s="1013" t="s">
        <v>2679</v>
      </c>
      <c r="H331" s="972"/>
      <c r="I331" s="973"/>
      <c r="J331" s="973"/>
      <c r="K331" s="973"/>
      <c r="L331" s="153" t="str">
        <f t="shared" si="18"/>
        <v>6223</v>
      </c>
      <c r="M331" s="154" t="str">
        <f t="shared" si="19"/>
        <v>SAL. &amp; RENUM. - CLERICAL</v>
      </c>
      <c r="N331" s="155">
        <f>+IF(OR($Q331=Parametres!$G$2,$Q331=Parametres!$G$3),I331,C331)</f>
        <v>6464.75</v>
      </c>
      <c r="O331" s="155">
        <f>+IF(OR($Q331=Parametres!$G$2,$Q331=Parametres!$G$3),J331,D331)</f>
        <v>2559.4</v>
      </c>
      <c r="P331" s="155">
        <f>+IF(OR($Q331=Parametres!$G$2,$Q331=Parametres!$G$3),K331,E331)</f>
        <v>9024.15</v>
      </c>
      <c r="Q331" s="154" t="str">
        <f t="shared" si="24"/>
        <v>7-Dépenses</v>
      </c>
      <c r="R331" s="153" t="str">
        <f t="shared" si="24"/>
        <v>6123</v>
      </c>
      <c r="S331" s="154">
        <f t="shared" si="24"/>
        <v>0</v>
      </c>
      <c r="T331" s="156" t="str">
        <f>+VLOOKUP($L331,Data_Validation!$A:$D,1,0)</f>
        <v>6223</v>
      </c>
      <c r="U331" s="156" t="str">
        <f>+VLOOKUP($L331,Data_Validation!$A:$D,3,0)</f>
        <v>Véhicules usagés</v>
      </c>
      <c r="V331" s="156" t="str">
        <f>+VLOOKUP($L331,Data_Validation!$A:$D,4,0)</f>
        <v>Salaires commis</v>
      </c>
      <c r="W331" s="156" t="str">
        <f>+VLOOKUP($L331,Data_Validation!$A:$E,5,0)</f>
        <v>$</v>
      </c>
      <c r="X331" s="156">
        <f>+VLOOKUP($L331,Data_Validation!$A:$F,6,0)</f>
        <v>0</v>
      </c>
    </row>
    <row r="332" spans="1:24" ht="15" hidden="1" customHeight="1">
      <c r="A332" s="1013" t="s">
        <v>1412</v>
      </c>
      <c r="B332" s="1013" t="s">
        <v>2776</v>
      </c>
      <c r="C332" s="1015">
        <v>18571.439999999999</v>
      </c>
      <c r="D332" s="1015">
        <v>10989.9</v>
      </c>
      <c r="E332" s="1015">
        <v>29561.34</v>
      </c>
      <c r="F332" s="1013" t="s">
        <v>401</v>
      </c>
      <c r="G332" s="1013" t="s">
        <v>2735</v>
      </c>
      <c r="H332" s="972"/>
      <c r="I332" s="973"/>
      <c r="J332" s="973"/>
      <c r="K332" s="973"/>
      <c r="L332" s="153" t="str">
        <f t="shared" si="18"/>
        <v>6224</v>
      </c>
      <c r="M332" s="154" t="str">
        <f t="shared" si="19"/>
        <v>SALAIRE &amp; RENUM. - AUTRES</v>
      </c>
      <c r="N332" s="155">
        <f>+IF(OR($Q332=Parametres!$G$2,$Q332=Parametres!$G$3),I332,C332)</f>
        <v>18571.439999999999</v>
      </c>
      <c r="O332" s="155">
        <f>+IF(OR($Q332=Parametres!$G$2,$Q332=Parametres!$G$3),J332,D332)</f>
        <v>10989.9</v>
      </c>
      <c r="P332" s="155">
        <f>+IF(OR($Q332=Parametres!$G$2,$Q332=Parametres!$G$3),K332,E332)</f>
        <v>29561.34</v>
      </c>
      <c r="Q332" s="154" t="str">
        <f t="shared" si="24"/>
        <v>7-Dépenses</v>
      </c>
      <c r="R332" s="153" t="str">
        <f t="shared" si="24"/>
        <v>6124</v>
      </c>
      <c r="S332" s="154">
        <f t="shared" si="24"/>
        <v>0</v>
      </c>
      <c r="T332" s="156" t="str">
        <f>+VLOOKUP($L332,Data_Validation!$A:$D,1,0)</f>
        <v>6224</v>
      </c>
      <c r="U332" s="156" t="str">
        <f>+VLOOKUP($L332,Data_Validation!$A:$D,3,0)</f>
        <v>Véhicules usagés</v>
      </c>
      <c r="V332" s="156" t="str">
        <f>+VLOOKUP($L332,Data_Validation!$A:$D,4,0)</f>
        <v>Salaires autres</v>
      </c>
      <c r="W332" s="156" t="str">
        <f>+VLOOKUP($L332,Data_Validation!$A:$E,5,0)</f>
        <v>$</v>
      </c>
      <c r="X332" s="156">
        <f>+VLOOKUP($L332,Data_Validation!$A:$F,6,0)</f>
        <v>0</v>
      </c>
    </row>
    <row r="333" spans="1:24" ht="15.75" hidden="1" customHeight="1">
      <c r="A333" s="1013" t="s">
        <v>1211</v>
      </c>
      <c r="B333" s="1013" t="s">
        <v>2712</v>
      </c>
      <c r="C333" s="1015">
        <v>10397.620000000001</v>
      </c>
      <c r="D333" s="1015">
        <v>5752.56</v>
      </c>
      <c r="E333" s="1015">
        <v>16150.18</v>
      </c>
      <c r="F333" s="1013" t="s">
        <v>401</v>
      </c>
      <c r="G333" s="1013" t="s">
        <v>2641</v>
      </c>
      <c r="H333" s="972"/>
      <c r="I333" s="973"/>
      <c r="J333" s="973"/>
      <c r="K333" s="973"/>
      <c r="L333" s="153" t="str">
        <f t="shared" si="18"/>
        <v>6229</v>
      </c>
      <c r="M333" s="154" t="str">
        <f t="shared" si="19"/>
        <v>ABS.,VACANCES &amp; SAL. JOURS FER</v>
      </c>
      <c r="N333" s="155">
        <f>+IF(OR($Q333=Parametres!$G$2,$Q333=Parametres!$G$3),I333,C333)</f>
        <v>10397.620000000001</v>
      </c>
      <c r="O333" s="155">
        <f>+IF(OR($Q333=Parametres!$G$2,$Q333=Parametres!$G$3),J333,D333)</f>
        <v>5752.56</v>
      </c>
      <c r="P333" s="155">
        <f>+IF(OR($Q333=Parametres!$G$2,$Q333=Parametres!$G$3),K333,E333)</f>
        <v>16150.18</v>
      </c>
      <c r="Q333" s="154" t="str">
        <f t="shared" si="24"/>
        <v>7-Dépenses</v>
      </c>
      <c r="R333" s="153" t="str">
        <f t="shared" si="24"/>
        <v>6129</v>
      </c>
      <c r="S333" s="154">
        <f t="shared" si="24"/>
        <v>0</v>
      </c>
      <c r="T333" s="156" t="str">
        <f>+VLOOKUP($L333,Data_Validation!$A:$D,1,0)</f>
        <v>6229</v>
      </c>
      <c r="U333" s="156" t="str">
        <f>+VLOOKUP($L333,Data_Validation!$A:$D,3,0)</f>
        <v>Véhicules usagés</v>
      </c>
      <c r="V333" s="156" t="str">
        <f>+VLOOKUP($L333,Data_Validation!$A:$D,4,0)</f>
        <v>Salaires en absences</v>
      </c>
      <c r="W333" s="156" t="str">
        <f>+VLOOKUP($L333,Data_Validation!$A:$E,5,0)</f>
        <v>$</v>
      </c>
      <c r="X333" s="156">
        <f>+VLOOKUP($L333,Data_Validation!$A:$F,6,0)</f>
        <v>0</v>
      </c>
    </row>
    <row r="334" spans="1:24" ht="15.75" hidden="1" customHeight="1">
      <c r="A334" s="1013" t="s">
        <v>1252</v>
      </c>
      <c r="B334" s="1013" t="s">
        <v>2697</v>
      </c>
      <c r="C334" s="1015">
        <v>2960.48</v>
      </c>
      <c r="D334" s="1015">
        <v>1484.04</v>
      </c>
      <c r="E334" s="1015">
        <v>4444.5200000000004</v>
      </c>
      <c r="F334" s="1013" t="s">
        <v>401</v>
      </c>
      <c r="G334" s="1013" t="s">
        <v>2586</v>
      </c>
      <c r="H334" s="972"/>
      <c r="I334" s="973"/>
      <c r="J334" s="973"/>
      <c r="K334" s="973"/>
      <c r="L334" s="153" t="str">
        <f t="shared" si="18"/>
        <v>6231</v>
      </c>
      <c r="M334" s="154" t="str">
        <f t="shared" si="19"/>
        <v>CSST</v>
      </c>
      <c r="N334" s="155">
        <f>+IF(OR($Q334=Parametres!$G$2,$Q334=Parametres!$G$3),I334,C334)</f>
        <v>2960.48</v>
      </c>
      <c r="O334" s="155">
        <f>+IF(OR($Q334=Parametres!$G$2,$Q334=Parametres!$G$3),J334,D334)</f>
        <v>1484.04</v>
      </c>
      <c r="P334" s="155">
        <f>+IF(OR($Q334=Parametres!$G$2,$Q334=Parametres!$G$3),K334,E334)</f>
        <v>4444.5200000000004</v>
      </c>
      <c r="Q334" s="154" t="str">
        <f t="shared" si="24"/>
        <v>7-Dépenses</v>
      </c>
      <c r="R334" s="153" t="str">
        <f t="shared" si="24"/>
        <v>6131</v>
      </c>
      <c r="S334" s="154">
        <f t="shared" si="24"/>
        <v>0</v>
      </c>
      <c r="T334" s="156" t="str">
        <f>+VLOOKUP($L334,Data_Validation!$A:$D,1,0)</f>
        <v>6231</v>
      </c>
      <c r="U334" s="156" t="str">
        <f>+VLOOKUP($L334,Data_Validation!$A:$D,3,0)</f>
        <v>Véhicules usagés</v>
      </c>
      <c r="V334" s="156" t="str">
        <f>+VLOOKUP($L334,Data_Validation!$A:$D,4,0)</f>
        <v>Csst</v>
      </c>
      <c r="W334" s="156" t="str">
        <f>+VLOOKUP($L334,Data_Validation!$A:$E,5,0)</f>
        <v>$</v>
      </c>
      <c r="X334" s="156">
        <f>+VLOOKUP($L334,Data_Validation!$A:$F,6,0)</f>
        <v>0</v>
      </c>
    </row>
    <row r="335" spans="1:24" ht="15" hidden="1" customHeight="1">
      <c r="A335" s="1013" t="s">
        <v>1283</v>
      </c>
      <c r="B335" s="1013" t="s">
        <v>2717</v>
      </c>
      <c r="C335" s="1015">
        <v>10760.61</v>
      </c>
      <c r="D335" s="1015">
        <v>5933.28</v>
      </c>
      <c r="E335" s="1015">
        <v>16693.89</v>
      </c>
      <c r="F335" s="1013" t="s">
        <v>401</v>
      </c>
      <c r="G335" s="1013" t="s">
        <v>2685</v>
      </c>
      <c r="H335" s="972"/>
      <c r="I335" s="973"/>
      <c r="J335" s="973"/>
      <c r="K335" s="973"/>
      <c r="L335" s="153" t="str">
        <f t="shared" si="18"/>
        <v>6232</v>
      </c>
      <c r="M335" s="154" t="str">
        <f t="shared" si="19"/>
        <v>RRQ RAMQ AC</v>
      </c>
      <c r="N335" s="155">
        <f>+IF(OR($Q335=Parametres!$G$2,$Q335=Parametres!$G$3),I335,C335)</f>
        <v>10760.61</v>
      </c>
      <c r="O335" s="155">
        <f>+IF(OR($Q335=Parametres!$G$2,$Q335=Parametres!$G$3),J335,D335)</f>
        <v>5933.28</v>
      </c>
      <c r="P335" s="155">
        <f>+IF(OR($Q335=Parametres!$G$2,$Q335=Parametres!$G$3),K335,E335)</f>
        <v>16693.89</v>
      </c>
      <c r="Q335" s="154" t="str">
        <f t="shared" si="24"/>
        <v>7-Dépenses</v>
      </c>
      <c r="R335" s="153" t="str">
        <f t="shared" si="24"/>
        <v>6132</v>
      </c>
      <c r="S335" s="154">
        <f t="shared" si="24"/>
        <v>0</v>
      </c>
      <c r="T335" s="156" t="str">
        <f>+VLOOKUP($L335,Data_Validation!$A:$D,1,0)</f>
        <v>6232</v>
      </c>
      <c r="U335" s="156" t="str">
        <f>+VLOOKUP($L335,Data_Validation!$A:$D,3,0)</f>
        <v>Véhicules usagés</v>
      </c>
      <c r="V335" s="156" t="str">
        <f>+VLOOKUP($L335,Data_Validation!$A:$D,4,0)</f>
        <v>Déduction à la source</v>
      </c>
      <c r="W335" s="156" t="str">
        <f>+VLOOKUP($L335,Data_Validation!$A:$E,5,0)</f>
        <v>$</v>
      </c>
      <c r="X335" s="156">
        <f>+VLOOKUP($L335,Data_Validation!$A:$F,6,0)</f>
        <v>0</v>
      </c>
    </row>
    <row r="336" spans="1:24" ht="15" hidden="1" customHeight="1">
      <c r="A336" s="1013" t="s">
        <v>1305</v>
      </c>
      <c r="B336" s="1013" t="s">
        <v>2719</v>
      </c>
      <c r="C336" s="1015">
        <v>6902.25</v>
      </c>
      <c r="D336" s="1015">
        <v>3708.77</v>
      </c>
      <c r="E336" s="1015">
        <v>10611.02</v>
      </c>
      <c r="F336" s="1013" t="s">
        <v>401</v>
      </c>
      <c r="G336" s="1013" t="s">
        <v>2694</v>
      </c>
      <c r="H336" s="972"/>
      <c r="I336" s="973"/>
      <c r="J336" s="973"/>
      <c r="K336" s="973"/>
      <c r="L336" s="153" t="str">
        <f t="shared" si="18"/>
        <v>6239</v>
      </c>
      <c r="M336" s="154" t="str">
        <f t="shared" si="19"/>
        <v>ASSURANCE GROUPE</v>
      </c>
      <c r="N336" s="155">
        <f>+IF(OR($Q336=Parametres!$G$2,$Q336=Parametres!$G$3),I336,C336)</f>
        <v>6902.25</v>
      </c>
      <c r="O336" s="155">
        <f>+IF(OR($Q336=Parametres!$G$2,$Q336=Parametres!$G$3),J336,D336)</f>
        <v>3708.77</v>
      </c>
      <c r="P336" s="155">
        <f>+IF(OR($Q336=Parametres!$G$2,$Q336=Parametres!$G$3),K336,E336)</f>
        <v>10611.02</v>
      </c>
      <c r="Q336" s="154" t="str">
        <f t="shared" si="24"/>
        <v>7-Dépenses</v>
      </c>
      <c r="R336" s="153" t="str">
        <f t="shared" si="24"/>
        <v>6139</v>
      </c>
      <c r="S336" s="154">
        <f t="shared" si="24"/>
        <v>0</v>
      </c>
      <c r="T336" s="156" t="str">
        <f>+VLOOKUP($L336,Data_Validation!$A:$D,1,0)</f>
        <v>6239</v>
      </c>
      <c r="U336" s="156" t="str">
        <f>+VLOOKUP($L336,Data_Validation!$A:$D,3,0)</f>
        <v>Véhicules usagés</v>
      </c>
      <c r="V336" s="156" t="str">
        <f>+VLOOKUP($L336,Data_Validation!$A:$D,4,0)</f>
        <v>Bénéfices marginaux</v>
      </c>
      <c r="W336" s="156" t="str">
        <f>+VLOOKUP($L336,Data_Validation!$A:$E,5,0)</f>
        <v>$</v>
      </c>
      <c r="X336" s="156">
        <f>+VLOOKUP($L336,Data_Validation!$A:$F,6,0)</f>
        <v>0</v>
      </c>
    </row>
    <row r="337" spans="1:24" ht="15" hidden="1" customHeight="1">
      <c r="A337" s="1013" t="s">
        <v>1157</v>
      </c>
      <c r="B337" s="1013" t="s">
        <v>2565</v>
      </c>
      <c r="C337" s="1015">
        <v>174</v>
      </c>
      <c r="D337" s="1015">
        <v>111</v>
      </c>
      <c r="E337" s="1015">
        <v>285</v>
      </c>
      <c r="F337" s="1013" t="s">
        <v>401</v>
      </c>
      <c r="G337" s="1013" t="s">
        <v>2563</v>
      </c>
      <c r="H337" s="972"/>
      <c r="I337" s="974"/>
      <c r="J337" s="974"/>
      <c r="K337" s="974"/>
      <c r="L337" s="153" t="str">
        <f t="shared" si="18"/>
        <v>6242</v>
      </c>
      <c r="M337" s="154" t="str">
        <f t="shared" si="19"/>
        <v>FOURNITURES &amp; PETITS OUTILS</v>
      </c>
      <c r="N337" s="155">
        <f>+IF(OR($Q337=Parametres!$G$2,$Q337=Parametres!$G$3),I337,C337)</f>
        <v>174</v>
      </c>
      <c r="O337" s="155">
        <f>+IF(OR($Q337=Parametres!$G$2,$Q337=Parametres!$G$3),J337,D337)</f>
        <v>111</v>
      </c>
      <c r="P337" s="155">
        <f>+IF(OR($Q337=Parametres!$G$2,$Q337=Parametres!$G$3),K337,E337)</f>
        <v>285</v>
      </c>
      <c r="Q337" s="154" t="str">
        <f t="shared" si="24"/>
        <v>7-Dépenses</v>
      </c>
      <c r="R337" s="153" t="str">
        <f t="shared" si="24"/>
        <v>6142</v>
      </c>
      <c r="S337" s="154">
        <f t="shared" si="24"/>
        <v>0</v>
      </c>
      <c r="T337" s="156" t="str">
        <f>+VLOOKUP($L337,Data_Validation!$A:$D,1,0)</f>
        <v>6242</v>
      </c>
      <c r="U337" s="156" t="str">
        <f>+VLOOKUP($L337,Data_Validation!$A:$D,3,0)</f>
        <v>Véhicules usagés</v>
      </c>
      <c r="V337" s="156" t="str">
        <f>+VLOOKUP($L337,Data_Validation!$A:$D,4,0)</f>
        <v>Fournitures autres</v>
      </c>
      <c r="W337" s="156" t="str">
        <f>+VLOOKUP($L337,Data_Validation!$A:$E,5,0)</f>
        <v>$</v>
      </c>
      <c r="X337" s="156">
        <f>+VLOOKUP($L337,Data_Validation!$A:$F,6,0)</f>
        <v>0</v>
      </c>
    </row>
    <row r="338" spans="1:24" ht="15.75" hidden="1" customHeight="1">
      <c r="A338" s="1013" t="s">
        <v>932</v>
      </c>
      <c r="B338" s="1013" t="s">
        <v>2464</v>
      </c>
      <c r="C338" s="1015">
        <v>20</v>
      </c>
      <c r="D338" s="1015">
        <v>10</v>
      </c>
      <c r="E338" s="1015">
        <v>30</v>
      </c>
      <c r="F338" s="1013" t="s">
        <v>401</v>
      </c>
      <c r="G338" s="1013" t="s">
        <v>2159</v>
      </c>
      <c r="H338" s="972"/>
      <c r="I338" s="974"/>
      <c r="J338" s="974"/>
      <c r="K338" s="974"/>
      <c r="L338" s="153" t="str">
        <f t="shared" si="18"/>
        <v>6243</v>
      </c>
      <c r="M338" s="154" t="str">
        <f t="shared" si="19"/>
        <v>UNIFORMES &amp; LESSIVE</v>
      </c>
      <c r="N338" s="155">
        <f>+IF(OR($Q338=Parametres!$G$2,$Q338=Parametres!$G$3),I338,C338)</f>
        <v>20</v>
      </c>
      <c r="O338" s="155">
        <f>+IF(OR($Q338=Parametres!$G$2,$Q338=Parametres!$G$3),J338,D338)</f>
        <v>10</v>
      </c>
      <c r="P338" s="155">
        <f>+IF(OR($Q338=Parametres!$G$2,$Q338=Parametres!$G$3),K338,E338)</f>
        <v>30</v>
      </c>
      <c r="Q338" s="154" t="str">
        <f t="shared" ref="Q338:S353" si="25">+F338</f>
        <v>7-Dépenses</v>
      </c>
      <c r="R338" s="153" t="str">
        <f t="shared" si="25"/>
        <v>6143</v>
      </c>
      <c r="S338" s="154">
        <f t="shared" si="25"/>
        <v>0</v>
      </c>
      <c r="T338" s="156" t="str">
        <f>+VLOOKUP($L338,Data_Validation!$A:$D,1,0)</f>
        <v>6243</v>
      </c>
      <c r="U338" s="156" t="str">
        <f>+VLOOKUP($L338,Data_Validation!$A:$D,3,0)</f>
        <v>Véhicules usagés</v>
      </c>
      <c r="V338" s="156" t="str">
        <f>+VLOOKUP($L338,Data_Validation!$A:$D,4,0)</f>
        <v>Uniformes</v>
      </c>
      <c r="W338" s="156" t="str">
        <f>+VLOOKUP($L338,Data_Validation!$A:$E,5,0)</f>
        <v>$</v>
      </c>
      <c r="X338" s="156">
        <f>+VLOOKUP($L338,Data_Validation!$A:$F,6,0)</f>
        <v>0</v>
      </c>
    </row>
    <row r="339" spans="1:24" ht="15" hidden="1" customHeight="1">
      <c r="A339" s="1013" t="s">
        <v>934</v>
      </c>
      <c r="B339" s="1013" t="s">
        <v>2564</v>
      </c>
      <c r="C339" s="1015">
        <v>120</v>
      </c>
      <c r="D339" s="1015">
        <v>60</v>
      </c>
      <c r="E339" s="1015">
        <v>180</v>
      </c>
      <c r="F339" s="1013" t="s">
        <v>401</v>
      </c>
      <c r="G339" s="1013" t="s">
        <v>2561</v>
      </c>
      <c r="H339" s="972"/>
      <c r="I339" s="974"/>
      <c r="J339" s="974"/>
      <c r="K339" s="974"/>
      <c r="L339" s="153" t="str">
        <f t="shared" si="18"/>
        <v>6244</v>
      </c>
      <c r="M339" s="154" t="str">
        <f t="shared" si="19"/>
        <v>FORMATION</v>
      </c>
      <c r="N339" s="155">
        <f>+IF(OR($Q339=Parametres!$G$2,$Q339=Parametres!$G$3),I339,C339)</f>
        <v>120</v>
      </c>
      <c r="O339" s="155">
        <f>+IF(OR($Q339=Parametres!$G$2,$Q339=Parametres!$G$3),J339,D339)</f>
        <v>60</v>
      </c>
      <c r="P339" s="155">
        <f>+IF(OR($Q339=Parametres!$G$2,$Q339=Parametres!$G$3),K339,E339)</f>
        <v>180</v>
      </c>
      <c r="Q339" s="154" t="str">
        <f t="shared" si="25"/>
        <v>7-Dépenses</v>
      </c>
      <c r="R339" s="153" t="str">
        <f t="shared" si="25"/>
        <v>6144</v>
      </c>
      <c r="S339" s="154">
        <f t="shared" si="25"/>
        <v>0</v>
      </c>
      <c r="T339" s="156" t="str">
        <f>+VLOOKUP($L339,Data_Validation!$A:$D,1,0)</f>
        <v>6244</v>
      </c>
      <c r="U339" s="156" t="str">
        <f>+VLOOKUP($L339,Data_Validation!$A:$D,3,0)</f>
        <v>Véhicules usagés</v>
      </c>
      <c r="V339" s="156" t="str">
        <f>+VLOOKUP($L339,Data_Validation!$A:$D,4,0)</f>
        <v>Formation</v>
      </c>
      <c r="W339" s="156" t="str">
        <f>+VLOOKUP($L339,Data_Validation!$A:$E,5,0)</f>
        <v>$</v>
      </c>
      <c r="X339" s="156">
        <f>+VLOOKUP($L339,Data_Validation!$A:$F,6,0)</f>
        <v>0</v>
      </c>
    </row>
    <row r="340" spans="1:24" ht="15" hidden="1" customHeight="1">
      <c r="A340" s="1013" t="s">
        <v>1186</v>
      </c>
      <c r="B340" s="1013" t="s">
        <v>2649</v>
      </c>
      <c r="C340" s="1015">
        <v>5622.23</v>
      </c>
      <c r="D340" s="1015">
        <v>-2820.25</v>
      </c>
      <c r="E340" s="1015">
        <v>2801.98</v>
      </c>
      <c r="F340" s="1013" t="s">
        <v>401</v>
      </c>
      <c r="G340" s="1013" t="s">
        <v>2632</v>
      </c>
      <c r="H340" s="972"/>
      <c r="I340" s="974"/>
      <c r="J340" s="974"/>
      <c r="K340" s="974"/>
      <c r="L340" s="153" t="str">
        <f t="shared" si="18"/>
        <v>6245</v>
      </c>
      <c r="M340" s="154" t="str">
        <f t="shared" si="19"/>
        <v>VEHICULE DE COMPAGNIE - DEPENS</v>
      </c>
      <c r="N340" s="155">
        <f>+IF(OR($Q340=Parametres!$G$2,$Q340=Parametres!$G$3),I340,C340)</f>
        <v>5622.23</v>
      </c>
      <c r="O340" s="155">
        <f>+IF(OR($Q340=Parametres!$G$2,$Q340=Parametres!$G$3),J340,D340)</f>
        <v>-2820.25</v>
      </c>
      <c r="P340" s="155">
        <f>+IF(OR($Q340=Parametres!$G$2,$Q340=Parametres!$G$3),K340,E340)</f>
        <v>2801.98</v>
      </c>
      <c r="Q340" s="154" t="str">
        <f t="shared" si="25"/>
        <v>7-Dépenses</v>
      </c>
      <c r="R340" s="153" t="str">
        <f t="shared" si="25"/>
        <v>6145</v>
      </c>
      <c r="S340" s="154">
        <f t="shared" si="25"/>
        <v>0</v>
      </c>
      <c r="T340" s="156" t="str">
        <f>+VLOOKUP($L340,Data_Validation!$A:$D,1,0)</f>
        <v>6245</v>
      </c>
      <c r="U340" s="156" t="str">
        <f>+VLOOKUP($L340,Data_Validation!$A:$D,3,0)</f>
        <v>Véhicules usagés</v>
      </c>
      <c r="V340" s="156" t="str">
        <f>+VLOOKUP($L340,Data_Validation!$A:$D,4,0)</f>
        <v>Frais véhicules de cie</v>
      </c>
      <c r="W340" s="156" t="str">
        <f>+VLOOKUP($L340,Data_Validation!$A:$E,5,0)</f>
        <v>$</v>
      </c>
      <c r="X340" s="156">
        <f>+VLOOKUP($L340,Data_Validation!$A:$F,6,0)</f>
        <v>0</v>
      </c>
    </row>
    <row r="341" spans="1:24" ht="15" hidden="1" customHeight="1">
      <c r="A341" s="1013" t="s">
        <v>1180</v>
      </c>
      <c r="B341" s="1013" t="s">
        <v>2584</v>
      </c>
      <c r="C341" s="1015">
        <v>109.29</v>
      </c>
      <c r="D341" s="1015">
        <v>101.04</v>
      </c>
      <c r="E341" s="1015">
        <v>210.33</v>
      </c>
      <c r="F341" s="1013" t="s">
        <v>401</v>
      </c>
      <c r="G341" s="1013" t="s">
        <v>2581</v>
      </c>
      <c r="H341" s="972"/>
      <c r="I341" s="975"/>
      <c r="J341" s="975"/>
      <c r="K341" s="975"/>
      <c r="L341" s="153" t="str">
        <f t="shared" si="18"/>
        <v>6247</v>
      </c>
      <c r="M341" s="154" t="str">
        <f t="shared" si="19"/>
        <v>FRET/EXPRESS/TRANS. PAR CAMION</v>
      </c>
      <c r="N341" s="155">
        <f>+IF(OR($Q341=Parametres!$G$2,$Q341=Parametres!$G$3),I341,C341)</f>
        <v>109.29</v>
      </c>
      <c r="O341" s="155">
        <f>+IF(OR($Q341=Parametres!$G$2,$Q341=Parametres!$G$3),J341,D341)</f>
        <v>101.04</v>
      </c>
      <c r="P341" s="155">
        <f>+IF(OR($Q341=Parametres!$G$2,$Q341=Parametres!$G$3),K341,E341)</f>
        <v>210.33</v>
      </c>
      <c r="Q341" s="154" t="str">
        <f t="shared" si="25"/>
        <v>7-Dépenses</v>
      </c>
      <c r="R341" s="153" t="str">
        <f t="shared" si="25"/>
        <v>6147</v>
      </c>
      <c r="S341" s="154">
        <f t="shared" si="25"/>
        <v>0</v>
      </c>
      <c r="T341" s="156" t="str">
        <f>+VLOOKUP($L341,Data_Validation!$A:$D,1,0)</f>
        <v>6247</v>
      </c>
      <c r="U341" s="156" t="str">
        <f>+VLOOKUP($L341,Data_Validation!$A:$D,3,0)</f>
        <v>Véhicules usagés</v>
      </c>
      <c r="V341" s="156" t="str">
        <f>+VLOOKUP($L341,Data_Validation!$A:$D,4,0)</f>
        <v>Frais postaux</v>
      </c>
      <c r="W341" s="156" t="str">
        <f>+VLOOKUP($L341,Data_Validation!$A:$E,5,0)</f>
        <v>$</v>
      </c>
      <c r="X341" s="156">
        <f>+VLOOKUP($L341,Data_Validation!$A:$F,6,0)</f>
        <v>0</v>
      </c>
    </row>
    <row r="342" spans="1:24" ht="15" hidden="1" customHeight="1">
      <c r="A342" s="1013" t="s">
        <v>1286</v>
      </c>
      <c r="B342" s="1013" t="s">
        <v>2723</v>
      </c>
      <c r="C342" s="1015">
        <v>4625.6899999999996</v>
      </c>
      <c r="D342" s="1015">
        <v>2561.62</v>
      </c>
      <c r="E342" s="1015">
        <v>7187.31</v>
      </c>
      <c r="F342" s="1013" t="s">
        <v>401</v>
      </c>
      <c r="G342" s="1013" t="s">
        <v>2702</v>
      </c>
      <c r="H342" s="972"/>
      <c r="I342" s="975"/>
      <c r="J342" s="975"/>
      <c r="K342" s="975"/>
      <c r="L342" s="153" t="str">
        <f t="shared" si="18"/>
        <v>6251</v>
      </c>
      <c r="M342" s="154" t="str">
        <f t="shared" si="19"/>
        <v>DEP. DU TRAITEMENT DES DONNEES</v>
      </c>
      <c r="N342" s="155">
        <f>+IF(OR($Q342=Parametres!$G$2,$Q342=Parametres!$G$3),I342,C342)</f>
        <v>4625.6899999999996</v>
      </c>
      <c r="O342" s="155">
        <f>+IF(OR($Q342=Parametres!$G$2,$Q342=Parametres!$G$3),J342,D342)</f>
        <v>2561.62</v>
      </c>
      <c r="P342" s="155">
        <f>+IF(OR($Q342=Parametres!$G$2,$Q342=Parametres!$G$3),K342,E342)</f>
        <v>7187.31</v>
      </c>
      <c r="Q342" s="154" t="str">
        <f t="shared" si="25"/>
        <v>7-Dépenses</v>
      </c>
      <c r="R342" s="153" t="str">
        <f t="shared" si="25"/>
        <v>6151</v>
      </c>
      <c r="S342" s="154">
        <f t="shared" si="25"/>
        <v>0</v>
      </c>
      <c r="T342" s="156" t="str">
        <f>+VLOOKUP($L342,Data_Validation!$A:$D,1,0)</f>
        <v>6251</v>
      </c>
      <c r="U342" s="156" t="str">
        <f>+VLOOKUP($L342,Data_Validation!$A:$D,3,0)</f>
        <v>Véhicules usagés</v>
      </c>
      <c r="V342" s="156" t="str">
        <f>+VLOOKUP($L342,Data_Validation!$A:$D,4,0)</f>
        <v>Informatique</v>
      </c>
      <c r="W342" s="156" t="str">
        <f>+VLOOKUP($L342,Data_Validation!$A:$E,5,0)</f>
        <v>$</v>
      </c>
      <c r="X342" s="156">
        <f>+VLOOKUP($L342,Data_Validation!$A:$F,6,0)</f>
        <v>0</v>
      </c>
    </row>
    <row r="343" spans="1:24" ht="15.75" hidden="1" customHeight="1">
      <c r="A343" s="1013" t="s">
        <v>1206</v>
      </c>
      <c r="B343" s="1013" t="s">
        <v>2602</v>
      </c>
      <c r="C343" s="1015">
        <v>444</v>
      </c>
      <c r="D343" s="1015">
        <v>222</v>
      </c>
      <c r="E343" s="1015">
        <v>666</v>
      </c>
      <c r="F343" s="1013" t="s">
        <v>401</v>
      </c>
      <c r="G343" s="1013" t="s">
        <v>2588</v>
      </c>
      <c r="H343" s="972"/>
      <c r="I343" s="975"/>
      <c r="J343" s="975"/>
      <c r="K343" s="975"/>
      <c r="L343" s="153" t="str">
        <f t="shared" si="18"/>
        <v>6252</v>
      </c>
      <c r="M343" s="154" t="str">
        <f t="shared" si="19"/>
        <v>PAPETERIE</v>
      </c>
      <c r="N343" s="155">
        <f>+IF(OR($Q343=Parametres!$G$2,$Q343=Parametres!$G$3),I343,C343)</f>
        <v>444</v>
      </c>
      <c r="O343" s="155">
        <f>+IF(OR($Q343=Parametres!$G$2,$Q343=Parametres!$G$3),J343,D343)</f>
        <v>222</v>
      </c>
      <c r="P343" s="155">
        <f>+IF(OR($Q343=Parametres!$G$2,$Q343=Parametres!$G$3),K343,E343)</f>
        <v>666</v>
      </c>
      <c r="Q343" s="154" t="str">
        <f t="shared" si="25"/>
        <v>7-Dépenses</v>
      </c>
      <c r="R343" s="153" t="str">
        <f t="shared" si="25"/>
        <v>6152</v>
      </c>
      <c r="S343" s="154">
        <f t="shared" si="25"/>
        <v>0</v>
      </c>
      <c r="T343" s="156" t="str">
        <f>+VLOOKUP($L343,Data_Validation!$A:$D,1,0)</f>
        <v>6252</v>
      </c>
      <c r="U343" s="156" t="str">
        <f>+VLOOKUP($L343,Data_Validation!$A:$D,3,0)</f>
        <v>Véhicules usagés</v>
      </c>
      <c r="V343" s="156" t="str">
        <f>+VLOOKUP($L343,Data_Validation!$A:$D,4,0)</f>
        <v>Papeterie</v>
      </c>
      <c r="W343" s="156" t="str">
        <f>+VLOOKUP($L343,Data_Validation!$A:$E,5,0)</f>
        <v>$</v>
      </c>
      <c r="X343" s="156">
        <f>+VLOOKUP($L343,Data_Validation!$A:$F,6,0)</f>
        <v>0</v>
      </c>
    </row>
    <row r="344" spans="1:24" ht="15" hidden="1" customHeight="1">
      <c r="A344" s="1013" t="s">
        <v>1154</v>
      </c>
      <c r="B344" s="1013" t="s">
        <v>2595</v>
      </c>
      <c r="C344" s="1015">
        <v>270.51</v>
      </c>
      <c r="D344" s="1015">
        <v>177.37</v>
      </c>
      <c r="E344" s="1015">
        <v>447.88</v>
      </c>
      <c r="F344" s="1013" t="s">
        <v>401</v>
      </c>
      <c r="G344" s="1013" t="s">
        <v>2592</v>
      </c>
      <c r="H344" s="972"/>
      <c r="I344" s="975"/>
      <c r="J344" s="975"/>
      <c r="K344" s="975"/>
      <c r="L344" s="153" t="str">
        <f t="shared" si="18"/>
        <v>6253</v>
      </c>
      <c r="M344" s="154" t="str">
        <f t="shared" si="19"/>
        <v>TELEPHONE ET TELEX</v>
      </c>
      <c r="N344" s="155">
        <f>+IF(OR($Q344=Parametres!$G$2,$Q344=Parametres!$G$3),I344,C344)</f>
        <v>270.51</v>
      </c>
      <c r="O344" s="155">
        <f>+IF(OR($Q344=Parametres!$G$2,$Q344=Parametres!$G$3),J344,D344)</f>
        <v>177.37</v>
      </c>
      <c r="P344" s="155">
        <f>+IF(OR($Q344=Parametres!$G$2,$Q344=Parametres!$G$3),K344,E344)</f>
        <v>447.88</v>
      </c>
      <c r="Q344" s="154" t="str">
        <f t="shared" si="25"/>
        <v>7-Dépenses</v>
      </c>
      <c r="R344" s="153" t="str">
        <f t="shared" si="25"/>
        <v>6153</v>
      </c>
      <c r="S344" s="154">
        <f t="shared" si="25"/>
        <v>0</v>
      </c>
      <c r="T344" s="156" t="str">
        <f>+VLOOKUP($L344,Data_Validation!$A:$D,1,0)</f>
        <v>6253</v>
      </c>
      <c r="U344" s="156" t="str">
        <f>+VLOOKUP($L344,Data_Validation!$A:$D,3,0)</f>
        <v>Véhicules usagés</v>
      </c>
      <c r="V344" s="156" t="str">
        <f>+VLOOKUP($L344,Data_Validation!$A:$D,4,0)</f>
        <v>Téléphone</v>
      </c>
      <c r="W344" s="156" t="str">
        <f>+VLOOKUP($L344,Data_Validation!$A:$E,5,0)</f>
        <v>$</v>
      </c>
      <c r="X344" s="156">
        <f>+VLOOKUP($L344,Data_Validation!$A:$F,6,0)</f>
        <v>0</v>
      </c>
    </row>
    <row r="345" spans="1:24" ht="15" hidden="1" customHeight="1">
      <c r="A345" s="1013" t="s">
        <v>1237</v>
      </c>
      <c r="B345" s="1013" t="s">
        <v>2666</v>
      </c>
      <c r="C345" s="1015">
        <v>1347.9</v>
      </c>
      <c r="D345" s="1015">
        <v>617.49</v>
      </c>
      <c r="E345" s="1015">
        <v>1965.39</v>
      </c>
      <c r="F345" s="1013" t="s">
        <v>401</v>
      </c>
      <c r="G345" s="1013" t="s">
        <v>2637</v>
      </c>
      <c r="H345" s="972"/>
      <c r="I345" s="975"/>
      <c r="J345" s="975"/>
      <c r="K345" s="975"/>
      <c r="L345" s="153" t="str">
        <f t="shared" si="18"/>
        <v>6255</v>
      </c>
      <c r="M345" s="154" t="str">
        <f t="shared" si="19"/>
        <v>DEPENSES DIVERS</v>
      </c>
      <c r="N345" s="155">
        <f>+IF(OR($Q345=Parametres!$G$2,$Q345=Parametres!$G$3),I345,C345)</f>
        <v>1347.9</v>
      </c>
      <c r="O345" s="155">
        <f>+IF(OR($Q345=Parametres!$G$2,$Q345=Parametres!$G$3),J345,D345)</f>
        <v>617.49</v>
      </c>
      <c r="P345" s="155">
        <f>+IF(OR($Q345=Parametres!$G$2,$Q345=Parametres!$G$3),K345,E345)</f>
        <v>1965.39</v>
      </c>
      <c r="Q345" s="154" t="str">
        <f t="shared" si="25"/>
        <v>7-Dépenses</v>
      </c>
      <c r="R345" s="153" t="str">
        <f t="shared" si="25"/>
        <v>6155</v>
      </c>
      <c r="S345" s="154">
        <f t="shared" si="25"/>
        <v>0</v>
      </c>
      <c r="T345" s="156" t="str">
        <f>+VLOOKUP($L345,Data_Validation!$A:$D,1,0)</f>
        <v>6255</v>
      </c>
      <c r="U345" s="156" t="str">
        <f>+VLOOKUP($L345,Data_Validation!$A:$D,3,0)</f>
        <v>Véhicules usagés</v>
      </c>
      <c r="V345" s="156" t="str">
        <f>+VLOOKUP($L345,Data_Validation!$A:$D,4,0)</f>
        <v>Divers</v>
      </c>
      <c r="W345" s="156" t="str">
        <f>+VLOOKUP($L345,Data_Validation!$A:$E,5,0)</f>
        <v>$</v>
      </c>
      <c r="X345" s="156">
        <f>+VLOOKUP($L345,Data_Validation!$A:$F,6,0)</f>
        <v>0</v>
      </c>
    </row>
    <row r="346" spans="1:24" ht="15" hidden="1" customHeight="1">
      <c r="A346" s="1013" t="s">
        <v>1247</v>
      </c>
      <c r="B346" s="1013" t="s">
        <v>2676</v>
      </c>
      <c r="C346" s="1015">
        <v>1458.48</v>
      </c>
      <c r="D346" s="1015">
        <v>729.24</v>
      </c>
      <c r="E346" s="1015">
        <v>2187.7199999999998</v>
      </c>
      <c r="F346" s="1013" t="s">
        <v>401</v>
      </c>
      <c r="G346" s="1013" t="s">
        <v>2470</v>
      </c>
      <c r="H346" s="972"/>
      <c r="I346" s="975"/>
      <c r="J346" s="975"/>
      <c r="K346" s="975"/>
      <c r="L346" s="153" t="str">
        <f t="shared" si="18"/>
        <v>6256</v>
      </c>
      <c r="M346" s="154" t="str">
        <f t="shared" si="19"/>
        <v>FRAIS REPRESENTATION - USAGE</v>
      </c>
      <c r="N346" s="155">
        <f>+IF(OR($Q346=Parametres!$G$2,$Q346=Parametres!$G$3),I346,C346)</f>
        <v>1458.48</v>
      </c>
      <c r="O346" s="155">
        <f>+IF(OR($Q346=Parametres!$G$2,$Q346=Parametres!$G$3),J346,D346)</f>
        <v>729.24</v>
      </c>
      <c r="P346" s="155">
        <f>+IF(OR($Q346=Parametres!$G$2,$Q346=Parametres!$G$3),K346,E346)</f>
        <v>2187.7199999999998</v>
      </c>
      <c r="Q346" s="154" t="str">
        <f t="shared" si="25"/>
        <v>7-Dépenses</v>
      </c>
      <c r="R346" s="153" t="str">
        <f t="shared" si="25"/>
        <v>6156</v>
      </c>
      <c r="S346" s="154">
        <f t="shared" si="25"/>
        <v>0</v>
      </c>
      <c r="T346" s="156" t="str">
        <f>+VLOOKUP($L346,Data_Validation!$A:$D,1,0)</f>
        <v>6256</v>
      </c>
      <c r="U346" s="156" t="str">
        <f>+VLOOKUP($L346,Data_Validation!$A:$D,3,0)</f>
        <v>Véhicules usagés</v>
      </c>
      <c r="V346" s="156" t="str">
        <f>+VLOOKUP($L346,Data_Validation!$A:$D,4,0)</f>
        <v>Frais de déplacement</v>
      </c>
      <c r="W346" s="156" t="str">
        <f>+VLOOKUP($L346,Data_Validation!$A:$E,5,0)</f>
        <v>$</v>
      </c>
      <c r="X346" s="156">
        <f>+VLOOKUP($L346,Data_Validation!$A:$F,6,0)</f>
        <v>0</v>
      </c>
    </row>
    <row r="347" spans="1:24" ht="15.75" hidden="1" customHeight="1">
      <c r="A347" s="1013" t="s">
        <v>1308</v>
      </c>
      <c r="B347" s="1013" t="s">
        <v>2698</v>
      </c>
      <c r="C347" s="1015">
        <v>3829.42</v>
      </c>
      <c r="D347" s="1015">
        <v>2104.48</v>
      </c>
      <c r="E347" s="1015">
        <v>5933.9</v>
      </c>
      <c r="F347" s="1013" t="s">
        <v>401</v>
      </c>
      <c r="G347" s="1013" t="s">
        <v>2662</v>
      </c>
      <c r="H347" s="972"/>
      <c r="I347" s="975"/>
      <c r="J347" s="975"/>
      <c r="K347" s="975"/>
      <c r="L347" s="153" t="str">
        <f t="shared" si="18"/>
        <v>6259</v>
      </c>
      <c r="M347" s="154" t="str">
        <f t="shared" si="19"/>
        <v>SERVICE EXTERIEUR</v>
      </c>
      <c r="N347" s="155">
        <f>+IF(OR($Q347=Parametres!$G$2,$Q347=Parametres!$G$3),I347,C347)</f>
        <v>3829.42</v>
      </c>
      <c r="O347" s="155">
        <f>+IF(OR($Q347=Parametres!$G$2,$Q347=Parametres!$G$3),J347,D347)</f>
        <v>2104.48</v>
      </c>
      <c r="P347" s="155">
        <f>+IF(OR($Q347=Parametres!$G$2,$Q347=Parametres!$G$3),K347,E347)</f>
        <v>5933.9</v>
      </c>
      <c r="Q347" s="154" t="str">
        <f t="shared" si="25"/>
        <v>7-Dépenses</v>
      </c>
      <c r="R347" s="153" t="str">
        <f t="shared" si="25"/>
        <v>6159</v>
      </c>
      <c r="S347" s="154">
        <f t="shared" si="25"/>
        <v>0</v>
      </c>
      <c r="T347" s="156" t="str">
        <f>+VLOOKUP($L347,Data_Validation!$A:$D,1,0)</f>
        <v>6259</v>
      </c>
      <c r="U347" s="156" t="str">
        <f>+VLOOKUP($L347,Data_Validation!$A:$D,3,0)</f>
        <v>Véhicules usagés</v>
      </c>
      <c r="V347" s="156" t="str">
        <f>+VLOOKUP($L347,Data_Validation!$A:$D,4,0)</f>
        <v>Services extérieurs</v>
      </c>
      <c r="W347" s="156" t="str">
        <f>+VLOOKUP($L347,Data_Validation!$A:$E,5,0)</f>
        <v>$</v>
      </c>
      <c r="X347" s="156">
        <f>+VLOOKUP($L347,Data_Validation!$A:$F,6,0)</f>
        <v>0</v>
      </c>
    </row>
    <row r="348" spans="1:24" ht="15" hidden="1" customHeight="1">
      <c r="A348" s="1013" t="s">
        <v>1333</v>
      </c>
      <c r="B348" s="1013" t="s">
        <v>2680</v>
      </c>
      <c r="C348" s="1015">
        <v>2160</v>
      </c>
      <c r="D348" s="1015">
        <v>1080</v>
      </c>
      <c r="E348" s="1015">
        <v>3240</v>
      </c>
      <c r="F348" s="1013" t="s">
        <v>401</v>
      </c>
      <c r="G348" s="1013" t="s">
        <v>2653</v>
      </c>
      <c r="H348" s="972"/>
      <c r="I348" s="975"/>
      <c r="J348" s="975"/>
      <c r="K348" s="975"/>
      <c r="L348" s="153" t="str">
        <f t="shared" si="18"/>
        <v>6261</v>
      </c>
      <c r="M348" s="154" t="str">
        <f t="shared" si="19"/>
        <v>DEPRECIATION EQUIP. &amp; FIXTURES</v>
      </c>
      <c r="N348" s="155">
        <f>+IF(OR($Q348=Parametres!$G$2,$Q348=Parametres!$G$3),I348,C348)</f>
        <v>2160</v>
      </c>
      <c r="O348" s="155">
        <f>+IF(OR($Q348=Parametres!$G$2,$Q348=Parametres!$G$3),J348,D348)</f>
        <v>1080</v>
      </c>
      <c r="P348" s="155">
        <f>+IF(OR($Q348=Parametres!$G$2,$Q348=Parametres!$G$3),K348,E348)</f>
        <v>3240</v>
      </c>
      <c r="Q348" s="154" t="str">
        <f t="shared" si="25"/>
        <v>7-Dépenses</v>
      </c>
      <c r="R348" s="153" t="str">
        <f t="shared" si="25"/>
        <v>6161</v>
      </c>
      <c r="S348" s="154">
        <f t="shared" si="25"/>
        <v>0</v>
      </c>
      <c r="T348" s="156" t="str">
        <f>+VLOOKUP($L348,Data_Validation!$A:$D,1,0)</f>
        <v>6261</v>
      </c>
      <c r="U348" s="156" t="str">
        <f>+VLOOKUP($L348,Data_Validation!$A:$D,3,0)</f>
        <v>Véhicules usagés</v>
      </c>
      <c r="V348" s="156" t="str">
        <f>+VLOOKUP($L348,Data_Validation!$A:$D,4,0)</f>
        <v>Amortissement</v>
      </c>
      <c r="W348" s="156" t="str">
        <f>+VLOOKUP($L348,Data_Validation!$A:$E,5,0)</f>
        <v>$</v>
      </c>
      <c r="X348" s="156">
        <f>+VLOOKUP($L348,Data_Validation!$A:$F,6,0)</f>
        <v>0</v>
      </c>
    </row>
    <row r="349" spans="1:24" ht="15" hidden="1" customHeight="1">
      <c r="A349" s="1013" t="s">
        <v>936</v>
      </c>
      <c r="B349" s="1013" t="s">
        <v>2465</v>
      </c>
      <c r="C349" s="1015">
        <v>96</v>
      </c>
      <c r="D349" s="1015">
        <v>48</v>
      </c>
      <c r="E349" s="1015">
        <v>144</v>
      </c>
      <c r="F349" s="1013" t="s">
        <v>401</v>
      </c>
      <c r="G349" s="1013" t="s">
        <v>2463</v>
      </c>
      <c r="H349" s="972"/>
      <c r="I349" s="975"/>
      <c r="J349" s="975"/>
      <c r="K349" s="975"/>
      <c r="L349" s="153" t="str">
        <f t="shared" si="18"/>
        <v>6262</v>
      </c>
      <c r="M349" s="154" t="str">
        <f t="shared" si="19"/>
        <v>LOCATION D'EQUIPEMENTS</v>
      </c>
      <c r="N349" s="155">
        <f>+IF(OR($Q349=Parametres!$G$2,$Q349=Parametres!$G$3),I349,C349)</f>
        <v>96</v>
      </c>
      <c r="O349" s="155">
        <f>+IF(OR($Q349=Parametres!$G$2,$Q349=Parametres!$G$3),J349,D349)</f>
        <v>48</v>
      </c>
      <c r="P349" s="155">
        <f>+IF(OR($Q349=Parametres!$G$2,$Q349=Parametres!$G$3),K349,E349)</f>
        <v>144</v>
      </c>
      <c r="Q349" s="154" t="str">
        <f t="shared" si="25"/>
        <v>7-Dépenses</v>
      </c>
      <c r="R349" s="153" t="str">
        <f t="shared" si="25"/>
        <v>6162</v>
      </c>
      <c r="S349" s="154">
        <f t="shared" si="25"/>
        <v>0</v>
      </c>
      <c r="T349" s="156" t="str">
        <f>+VLOOKUP($L349,Data_Validation!$A:$D,1,0)</f>
        <v>6262</v>
      </c>
      <c r="U349" s="156" t="str">
        <f>+VLOOKUP($L349,Data_Validation!$A:$D,3,0)</f>
        <v>Véhicules usagés</v>
      </c>
      <c r="V349" s="156" t="str">
        <f>+VLOOKUP($L349,Data_Validation!$A:$D,4,0)</f>
        <v>Location équipement</v>
      </c>
      <c r="W349" s="156" t="str">
        <f>+VLOOKUP($L349,Data_Validation!$A:$E,5,0)</f>
        <v>$</v>
      </c>
      <c r="X349" s="156">
        <f>+VLOOKUP($L349,Data_Validation!$A:$F,6,0)</f>
        <v>0</v>
      </c>
    </row>
    <row r="350" spans="1:24" ht="15" hidden="1" customHeight="1">
      <c r="A350" s="1013" t="s">
        <v>1380</v>
      </c>
      <c r="B350" s="1013" t="s">
        <v>2633</v>
      </c>
      <c r="C350" s="1015">
        <v>880.8</v>
      </c>
      <c r="D350" s="1015">
        <v>440.4</v>
      </c>
      <c r="E350" s="1015">
        <v>1321.2</v>
      </c>
      <c r="F350" s="1013" t="s">
        <v>401</v>
      </c>
      <c r="G350" s="1013" t="s">
        <v>2604</v>
      </c>
      <c r="H350" s="972"/>
      <c r="I350" s="975"/>
      <c r="J350" s="975"/>
      <c r="K350" s="975"/>
      <c r="L350" s="153" t="str">
        <f t="shared" si="18"/>
        <v>6281</v>
      </c>
      <c r="M350" s="154" t="str">
        <f t="shared" si="19"/>
        <v>CHAUFFAGE,ELECTRICITE,EAU-USAGE</v>
      </c>
      <c r="N350" s="155">
        <f>+IF(OR($Q350=Parametres!$G$2,$Q350=Parametres!$G$3),I350,C350)</f>
        <v>880.8</v>
      </c>
      <c r="O350" s="155">
        <f>+IF(OR($Q350=Parametres!$G$2,$Q350=Parametres!$G$3),J350,D350)</f>
        <v>440.4</v>
      </c>
      <c r="P350" s="155">
        <f>+IF(OR($Q350=Parametres!$G$2,$Q350=Parametres!$G$3),K350,E350)</f>
        <v>1321.2</v>
      </c>
      <c r="Q350" s="154" t="str">
        <f t="shared" si="25"/>
        <v>7-Dépenses</v>
      </c>
      <c r="R350" s="153" t="str">
        <f t="shared" si="25"/>
        <v>6181</v>
      </c>
      <c r="S350" s="154">
        <f t="shared" si="25"/>
        <v>0</v>
      </c>
      <c r="T350" s="156" t="str">
        <f>+VLOOKUP($L350,Data_Validation!$A:$D,1,0)</f>
        <v>6281</v>
      </c>
      <c r="U350" s="156" t="str">
        <f>+VLOOKUP($L350,Data_Validation!$A:$D,3,0)</f>
        <v>Véhicules usagés</v>
      </c>
      <c r="V350" s="156" t="str">
        <f>+VLOOKUP($L350,Data_Validation!$A:$D,4,0)</f>
        <v>Chauffage, éclairage</v>
      </c>
      <c r="W350" s="156" t="str">
        <f>+VLOOKUP($L350,Data_Validation!$A:$E,5,0)</f>
        <v>$</v>
      </c>
      <c r="X350" s="156">
        <f>+VLOOKUP($L350,Data_Validation!$A:$F,6,0)</f>
        <v>0</v>
      </c>
    </row>
    <row r="351" spans="1:24" ht="15" hidden="1" customHeight="1">
      <c r="A351" s="1013" t="s">
        <v>1462</v>
      </c>
      <c r="B351" s="1013" t="s">
        <v>2724</v>
      </c>
      <c r="C351" s="1015">
        <v>6240.02</v>
      </c>
      <c r="D351" s="1015">
        <v>3120.02</v>
      </c>
      <c r="E351" s="1015">
        <v>9360.0400000000009</v>
      </c>
      <c r="F351" s="1013" t="s">
        <v>401</v>
      </c>
      <c r="G351" s="1013" t="s">
        <v>2709</v>
      </c>
      <c r="H351" s="972"/>
      <c r="I351" s="975"/>
      <c r="J351" s="975"/>
      <c r="K351" s="975"/>
      <c r="L351" s="153" t="str">
        <f t="shared" si="18"/>
        <v>6282</v>
      </c>
      <c r="M351" s="154" t="str">
        <f t="shared" si="19"/>
        <v>LOYER - USAGE</v>
      </c>
      <c r="N351" s="155">
        <f>+IF(OR($Q351=Parametres!$G$2,$Q351=Parametres!$G$3),I351,C351)</f>
        <v>6240.02</v>
      </c>
      <c r="O351" s="155">
        <f>+IF(OR($Q351=Parametres!$G$2,$Q351=Parametres!$G$3),J351,D351)</f>
        <v>3120.02</v>
      </c>
      <c r="P351" s="155">
        <f>+IF(OR($Q351=Parametres!$G$2,$Q351=Parametres!$G$3),K351,E351)</f>
        <v>9360.0400000000009</v>
      </c>
      <c r="Q351" s="154" t="str">
        <f t="shared" si="25"/>
        <v>7-Dépenses</v>
      </c>
      <c r="R351" s="153" t="str">
        <f t="shared" si="25"/>
        <v>6182</v>
      </c>
      <c r="S351" s="154">
        <f t="shared" si="25"/>
        <v>0</v>
      </c>
      <c r="T351" s="156" t="str">
        <f>+VLOOKUP($L351,Data_Validation!$A:$D,1,0)</f>
        <v>6282</v>
      </c>
      <c r="U351" s="156" t="str">
        <f>+VLOOKUP($L351,Data_Validation!$A:$D,3,0)</f>
        <v>Véhicules usagés</v>
      </c>
      <c r="V351" s="156" t="str">
        <f>+VLOOKUP($L351,Data_Validation!$A:$D,4,0)</f>
        <v>Loyer</v>
      </c>
      <c r="W351" s="156" t="str">
        <f>+VLOOKUP($L351,Data_Validation!$A:$E,5,0)</f>
        <v>$</v>
      </c>
      <c r="X351" s="156">
        <f>+VLOOKUP($L351,Data_Validation!$A:$F,6,0)</f>
        <v>0</v>
      </c>
    </row>
    <row r="352" spans="1:24" ht="15.75" hidden="1" customHeight="1">
      <c r="A352" s="1013" t="s">
        <v>1290</v>
      </c>
      <c r="B352" s="1013" t="s">
        <v>2615</v>
      </c>
      <c r="C352" s="1015">
        <v>360</v>
      </c>
      <c r="D352" s="1015">
        <v>180</v>
      </c>
      <c r="E352" s="1015">
        <v>540</v>
      </c>
      <c r="F352" s="1013" t="s">
        <v>401</v>
      </c>
      <c r="G352" s="1013" t="s">
        <v>2594</v>
      </c>
      <c r="H352" s="972"/>
      <c r="I352" s="975"/>
      <c r="J352" s="975"/>
      <c r="K352" s="975"/>
      <c r="L352" s="153" t="str">
        <f t="shared" si="18"/>
        <v>6286</v>
      </c>
      <c r="M352" s="154" t="str">
        <f t="shared" si="19"/>
        <v>ASSURANCE BATISSE &amp; AMEL.-USAGE</v>
      </c>
      <c r="N352" s="155">
        <f>+IF(OR($Q352=Parametres!$G$2,$Q352=Parametres!$G$3),I352,C352)</f>
        <v>360</v>
      </c>
      <c r="O352" s="155">
        <f>+IF(OR($Q352=Parametres!$G$2,$Q352=Parametres!$G$3),J352,D352)</f>
        <v>180</v>
      </c>
      <c r="P352" s="155">
        <f>+IF(OR($Q352=Parametres!$G$2,$Q352=Parametres!$G$3),K352,E352)</f>
        <v>540</v>
      </c>
      <c r="Q352" s="154" t="str">
        <f t="shared" si="25"/>
        <v>7-Dépenses</v>
      </c>
      <c r="R352" s="153" t="str">
        <f t="shared" si="25"/>
        <v>6186</v>
      </c>
      <c r="S352" s="154">
        <f t="shared" si="25"/>
        <v>0</v>
      </c>
      <c r="T352" s="156" t="str">
        <f>+VLOOKUP($L352,Data_Validation!$A:$D,1,0)</f>
        <v>6286</v>
      </c>
      <c r="U352" s="156" t="str">
        <f>+VLOOKUP($L352,Data_Validation!$A:$D,3,0)</f>
        <v>Véhicules usagés</v>
      </c>
      <c r="V352" s="156" t="str">
        <f>+VLOOKUP($L352,Data_Validation!$A:$D,4,0)</f>
        <v>Assurances</v>
      </c>
      <c r="W352" s="156" t="str">
        <f>+VLOOKUP($L352,Data_Validation!$A:$E,5,0)</f>
        <v>$</v>
      </c>
      <c r="X352" s="156">
        <f>+VLOOKUP($L352,Data_Validation!$A:$F,6,0)</f>
        <v>0</v>
      </c>
    </row>
    <row r="353" spans="1:24" ht="15" hidden="1" customHeight="1">
      <c r="A353" s="1013" t="s">
        <v>1203</v>
      </c>
      <c r="B353" s="1013" t="s">
        <v>2651</v>
      </c>
      <c r="C353" s="1015">
        <v>1128</v>
      </c>
      <c r="D353" s="1015">
        <v>564</v>
      </c>
      <c r="E353" s="1015">
        <v>1692</v>
      </c>
      <c r="F353" s="1013" t="s">
        <v>401</v>
      </c>
      <c r="G353" s="1013" t="s">
        <v>2614</v>
      </c>
      <c r="H353" s="972"/>
      <c r="I353" s="975"/>
      <c r="J353" s="975"/>
      <c r="K353" s="975"/>
      <c r="L353" s="153" t="str">
        <f t="shared" si="18"/>
        <v>6287</v>
      </c>
      <c r="M353" s="154" t="str">
        <f t="shared" si="19"/>
        <v>TAXES FONCIERES - USAGE</v>
      </c>
      <c r="N353" s="155">
        <f>+IF(OR($Q353=Parametres!$G$2,$Q353=Parametres!$G$3),I353,C353)</f>
        <v>1128</v>
      </c>
      <c r="O353" s="155">
        <f>+IF(OR($Q353=Parametres!$G$2,$Q353=Parametres!$G$3),J353,D353)</f>
        <v>564</v>
      </c>
      <c r="P353" s="155">
        <f>+IF(OR($Q353=Parametres!$G$2,$Q353=Parametres!$G$3),K353,E353)</f>
        <v>1692</v>
      </c>
      <c r="Q353" s="154" t="str">
        <f t="shared" si="25"/>
        <v>7-Dépenses</v>
      </c>
      <c r="R353" s="153" t="str">
        <f t="shared" si="25"/>
        <v>6187</v>
      </c>
      <c r="S353" s="154">
        <f t="shared" si="25"/>
        <v>0</v>
      </c>
      <c r="T353" s="156" t="str">
        <f>+VLOOKUP($L353,Data_Validation!$A:$D,1,0)</f>
        <v>6287</v>
      </c>
      <c r="U353" s="156" t="str">
        <f>+VLOOKUP($L353,Data_Validation!$A:$D,3,0)</f>
        <v>Véhicules usagés</v>
      </c>
      <c r="V353" s="156" t="str">
        <f>+VLOOKUP($L353,Data_Validation!$A:$D,4,0)</f>
        <v>Taxes foncières</v>
      </c>
      <c r="W353" s="156" t="str">
        <f>+VLOOKUP($L353,Data_Validation!$A:$E,5,0)</f>
        <v>$</v>
      </c>
      <c r="X353" s="156">
        <f>+VLOOKUP($L353,Data_Validation!$A:$F,6,0)</f>
        <v>0</v>
      </c>
    </row>
    <row r="354" spans="1:24" ht="15" hidden="1" customHeight="1">
      <c r="A354" s="1013" t="s">
        <v>1393</v>
      </c>
      <c r="B354" s="1013" t="s">
        <v>2620</v>
      </c>
      <c r="C354" s="1015">
        <v>756</v>
      </c>
      <c r="D354" s="1015">
        <v>378</v>
      </c>
      <c r="E354" s="1015">
        <v>1134</v>
      </c>
      <c r="F354" s="1013" t="s">
        <v>401</v>
      </c>
      <c r="G354" s="1013" t="s">
        <v>2597</v>
      </c>
      <c r="H354" s="972"/>
      <c r="I354" s="975"/>
      <c r="J354" s="975"/>
      <c r="K354" s="975"/>
      <c r="L354" s="153" t="str">
        <f t="shared" si="18"/>
        <v>6293</v>
      </c>
      <c r="M354" s="154" t="str">
        <f t="shared" si="19"/>
        <v>AUTRE TAXES - USAGES</v>
      </c>
      <c r="N354" s="155">
        <f>+IF(OR($Q354=Parametres!$G$2,$Q354=Parametres!$G$3),I354,C354)</f>
        <v>756</v>
      </c>
      <c r="O354" s="155">
        <f>+IF(OR($Q354=Parametres!$G$2,$Q354=Parametres!$G$3),J354,D354)</f>
        <v>378</v>
      </c>
      <c r="P354" s="155">
        <f>+IF(OR($Q354=Parametres!$G$2,$Q354=Parametres!$G$3),K354,E354)</f>
        <v>1134</v>
      </c>
      <c r="Q354" s="154" t="str">
        <f t="shared" ref="Q354:S369" si="26">+F354</f>
        <v>7-Dépenses</v>
      </c>
      <c r="R354" s="153" t="str">
        <f t="shared" si="26"/>
        <v>6193</v>
      </c>
      <c r="S354" s="154">
        <f t="shared" si="26"/>
        <v>0</v>
      </c>
      <c r="T354" s="156" t="str">
        <f>+VLOOKUP($L354,Data_Validation!$A:$D,1,0)</f>
        <v>6293</v>
      </c>
      <c r="U354" s="156" t="str">
        <f>+VLOOKUP($L354,Data_Validation!$A:$D,3,0)</f>
        <v>Véhicules usagés</v>
      </c>
      <c r="V354" s="156" t="str">
        <f>+VLOOKUP($L354,Data_Validation!$A:$D,4,0)</f>
        <v>Taxes d`affaires</v>
      </c>
      <c r="W354" s="156" t="str">
        <f>+VLOOKUP($L354,Data_Validation!$A:$E,5,0)</f>
        <v>$</v>
      </c>
      <c r="X354" s="156">
        <f>+VLOOKUP($L354,Data_Validation!$A:$F,6,0)</f>
        <v>0</v>
      </c>
    </row>
    <row r="355" spans="1:24" ht="15" hidden="1" customHeight="1">
      <c r="A355" s="1013" t="s">
        <v>1318</v>
      </c>
      <c r="B355" s="1013" t="s">
        <v>2664</v>
      </c>
      <c r="C355" s="1015">
        <v>1926</v>
      </c>
      <c r="D355" s="1015">
        <v>963</v>
      </c>
      <c r="E355" s="1015">
        <v>2889</v>
      </c>
      <c r="F355" s="1013" t="s">
        <v>401</v>
      </c>
      <c r="G355" s="1013" t="s">
        <v>2635</v>
      </c>
      <c r="H355" s="972"/>
      <c r="I355" s="975"/>
      <c r="J355" s="975"/>
      <c r="K355" s="975"/>
      <c r="L355" s="153" t="str">
        <f t="shared" si="18"/>
        <v>6294</v>
      </c>
      <c r="M355" s="154" t="str">
        <f t="shared" si="19"/>
        <v>FRAIS PROFESSIONNEL-USAGE</v>
      </c>
      <c r="N355" s="155">
        <f>+IF(OR($Q355=Parametres!$G$2,$Q355=Parametres!$G$3),I355,C355)</f>
        <v>1926</v>
      </c>
      <c r="O355" s="155">
        <f>+IF(OR($Q355=Parametres!$G$2,$Q355=Parametres!$G$3),J355,D355)</f>
        <v>963</v>
      </c>
      <c r="P355" s="155">
        <f>+IF(OR($Q355=Parametres!$G$2,$Q355=Parametres!$G$3),K355,E355)</f>
        <v>2889</v>
      </c>
      <c r="Q355" s="154" t="str">
        <f t="shared" si="26"/>
        <v>7-Dépenses</v>
      </c>
      <c r="R355" s="153" t="str">
        <f t="shared" si="26"/>
        <v>6194</v>
      </c>
      <c r="S355" s="154">
        <f t="shared" si="26"/>
        <v>0</v>
      </c>
      <c r="T355" s="156" t="str">
        <f>+VLOOKUP($L355,Data_Validation!$A:$D,1,0)</f>
        <v>6294</v>
      </c>
      <c r="U355" s="156" t="str">
        <f>+VLOOKUP($L355,Data_Validation!$A:$D,3,0)</f>
        <v>Véhicules usagés</v>
      </c>
      <c r="V355" s="156" t="str">
        <f>+VLOOKUP($L355,Data_Validation!$A:$D,4,0)</f>
        <v>Honoraires</v>
      </c>
      <c r="W355" s="156" t="str">
        <f>+VLOOKUP($L355,Data_Validation!$A:$E,5,0)</f>
        <v>$</v>
      </c>
      <c r="X355" s="156">
        <f>+VLOOKUP($L355,Data_Validation!$A:$F,6,0)</f>
        <v>0</v>
      </c>
    </row>
    <row r="356" spans="1:24" ht="15" hidden="1" customHeight="1">
      <c r="A356" s="1013" t="s">
        <v>1403</v>
      </c>
      <c r="B356" s="1013" t="s">
        <v>2743</v>
      </c>
      <c r="C356" s="1015">
        <v>3531.07</v>
      </c>
      <c r="D356" s="1015">
        <v>2671.58</v>
      </c>
      <c r="E356" s="1015">
        <v>6202.65</v>
      </c>
      <c r="F356" s="1013" t="s">
        <v>401</v>
      </c>
      <c r="G356" s="1013" t="s">
        <v>2467</v>
      </c>
      <c r="H356" s="972"/>
      <c r="I356" s="975"/>
      <c r="J356" s="975"/>
      <c r="K356" s="975"/>
      <c r="L356" s="153" t="str">
        <f t="shared" si="18"/>
        <v>6403</v>
      </c>
      <c r="M356" s="154" t="str">
        <f t="shared" si="19"/>
        <v>RELAT. A LA CLIENTELE &amp; AJUST</v>
      </c>
      <c r="N356" s="155">
        <f>+IF(OR($Q356=Parametres!$G$2,$Q356=Parametres!$G$3),I356,C356)</f>
        <v>3531.07</v>
      </c>
      <c r="O356" s="155">
        <f>+IF(OR($Q356=Parametres!$G$2,$Q356=Parametres!$G$3),J356,D356)</f>
        <v>2671.58</v>
      </c>
      <c r="P356" s="155">
        <f>+IF(OR($Q356=Parametres!$G$2,$Q356=Parametres!$G$3),K356,E356)</f>
        <v>6202.65</v>
      </c>
      <c r="Q356" s="154" t="str">
        <f t="shared" si="26"/>
        <v>7-Dépenses</v>
      </c>
      <c r="R356" s="153" t="str">
        <f t="shared" si="26"/>
        <v>6112</v>
      </c>
      <c r="S356" s="154">
        <f t="shared" si="26"/>
        <v>0</v>
      </c>
      <c r="T356" s="156" t="str">
        <f>+VLOOKUP($L356,Data_Validation!$A:$D,1,0)</f>
        <v>6403</v>
      </c>
      <c r="U356" s="156" t="str">
        <f>+VLOOKUP($L356,Data_Validation!$A:$D,3,0)</f>
        <v>Service</v>
      </c>
      <c r="V356" s="156" t="str">
        <f>+VLOOKUP($L356,Data_Validation!$A:$D,4,0)</f>
        <v>Service gratuit 2</v>
      </c>
      <c r="W356" s="156" t="str">
        <f>+VLOOKUP($L356,Data_Validation!$A:$E,5,0)</f>
        <v>$</v>
      </c>
      <c r="X356" s="156">
        <f>+VLOOKUP($L356,Data_Validation!$A:$F,6,0)</f>
        <v>0</v>
      </c>
    </row>
    <row r="357" spans="1:24" ht="15" hidden="1" customHeight="1">
      <c r="A357" s="1013" t="s">
        <v>1450</v>
      </c>
      <c r="B357" s="1013" t="s">
        <v>2677</v>
      </c>
      <c r="C357" s="1015">
        <v>553.80999999999995</v>
      </c>
      <c r="D357" s="1015">
        <v>85.9</v>
      </c>
      <c r="E357" s="1015">
        <v>639.71</v>
      </c>
      <c r="F357" s="1013" t="s">
        <v>401</v>
      </c>
      <c r="G357" s="1013" t="s">
        <v>2467</v>
      </c>
      <c r="H357" s="972"/>
      <c r="I357" s="975"/>
      <c r="J357" s="975"/>
      <c r="K357" s="975"/>
      <c r="L357" s="153" t="str">
        <f t="shared" si="18"/>
        <v>6412</v>
      </c>
      <c r="M357" s="154" t="str">
        <f t="shared" si="19"/>
        <v>AUTORISATION &amp; GAR./VEH. USA</v>
      </c>
      <c r="N357" s="155">
        <f>+IF(OR($Q357=Parametres!$G$2,$Q357=Parametres!$G$3),I357,C357)</f>
        <v>553.80999999999995</v>
      </c>
      <c r="O357" s="155">
        <f>+IF(OR($Q357=Parametres!$G$2,$Q357=Parametres!$G$3),J357,D357)</f>
        <v>85.9</v>
      </c>
      <c r="P357" s="155">
        <f>+IF(OR($Q357=Parametres!$G$2,$Q357=Parametres!$G$3),K357,E357)</f>
        <v>639.71</v>
      </c>
      <c r="Q357" s="154" t="str">
        <f t="shared" si="26"/>
        <v>7-Dépenses</v>
      </c>
      <c r="R357" s="153" t="str">
        <f t="shared" si="26"/>
        <v>6112</v>
      </c>
      <c r="S357" s="154">
        <f t="shared" si="26"/>
        <v>0</v>
      </c>
      <c r="T357" s="156" t="str">
        <f>+VLOOKUP($L357,Data_Validation!$A:$D,1,0)</f>
        <v>6412</v>
      </c>
      <c r="U357" s="156" t="str">
        <f>+VLOOKUP($L357,Data_Validation!$A:$D,3,0)</f>
        <v>Service</v>
      </c>
      <c r="V357" s="156" t="str">
        <f>+VLOOKUP($L357,Data_Validation!$A:$D,4,0)</f>
        <v>Service gratuit 2</v>
      </c>
      <c r="W357" s="156" t="str">
        <f>+VLOOKUP($L357,Data_Validation!$A:$E,5,0)</f>
        <v>$</v>
      </c>
      <c r="X357" s="156">
        <f>+VLOOKUP($L357,Data_Validation!$A:$F,6,0)</f>
        <v>0</v>
      </c>
    </row>
    <row r="358" spans="1:24" ht="15.75" hidden="1" customHeight="1">
      <c r="A358" s="1013" t="s">
        <v>1374</v>
      </c>
      <c r="B358" s="1013" t="s">
        <v>2714</v>
      </c>
      <c r="C358" s="1015">
        <v>22876.3</v>
      </c>
      <c r="D358" s="1015">
        <v>13895.47</v>
      </c>
      <c r="E358" s="1015">
        <v>36771.769999999997</v>
      </c>
      <c r="F358" s="1013" t="s">
        <v>401</v>
      </c>
      <c r="G358" s="1013" t="s">
        <v>2113</v>
      </c>
      <c r="H358" s="972"/>
      <c r="I358" s="975"/>
      <c r="J358" s="975"/>
      <c r="K358" s="975"/>
      <c r="L358" s="153" t="str">
        <f t="shared" si="18"/>
        <v>6414</v>
      </c>
      <c r="M358" s="154" t="str">
        <f t="shared" si="19"/>
        <v>PUBLICITE</v>
      </c>
      <c r="N358" s="155">
        <f>+IF(OR($Q358=Parametres!$G$2,$Q358=Parametres!$G$3),I358,C358)</f>
        <v>22876.3</v>
      </c>
      <c r="O358" s="155">
        <f>+IF(OR($Q358=Parametres!$G$2,$Q358=Parametres!$G$3),J358,D358)</f>
        <v>13895.47</v>
      </c>
      <c r="P358" s="155">
        <f>+IF(OR($Q358=Parametres!$G$2,$Q358=Parametres!$G$3),K358,E358)</f>
        <v>36771.769999999997</v>
      </c>
      <c r="Q358" s="154" t="str">
        <f t="shared" si="26"/>
        <v>7-Dépenses</v>
      </c>
      <c r="R358" s="153" t="str">
        <f t="shared" si="26"/>
        <v>6114</v>
      </c>
      <c r="S358" s="154">
        <f t="shared" si="26"/>
        <v>0</v>
      </c>
      <c r="T358" s="156" t="str">
        <f>+VLOOKUP($L358,Data_Validation!$A:$D,1,0)</f>
        <v>6414</v>
      </c>
      <c r="U358" s="156" t="str">
        <f>+VLOOKUP($L358,Data_Validation!$A:$D,3,0)</f>
        <v>Service</v>
      </c>
      <c r="V358" s="156" t="str">
        <f>+VLOOKUP($L358,Data_Validation!$A:$D,4,0)</f>
        <v>Publicité 2</v>
      </c>
      <c r="W358" s="156" t="str">
        <f>+VLOOKUP($L358,Data_Validation!$A:$E,5,0)</f>
        <v>$</v>
      </c>
      <c r="X358" s="156">
        <f>+VLOOKUP($L358,Data_Validation!$A:$F,6,0)</f>
        <v>0</v>
      </c>
    </row>
    <row r="359" spans="1:24" ht="15" hidden="1" customHeight="1">
      <c r="A359" s="1013" t="s">
        <v>1259</v>
      </c>
      <c r="B359" s="1013" t="s">
        <v>2711</v>
      </c>
      <c r="C359" s="1015">
        <v>1961.13</v>
      </c>
      <c r="D359" s="1015">
        <v>1728.61</v>
      </c>
      <c r="E359" s="1015">
        <v>3689.74</v>
      </c>
      <c r="F359" s="1013" t="s">
        <v>401</v>
      </c>
      <c r="G359" s="1013" t="s">
        <v>2648</v>
      </c>
      <c r="H359" s="972"/>
      <c r="I359" s="975"/>
      <c r="J359" s="975"/>
      <c r="K359" s="975"/>
      <c r="L359" s="153" t="str">
        <f t="shared" si="18"/>
        <v>6421</v>
      </c>
      <c r="M359" s="154" t="str">
        <f t="shared" si="19"/>
        <v>SALAIRES - PROPRIETAIRES</v>
      </c>
      <c r="N359" s="155">
        <f>+IF(OR($Q359=Parametres!$G$2,$Q359=Parametres!$G$3),I359,C359)</f>
        <v>1961.13</v>
      </c>
      <c r="O359" s="155">
        <f>+IF(OR($Q359=Parametres!$G$2,$Q359=Parametres!$G$3),J359,D359)</f>
        <v>1728.61</v>
      </c>
      <c r="P359" s="155">
        <f>+IF(OR($Q359=Parametres!$G$2,$Q359=Parametres!$G$3),K359,E359)</f>
        <v>3689.74</v>
      </c>
      <c r="Q359" s="154" t="str">
        <f t="shared" si="26"/>
        <v>7-Dépenses</v>
      </c>
      <c r="R359" s="153" t="str">
        <f t="shared" si="26"/>
        <v>6121</v>
      </c>
      <c r="S359" s="154">
        <f t="shared" si="26"/>
        <v>0</v>
      </c>
      <c r="T359" s="156" t="str">
        <f>+VLOOKUP($L359,Data_Validation!$A:$D,1,0)</f>
        <v>6421</v>
      </c>
      <c r="U359" s="156" t="str">
        <f>+VLOOKUP($L359,Data_Validation!$A:$D,3,0)</f>
        <v>Service</v>
      </c>
      <c r="V359" s="156" t="str">
        <f>+VLOOKUP($L359,Data_Validation!$A:$D,4,0)</f>
        <v>Salaires propriétaire</v>
      </c>
      <c r="W359" s="156" t="str">
        <f>+VLOOKUP($L359,Data_Validation!$A:$E,5,0)</f>
        <v>$</v>
      </c>
      <c r="X359" s="156">
        <f>+VLOOKUP($L359,Data_Validation!$A:$F,6,0)</f>
        <v>0</v>
      </c>
    </row>
    <row r="360" spans="1:24" ht="15" hidden="1" customHeight="1">
      <c r="A360" s="1013" t="s">
        <v>2624</v>
      </c>
      <c r="B360" s="1013" t="s">
        <v>2771</v>
      </c>
      <c r="C360" s="1015">
        <v>28039.79</v>
      </c>
      <c r="D360" s="1015">
        <v>12092.75</v>
      </c>
      <c r="E360" s="1015">
        <v>40132.54</v>
      </c>
      <c r="F360" s="1013" t="s">
        <v>401</v>
      </c>
      <c r="G360" s="1013" t="s">
        <v>2626</v>
      </c>
      <c r="H360" s="972"/>
      <c r="I360" s="975"/>
      <c r="J360" s="975"/>
      <c r="K360" s="975"/>
      <c r="L360" s="153" t="str">
        <f t="shared" si="18"/>
        <v>6422</v>
      </c>
      <c r="M360" s="154" t="str">
        <f t="shared" si="19"/>
        <v>SAL SUPERVISION / GERANT</v>
      </c>
      <c r="N360" s="155">
        <f>+IF(OR($Q360=Parametres!$G$2,$Q360=Parametres!$G$3),I360,C360)</f>
        <v>28039.79</v>
      </c>
      <c r="O360" s="155">
        <f>+IF(OR($Q360=Parametres!$G$2,$Q360=Parametres!$G$3),J360,D360)</f>
        <v>12092.75</v>
      </c>
      <c r="P360" s="155">
        <f>+IF(OR($Q360=Parametres!$G$2,$Q360=Parametres!$G$3),K360,E360)</f>
        <v>40132.54</v>
      </c>
      <c r="Q360" s="154" t="str">
        <f t="shared" si="26"/>
        <v>7-Dépenses</v>
      </c>
      <c r="R360" s="153" t="str">
        <f t="shared" si="26"/>
        <v>6122</v>
      </c>
      <c r="S360" s="154">
        <f t="shared" si="26"/>
        <v>0</v>
      </c>
      <c r="T360" s="156" t="str">
        <f>+VLOOKUP($L360,Data_Validation!$A:$D,1,0)</f>
        <v>6422</v>
      </c>
      <c r="U360" s="156" t="str">
        <f>+VLOOKUP($L360,Data_Validation!$A:$D,3,0)</f>
        <v>Service</v>
      </c>
      <c r="V360" s="156" t="str">
        <f>+VLOOKUP($L360,Data_Validation!$A:$D,4,0)</f>
        <v>Salaires cadres</v>
      </c>
      <c r="W360" s="156" t="str">
        <f>+VLOOKUP($L360,Data_Validation!$A:$E,5,0)</f>
        <v>$</v>
      </c>
      <c r="X360" s="156">
        <f>+VLOOKUP($L360,Data_Validation!$A:$F,6,0)</f>
        <v>0</v>
      </c>
    </row>
    <row r="361" spans="1:24" ht="15" hidden="1" customHeight="1">
      <c r="A361" s="1013" t="s">
        <v>1266</v>
      </c>
      <c r="B361" s="1013" t="s">
        <v>2766</v>
      </c>
      <c r="C361" s="1015">
        <v>15482.32</v>
      </c>
      <c r="D361" s="1015">
        <v>6668.69</v>
      </c>
      <c r="E361" s="1015">
        <v>22151.01</v>
      </c>
      <c r="F361" s="1013" t="s">
        <v>401</v>
      </c>
      <c r="G361" s="1013" t="s">
        <v>2679</v>
      </c>
      <c r="H361" s="972"/>
      <c r="I361" s="975"/>
      <c r="J361" s="975"/>
      <c r="K361" s="975"/>
      <c r="L361" s="153" t="str">
        <f t="shared" si="18"/>
        <v>6423</v>
      </c>
      <c r="M361" s="154" t="str">
        <f t="shared" si="19"/>
        <v>SAL. &amp; RENUM. CLERICAL</v>
      </c>
      <c r="N361" s="155">
        <f>+IF(OR($Q361=Parametres!$G$2,$Q361=Parametres!$G$3),I361,C361)</f>
        <v>15482.32</v>
      </c>
      <c r="O361" s="155">
        <f>+IF(OR($Q361=Parametres!$G$2,$Q361=Parametres!$G$3),J361,D361)</f>
        <v>6668.69</v>
      </c>
      <c r="P361" s="155">
        <f>+IF(OR($Q361=Parametres!$G$2,$Q361=Parametres!$G$3),K361,E361)</f>
        <v>22151.01</v>
      </c>
      <c r="Q361" s="154" t="str">
        <f t="shared" si="26"/>
        <v>7-Dépenses</v>
      </c>
      <c r="R361" s="153" t="str">
        <f t="shared" si="26"/>
        <v>6123</v>
      </c>
      <c r="S361" s="154">
        <f t="shared" si="26"/>
        <v>0</v>
      </c>
      <c r="T361" s="156" t="str">
        <f>+VLOOKUP($L361,Data_Validation!$A:$D,1,0)</f>
        <v>6423</v>
      </c>
      <c r="U361" s="156" t="str">
        <f>+VLOOKUP($L361,Data_Validation!$A:$D,3,0)</f>
        <v>Service</v>
      </c>
      <c r="V361" s="156" t="str">
        <f>+VLOOKUP($L361,Data_Validation!$A:$D,4,0)</f>
        <v>Salaires commis</v>
      </c>
      <c r="W361" s="156" t="str">
        <f>+VLOOKUP($L361,Data_Validation!$A:$E,5,0)</f>
        <v>$</v>
      </c>
      <c r="X361" s="156">
        <f>+VLOOKUP($L361,Data_Validation!$A:$F,6,0)</f>
        <v>0</v>
      </c>
    </row>
    <row r="362" spans="1:24" ht="15.75" hidden="1" customHeight="1">
      <c r="A362" s="1013" t="s">
        <v>1249</v>
      </c>
      <c r="B362" s="1013" t="s">
        <v>2805</v>
      </c>
      <c r="C362" s="1015">
        <v>21817.96</v>
      </c>
      <c r="D362" s="1015">
        <v>8643.08</v>
      </c>
      <c r="E362" s="1015">
        <v>30461.040000000001</v>
      </c>
      <c r="F362" s="1013" t="s">
        <v>401</v>
      </c>
      <c r="G362" s="1013" t="s">
        <v>2735</v>
      </c>
      <c r="H362" s="972"/>
      <c r="I362" s="975"/>
      <c r="J362" s="975"/>
      <c r="K362" s="975"/>
      <c r="L362" s="153" t="str">
        <f t="shared" si="18"/>
        <v>6424</v>
      </c>
      <c r="M362" s="154" t="str">
        <f t="shared" si="19"/>
        <v>SALAIRES &amp; RENUM. - AUTRES</v>
      </c>
      <c r="N362" s="155">
        <f>+IF(OR($Q362=Parametres!$G$2,$Q362=Parametres!$G$3),I362,C362)</f>
        <v>21817.96</v>
      </c>
      <c r="O362" s="155">
        <f>+IF(OR($Q362=Parametres!$G$2,$Q362=Parametres!$G$3),J362,D362)</f>
        <v>8643.08</v>
      </c>
      <c r="P362" s="155">
        <f>+IF(OR($Q362=Parametres!$G$2,$Q362=Parametres!$G$3),K362,E362)</f>
        <v>30461.040000000001</v>
      </c>
      <c r="Q362" s="154" t="str">
        <f t="shared" si="26"/>
        <v>7-Dépenses</v>
      </c>
      <c r="R362" s="153" t="str">
        <f t="shared" si="26"/>
        <v>6124</v>
      </c>
      <c r="S362" s="154">
        <f t="shared" si="26"/>
        <v>0</v>
      </c>
      <c r="T362" s="156" t="str">
        <f>+VLOOKUP($L362,Data_Validation!$A:$D,1,0)</f>
        <v>6424</v>
      </c>
      <c r="U362" s="156" t="str">
        <f>+VLOOKUP($L362,Data_Validation!$A:$D,3,0)</f>
        <v>Service</v>
      </c>
      <c r="V362" s="156" t="str">
        <f>+VLOOKUP($L362,Data_Validation!$A:$D,4,0)</f>
        <v>Salaires autres</v>
      </c>
      <c r="W362" s="156" t="str">
        <f>+VLOOKUP($L362,Data_Validation!$A:$E,5,0)</f>
        <v>$</v>
      </c>
      <c r="X362" s="156">
        <f>+VLOOKUP($L362,Data_Validation!$A:$F,6,0)</f>
        <v>0</v>
      </c>
    </row>
    <row r="363" spans="1:24" ht="15.75" hidden="1" customHeight="1">
      <c r="A363" s="1013" t="s">
        <v>1330</v>
      </c>
      <c r="B363" s="1013" t="s">
        <v>2810</v>
      </c>
      <c r="C363" s="1015">
        <v>39535.96</v>
      </c>
      <c r="D363" s="1015">
        <v>17311.25</v>
      </c>
      <c r="E363" s="1015">
        <v>56847.21</v>
      </c>
      <c r="F363" s="1013" t="s">
        <v>401</v>
      </c>
      <c r="G363" s="1013" t="s">
        <v>2721</v>
      </c>
      <c r="H363" s="972"/>
      <c r="I363" s="975"/>
      <c r="J363" s="975"/>
      <c r="K363" s="975"/>
      <c r="L363" s="153" t="str">
        <f t="shared" si="18"/>
        <v>6425</v>
      </c>
      <c r="M363" s="154" t="str">
        <f t="shared" si="19"/>
        <v>SALAIRE SPECIALISTES</v>
      </c>
      <c r="N363" s="155">
        <f>+IF(OR($Q363=Parametres!$G$2,$Q363=Parametres!$G$3),I363,C363)</f>
        <v>39535.96</v>
      </c>
      <c r="O363" s="155">
        <f>+IF(OR($Q363=Parametres!$G$2,$Q363=Parametres!$G$3),J363,D363)</f>
        <v>17311.25</v>
      </c>
      <c r="P363" s="155">
        <f>+IF(OR($Q363=Parametres!$G$2,$Q363=Parametres!$G$3),K363,E363)</f>
        <v>56847.21</v>
      </c>
      <c r="Q363" s="154" t="str">
        <f t="shared" si="26"/>
        <v>7-Dépenses</v>
      </c>
      <c r="R363" s="153" t="str">
        <f t="shared" si="26"/>
        <v>6125</v>
      </c>
      <c r="S363" s="154">
        <f t="shared" si="26"/>
        <v>0</v>
      </c>
      <c r="T363" s="156" t="str">
        <f>+VLOOKUP($L363,Data_Validation!$A:$D,1,0)</f>
        <v>6425</v>
      </c>
      <c r="U363" s="156" t="str">
        <f>+VLOOKUP($L363,Data_Validation!$A:$D,3,0)</f>
        <v>Service</v>
      </c>
      <c r="V363" s="156" t="str">
        <f>+VLOOKUP($L363,Data_Validation!$A:$D,4,0)</f>
        <v>Salaires spécialistes</v>
      </c>
      <c r="W363" s="156" t="str">
        <f>+VLOOKUP($L363,Data_Validation!$A:$E,5,0)</f>
        <v>$</v>
      </c>
      <c r="X363" s="156">
        <f>+VLOOKUP($L363,Data_Validation!$A:$F,6,0)</f>
        <v>0</v>
      </c>
    </row>
    <row r="364" spans="1:24" ht="15" hidden="1" customHeight="1">
      <c r="A364" s="1013" t="s">
        <v>1448</v>
      </c>
      <c r="B364" s="1013" t="s">
        <v>2793</v>
      </c>
      <c r="C364" s="1015">
        <v>26087.74</v>
      </c>
      <c r="D364" s="1015">
        <v>14747.25</v>
      </c>
      <c r="E364" s="1015">
        <v>40834.99</v>
      </c>
      <c r="F364" s="1013" t="s">
        <v>401</v>
      </c>
      <c r="G364" s="1013" t="s">
        <v>2641</v>
      </c>
      <c r="H364" s="972"/>
      <c r="I364" s="975"/>
      <c r="J364" s="975"/>
      <c r="K364" s="975"/>
      <c r="L364" s="153" t="str">
        <f t="shared" si="18"/>
        <v>6429</v>
      </c>
      <c r="M364" s="154" t="str">
        <f t="shared" si="19"/>
        <v>SAL.,VACANCE, &amp; SAL. JOURS FER</v>
      </c>
      <c r="N364" s="155">
        <f>+IF(OR($Q364=Parametres!$G$2,$Q364=Parametres!$G$3),I364,C364)</f>
        <v>26087.74</v>
      </c>
      <c r="O364" s="155">
        <f>+IF(OR($Q364=Parametres!$G$2,$Q364=Parametres!$G$3),J364,D364)</f>
        <v>14747.25</v>
      </c>
      <c r="P364" s="155">
        <f>+IF(OR($Q364=Parametres!$G$2,$Q364=Parametres!$G$3),K364,E364)</f>
        <v>40834.99</v>
      </c>
      <c r="Q364" s="154" t="str">
        <f t="shared" si="26"/>
        <v>7-Dépenses</v>
      </c>
      <c r="R364" s="153" t="str">
        <f t="shared" si="26"/>
        <v>6129</v>
      </c>
      <c r="S364" s="154">
        <f t="shared" si="26"/>
        <v>0</v>
      </c>
      <c r="T364" s="156" t="str">
        <f>+VLOOKUP($L364,Data_Validation!$A:$D,1,0)</f>
        <v>6429</v>
      </c>
      <c r="U364" s="156" t="str">
        <f>+VLOOKUP($L364,Data_Validation!$A:$D,3,0)</f>
        <v>Service</v>
      </c>
      <c r="V364" s="156" t="str">
        <f>+VLOOKUP($L364,Data_Validation!$A:$D,4,0)</f>
        <v>Salaires en absences</v>
      </c>
      <c r="W364" s="156" t="str">
        <f>+VLOOKUP($L364,Data_Validation!$A:$E,5,0)</f>
        <v>$</v>
      </c>
      <c r="X364" s="156">
        <f>+VLOOKUP($L364,Data_Validation!$A:$F,6,0)</f>
        <v>0</v>
      </c>
    </row>
    <row r="365" spans="1:24" ht="15" hidden="1" customHeight="1">
      <c r="A365" s="1013" t="s">
        <v>1252</v>
      </c>
      <c r="B365" s="1013" t="s">
        <v>2732</v>
      </c>
      <c r="C365" s="1015">
        <v>5966.13</v>
      </c>
      <c r="D365" s="1015">
        <v>3039.25</v>
      </c>
      <c r="E365" s="1015">
        <v>9005.3799999999992</v>
      </c>
      <c r="F365" s="1013" t="s">
        <v>401</v>
      </c>
      <c r="G365" s="1013" t="s">
        <v>2586</v>
      </c>
      <c r="H365" s="972"/>
      <c r="I365" s="975"/>
      <c r="J365" s="975"/>
      <c r="K365" s="975"/>
      <c r="L365" s="153" t="str">
        <f t="shared" si="18"/>
        <v>6431</v>
      </c>
      <c r="M365" s="154" t="str">
        <f t="shared" si="19"/>
        <v>CSST</v>
      </c>
      <c r="N365" s="155">
        <f>+IF(OR($Q365=Parametres!$G$2,$Q365=Parametres!$G$3),I365,C365)</f>
        <v>5966.13</v>
      </c>
      <c r="O365" s="155">
        <f>+IF(OR($Q365=Parametres!$G$2,$Q365=Parametres!$G$3),J365,D365)</f>
        <v>3039.25</v>
      </c>
      <c r="P365" s="155">
        <f>+IF(OR($Q365=Parametres!$G$2,$Q365=Parametres!$G$3),K365,E365)</f>
        <v>9005.3799999999992</v>
      </c>
      <c r="Q365" s="154" t="str">
        <f t="shared" si="26"/>
        <v>7-Dépenses</v>
      </c>
      <c r="R365" s="153" t="str">
        <f t="shared" si="26"/>
        <v>6131</v>
      </c>
      <c r="S365" s="154">
        <f t="shared" si="26"/>
        <v>0</v>
      </c>
      <c r="T365" s="156" t="str">
        <f>+VLOOKUP($L365,Data_Validation!$A:$D,1,0)</f>
        <v>6431</v>
      </c>
      <c r="U365" s="156" t="str">
        <f>+VLOOKUP($L365,Data_Validation!$A:$D,3,0)</f>
        <v>Service</v>
      </c>
      <c r="V365" s="156" t="str">
        <f>+VLOOKUP($L365,Data_Validation!$A:$D,4,0)</f>
        <v>Csst</v>
      </c>
      <c r="W365" s="156" t="str">
        <f>+VLOOKUP($L365,Data_Validation!$A:$E,5,0)</f>
        <v>$</v>
      </c>
      <c r="X365" s="156">
        <f>+VLOOKUP($L365,Data_Validation!$A:$F,6,0)</f>
        <v>0</v>
      </c>
    </row>
    <row r="366" spans="1:24" ht="15" hidden="1" customHeight="1">
      <c r="A366" s="1013" t="s">
        <v>1283</v>
      </c>
      <c r="B366" s="1013" t="s">
        <v>2779</v>
      </c>
      <c r="C366" s="1015">
        <v>21670.3</v>
      </c>
      <c r="D366" s="1015">
        <v>12147.63</v>
      </c>
      <c r="E366" s="1015">
        <v>33817.93</v>
      </c>
      <c r="F366" s="1013" t="s">
        <v>401</v>
      </c>
      <c r="G366" s="1013" t="s">
        <v>2685</v>
      </c>
      <c r="H366" s="972"/>
      <c r="I366" s="975"/>
      <c r="J366" s="975"/>
      <c r="K366" s="975"/>
      <c r="L366" s="153" t="str">
        <f t="shared" si="18"/>
        <v>6432</v>
      </c>
      <c r="M366" s="154" t="str">
        <f t="shared" si="19"/>
        <v>RRQ RAMQ AC</v>
      </c>
      <c r="N366" s="155">
        <f>+IF(OR($Q366=Parametres!$G$2,$Q366=Parametres!$G$3),I366,C366)</f>
        <v>21670.3</v>
      </c>
      <c r="O366" s="155">
        <f>+IF(OR($Q366=Parametres!$G$2,$Q366=Parametres!$G$3),J366,D366)</f>
        <v>12147.63</v>
      </c>
      <c r="P366" s="155">
        <f>+IF(OR($Q366=Parametres!$G$2,$Q366=Parametres!$G$3),K366,E366)</f>
        <v>33817.93</v>
      </c>
      <c r="Q366" s="154" t="str">
        <f t="shared" si="26"/>
        <v>7-Dépenses</v>
      </c>
      <c r="R366" s="153" t="str">
        <f t="shared" si="26"/>
        <v>6132</v>
      </c>
      <c r="S366" s="154">
        <f t="shared" si="26"/>
        <v>0</v>
      </c>
      <c r="T366" s="156" t="str">
        <f>+VLOOKUP($L366,Data_Validation!$A:$D,1,0)</f>
        <v>6432</v>
      </c>
      <c r="U366" s="156" t="str">
        <f>+VLOOKUP($L366,Data_Validation!$A:$D,3,0)</f>
        <v>Service</v>
      </c>
      <c r="V366" s="156" t="str">
        <f>+VLOOKUP($L366,Data_Validation!$A:$D,4,0)</f>
        <v>Déduction à la source</v>
      </c>
      <c r="W366" s="156" t="str">
        <f>+VLOOKUP($L366,Data_Validation!$A:$E,5,0)</f>
        <v>$</v>
      </c>
      <c r="X366" s="156">
        <f>+VLOOKUP($L366,Data_Validation!$A:$F,6,0)</f>
        <v>0</v>
      </c>
    </row>
    <row r="367" spans="1:24" ht="15" hidden="1" customHeight="1">
      <c r="A367" s="1013" t="s">
        <v>1305</v>
      </c>
      <c r="B367" s="1013" t="s">
        <v>2742</v>
      </c>
      <c r="C367" s="1015">
        <v>15646.2</v>
      </c>
      <c r="D367" s="1015">
        <v>8436.59</v>
      </c>
      <c r="E367" s="1015">
        <v>24082.79</v>
      </c>
      <c r="F367" s="1013" t="s">
        <v>401</v>
      </c>
      <c r="G367" s="1013" t="s">
        <v>2694</v>
      </c>
      <c r="H367" s="972"/>
      <c r="I367" s="975"/>
      <c r="J367" s="975"/>
      <c r="K367" s="975"/>
      <c r="L367" s="153" t="str">
        <f t="shared" si="18"/>
        <v>6439</v>
      </c>
      <c r="M367" s="154" t="str">
        <f t="shared" si="19"/>
        <v>ASSURANCE GROUPE</v>
      </c>
      <c r="N367" s="155">
        <f>+IF(OR($Q367=Parametres!$G$2,$Q367=Parametres!$G$3),I367,C367)</f>
        <v>15646.2</v>
      </c>
      <c r="O367" s="155">
        <f>+IF(OR($Q367=Parametres!$G$2,$Q367=Parametres!$G$3),J367,D367)</f>
        <v>8436.59</v>
      </c>
      <c r="P367" s="155">
        <f>+IF(OR($Q367=Parametres!$G$2,$Q367=Parametres!$G$3),K367,E367)</f>
        <v>24082.79</v>
      </c>
      <c r="Q367" s="154" t="str">
        <f t="shared" si="26"/>
        <v>7-Dépenses</v>
      </c>
      <c r="R367" s="153" t="str">
        <f t="shared" si="26"/>
        <v>6139</v>
      </c>
      <c r="S367" s="154">
        <f t="shared" si="26"/>
        <v>0</v>
      </c>
      <c r="T367" s="156" t="str">
        <f>+VLOOKUP($L367,Data_Validation!$A:$D,1,0)</f>
        <v>6439</v>
      </c>
      <c r="U367" s="156" t="str">
        <f>+VLOOKUP($L367,Data_Validation!$A:$D,3,0)</f>
        <v>Service</v>
      </c>
      <c r="V367" s="156" t="str">
        <f>+VLOOKUP($L367,Data_Validation!$A:$D,4,0)</f>
        <v>Bénéfices marginaux</v>
      </c>
      <c r="W367" s="156" t="str">
        <f>+VLOOKUP($L367,Data_Validation!$A:$E,5,0)</f>
        <v>$</v>
      </c>
      <c r="X367" s="156">
        <f>+VLOOKUP($L367,Data_Validation!$A:$F,6,0)</f>
        <v>0</v>
      </c>
    </row>
    <row r="368" spans="1:24" ht="15" hidden="1" customHeight="1">
      <c r="A368" s="1013" t="s">
        <v>1157</v>
      </c>
      <c r="B368" s="1013" t="s">
        <v>2655</v>
      </c>
      <c r="C368" s="1015">
        <v>820</v>
      </c>
      <c r="D368" s="1015">
        <v>420</v>
      </c>
      <c r="E368" s="1015">
        <v>1240</v>
      </c>
      <c r="F368" s="1013" t="s">
        <v>401</v>
      </c>
      <c r="G368" s="1013" t="s">
        <v>2563</v>
      </c>
      <c r="H368" s="972"/>
      <c r="I368" s="975"/>
      <c r="J368" s="975"/>
      <c r="K368" s="975"/>
      <c r="L368" s="153" t="str">
        <f t="shared" si="18"/>
        <v>6442</v>
      </c>
      <c r="M368" s="154" t="str">
        <f t="shared" si="19"/>
        <v>FOURNITURES &amp; PETITS OUTILS</v>
      </c>
      <c r="N368" s="155">
        <f>+IF(OR($Q368=Parametres!$G$2,$Q368=Parametres!$G$3),I368,C368)</f>
        <v>820</v>
      </c>
      <c r="O368" s="155">
        <f>+IF(OR($Q368=Parametres!$G$2,$Q368=Parametres!$G$3),J368,D368)</f>
        <v>420</v>
      </c>
      <c r="P368" s="155">
        <f>+IF(OR($Q368=Parametres!$G$2,$Q368=Parametres!$G$3),K368,E368)</f>
        <v>1240</v>
      </c>
      <c r="Q368" s="154" t="str">
        <f t="shared" si="26"/>
        <v>7-Dépenses</v>
      </c>
      <c r="R368" s="153" t="str">
        <f t="shared" si="26"/>
        <v>6142</v>
      </c>
      <c r="S368" s="154">
        <f t="shared" si="26"/>
        <v>0</v>
      </c>
      <c r="T368" s="156" t="str">
        <f>+VLOOKUP($L368,Data_Validation!$A:$D,1,0)</f>
        <v>6442</v>
      </c>
      <c r="U368" s="156" t="str">
        <f>+VLOOKUP($L368,Data_Validation!$A:$D,3,0)</f>
        <v>Service</v>
      </c>
      <c r="V368" s="156" t="str">
        <f>+VLOOKUP($L368,Data_Validation!$A:$D,4,0)</f>
        <v>Fournitures autres</v>
      </c>
      <c r="W368" s="156" t="str">
        <f>+VLOOKUP($L368,Data_Validation!$A:$E,5,0)</f>
        <v>$</v>
      </c>
      <c r="X368" s="156">
        <f>+VLOOKUP($L368,Data_Validation!$A:$F,6,0)</f>
        <v>0</v>
      </c>
    </row>
    <row r="369" spans="1:24" ht="15.75" hidden="1" customHeight="1">
      <c r="A369" s="1013" t="s">
        <v>932</v>
      </c>
      <c r="B369" s="1013" t="s">
        <v>2158</v>
      </c>
      <c r="C369" s="1015">
        <v>2600</v>
      </c>
      <c r="D369" s="1015">
        <v>1300</v>
      </c>
      <c r="E369" s="1015">
        <v>3900</v>
      </c>
      <c r="F369" s="1013" t="s">
        <v>401</v>
      </c>
      <c r="G369" s="1013" t="s">
        <v>2159</v>
      </c>
      <c r="H369" s="972"/>
      <c r="I369" s="975"/>
      <c r="J369" s="975"/>
      <c r="K369" s="975"/>
      <c r="L369" s="153" t="str">
        <f t="shared" si="18"/>
        <v>6443</v>
      </c>
      <c r="M369" s="154" t="str">
        <f t="shared" si="19"/>
        <v>UNIFORMES &amp; LESSIVE</v>
      </c>
      <c r="N369" s="155">
        <f>+IF(OR($Q369=Parametres!$G$2,$Q369=Parametres!$G$3),I369,C369)</f>
        <v>2600</v>
      </c>
      <c r="O369" s="155">
        <f>+IF(OR($Q369=Parametres!$G$2,$Q369=Parametres!$G$3),J369,D369)</f>
        <v>1300</v>
      </c>
      <c r="P369" s="155">
        <f>+IF(OR($Q369=Parametres!$G$2,$Q369=Parametres!$G$3),K369,E369)</f>
        <v>3900</v>
      </c>
      <c r="Q369" s="154" t="str">
        <f t="shared" si="26"/>
        <v>7-Dépenses</v>
      </c>
      <c r="R369" s="153" t="str">
        <f t="shared" si="26"/>
        <v>6143</v>
      </c>
      <c r="S369" s="154">
        <f t="shared" si="26"/>
        <v>0</v>
      </c>
      <c r="T369" s="156" t="str">
        <f>+VLOOKUP($L369,Data_Validation!$A:$D,1,0)</f>
        <v>6443</v>
      </c>
      <c r="U369" s="156" t="str">
        <f>+VLOOKUP($L369,Data_Validation!$A:$D,3,0)</f>
        <v>Service</v>
      </c>
      <c r="V369" s="156" t="str">
        <f>+VLOOKUP($L369,Data_Validation!$A:$D,4,0)</f>
        <v>Uniformes</v>
      </c>
      <c r="W369" s="156" t="str">
        <f>+VLOOKUP($L369,Data_Validation!$A:$E,5,0)</f>
        <v>$</v>
      </c>
      <c r="X369" s="156">
        <f>+VLOOKUP($L369,Data_Validation!$A:$F,6,0)</f>
        <v>0</v>
      </c>
    </row>
    <row r="370" spans="1:24" ht="15" hidden="1" customHeight="1">
      <c r="A370" s="1013" t="s">
        <v>934</v>
      </c>
      <c r="B370" s="1013" t="s">
        <v>2572</v>
      </c>
      <c r="C370" s="1015">
        <v>5573.34</v>
      </c>
      <c r="D370" s="1015">
        <v>2786.67</v>
      </c>
      <c r="E370" s="1015">
        <v>8360.01</v>
      </c>
      <c r="F370" s="1013" t="s">
        <v>401</v>
      </c>
      <c r="G370" s="1013" t="s">
        <v>2561</v>
      </c>
      <c r="H370" s="972"/>
      <c r="I370" s="975"/>
      <c r="J370" s="975"/>
      <c r="K370" s="975"/>
      <c r="L370" s="153" t="str">
        <f t="shared" si="18"/>
        <v>6444</v>
      </c>
      <c r="M370" s="154" t="str">
        <f t="shared" si="19"/>
        <v>FORMATION</v>
      </c>
      <c r="N370" s="155">
        <f>+IF(OR($Q370=Parametres!$G$2,$Q370=Parametres!$G$3),I370,C370)</f>
        <v>5573.34</v>
      </c>
      <c r="O370" s="155">
        <f>+IF(OR($Q370=Parametres!$G$2,$Q370=Parametres!$G$3),J370,D370)</f>
        <v>2786.67</v>
      </c>
      <c r="P370" s="155">
        <f>+IF(OR($Q370=Parametres!$G$2,$Q370=Parametres!$G$3),K370,E370)</f>
        <v>8360.01</v>
      </c>
      <c r="Q370" s="154" t="str">
        <f t="shared" ref="Q370:S385" si="27">+F370</f>
        <v>7-Dépenses</v>
      </c>
      <c r="R370" s="153" t="str">
        <f t="shared" si="27"/>
        <v>6144</v>
      </c>
      <c r="S370" s="154">
        <f t="shared" si="27"/>
        <v>0</v>
      </c>
      <c r="T370" s="156" t="str">
        <f>+VLOOKUP($L370,Data_Validation!$A:$D,1,0)</f>
        <v>6444</v>
      </c>
      <c r="U370" s="156" t="str">
        <f>+VLOOKUP($L370,Data_Validation!$A:$D,3,0)</f>
        <v>Service</v>
      </c>
      <c r="V370" s="156" t="str">
        <f>+VLOOKUP($L370,Data_Validation!$A:$D,4,0)</f>
        <v>Formation</v>
      </c>
      <c r="W370" s="156" t="str">
        <f>+VLOOKUP($L370,Data_Validation!$A:$E,5,0)</f>
        <v>$</v>
      </c>
      <c r="X370" s="156">
        <f>+VLOOKUP($L370,Data_Validation!$A:$F,6,0)</f>
        <v>0</v>
      </c>
    </row>
    <row r="371" spans="1:24" ht="15" hidden="1" customHeight="1">
      <c r="A371" s="1013" t="s">
        <v>1527</v>
      </c>
      <c r="B371" s="1013" t="s">
        <v>2801</v>
      </c>
      <c r="C371" s="1015">
        <v>21901.83</v>
      </c>
      <c r="D371" s="1015">
        <v>12606.24</v>
      </c>
      <c r="E371" s="1015">
        <v>34508.07</v>
      </c>
      <c r="F371" s="1013" t="s">
        <v>401</v>
      </c>
      <c r="G371" s="1013" t="s">
        <v>2632</v>
      </c>
      <c r="H371" s="972"/>
      <c r="I371" s="975"/>
      <c r="J371" s="975"/>
      <c r="K371" s="975"/>
      <c r="L371" s="153" t="str">
        <f t="shared" si="18"/>
        <v>6445</v>
      </c>
      <c r="M371" s="154" t="str">
        <f t="shared" si="19"/>
        <v>LOCATION COURTOISIE</v>
      </c>
      <c r="N371" s="155">
        <f>+IF(OR($Q371=Parametres!$G$2,$Q371=Parametres!$G$3),I371,C371)</f>
        <v>21901.83</v>
      </c>
      <c r="O371" s="155">
        <f>+IF(OR($Q371=Parametres!$G$2,$Q371=Parametres!$G$3),J371,D371)</f>
        <v>12606.24</v>
      </c>
      <c r="P371" s="155">
        <f>+IF(OR($Q371=Parametres!$G$2,$Q371=Parametres!$G$3),K371,E371)</f>
        <v>34508.07</v>
      </c>
      <c r="Q371" s="154" t="str">
        <f t="shared" si="27"/>
        <v>7-Dépenses</v>
      </c>
      <c r="R371" s="153" t="str">
        <f t="shared" si="27"/>
        <v>6145</v>
      </c>
      <c r="S371" s="154">
        <f t="shared" si="27"/>
        <v>0</v>
      </c>
      <c r="T371" s="156" t="str">
        <f>+VLOOKUP($L371,Data_Validation!$A:$D,1,0)</f>
        <v>6445</v>
      </c>
      <c r="U371" s="156" t="str">
        <f>+VLOOKUP($L371,Data_Validation!$A:$D,3,0)</f>
        <v>Service</v>
      </c>
      <c r="V371" s="156" t="str">
        <f>+VLOOKUP($L371,Data_Validation!$A:$D,4,0)</f>
        <v>Frais véhicules de cie</v>
      </c>
      <c r="W371" s="156" t="str">
        <f>+VLOOKUP($L371,Data_Validation!$A:$E,5,0)</f>
        <v>$</v>
      </c>
      <c r="X371" s="156">
        <f>+VLOOKUP($L371,Data_Validation!$A:$F,6,0)</f>
        <v>0</v>
      </c>
    </row>
    <row r="372" spans="1:24" ht="15" hidden="1" customHeight="1">
      <c r="A372" s="1013" t="s">
        <v>1180</v>
      </c>
      <c r="B372" s="1013" t="s">
        <v>2609</v>
      </c>
      <c r="C372" s="1015">
        <v>367.53</v>
      </c>
      <c r="D372" s="1015">
        <v>52.75</v>
      </c>
      <c r="E372" s="1015">
        <v>420.28</v>
      </c>
      <c r="F372" s="1013" t="s">
        <v>401</v>
      </c>
      <c r="G372" s="1013" t="s">
        <v>2581</v>
      </c>
      <c r="H372" s="972"/>
      <c r="I372" s="975"/>
      <c r="J372" s="975"/>
      <c r="K372" s="975"/>
      <c r="L372" s="153" t="str">
        <f t="shared" si="18"/>
        <v>6447</v>
      </c>
      <c r="M372" s="154" t="str">
        <f t="shared" si="19"/>
        <v>FRET/EXPRESS/TRANS. PAR CAMION</v>
      </c>
      <c r="N372" s="155">
        <f>+IF(OR($Q372=Parametres!$G$2,$Q372=Parametres!$G$3),I372,C372)</f>
        <v>367.53</v>
      </c>
      <c r="O372" s="155">
        <f>+IF(OR($Q372=Parametres!$G$2,$Q372=Parametres!$G$3),J372,D372)</f>
        <v>52.75</v>
      </c>
      <c r="P372" s="155">
        <f>+IF(OR($Q372=Parametres!$G$2,$Q372=Parametres!$G$3),K372,E372)</f>
        <v>420.28</v>
      </c>
      <c r="Q372" s="154" t="str">
        <f t="shared" si="27"/>
        <v>7-Dépenses</v>
      </c>
      <c r="R372" s="153" t="str">
        <f t="shared" si="27"/>
        <v>6147</v>
      </c>
      <c r="S372" s="154">
        <f t="shared" si="27"/>
        <v>0</v>
      </c>
      <c r="T372" s="156" t="str">
        <f>+VLOOKUP($L372,Data_Validation!$A:$D,1,0)</f>
        <v>6447</v>
      </c>
      <c r="U372" s="156" t="str">
        <f>+VLOOKUP($L372,Data_Validation!$A:$D,3,0)</f>
        <v>Service</v>
      </c>
      <c r="V372" s="156" t="str">
        <f>+VLOOKUP($L372,Data_Validation!$A:$D,4,0)</f>
        <v>Frais postaux</v>
      </c>
      <c r="W372" s="156" t="str">
        <f>+VLOOKUP($L372,Data_Validation!$A:$E,5,0)</f>
        <v>$</v>
      </c>
      <c r="X372" s="156">
        <f>+VLOOKUP($L372,Data_Validation!$A:$F,6,0)</f>
        <v>0</v>
      </c>
    </row>
    <row r="373" spans="1:24" ht="15" hidden="1" customHeight="1">
      <c r="A373" s="1013" t="s">
        <v>1286</v>
      </c>
      <c r="B373" s="1013" t="s">
        <v>2745</v>
      </c>
      <c r="C373" s="1015">
        <v>6762.78</v>
      </c>
      <c r="D373" s="1015">
        <v>4526.45</v>
      </c>
      <c r="E373" s="1015">
        <v>11289.23</v>
      </c>
      <c r="F373" s="1013" t="s">
        <v>401</v>
      </c>
      <c r="G373" s="1013" t="s">
        <v>2702</v>
      </c>
      <c r="H373" s="972"/>
      <c r="I373" s="975"/>
      <c r="J373" s="975"/>
      <c r="K373" s="975"/>
      <c r="L373" s="153" t="str">
        <f t="shared" si="18"/>
        <v>6451</v>
      </c>
      <c r="M373" s="154" t="str">
        <f t="shared" si="19"/>
        <v>DEP. DU TRAITEMENT DES DONNEES</v>
      </c>
      <c r="N373" s="155">
        <f>+IF(OR($Q373=Parametres!$G$2,$Q373=Parametres!$G$3),I373,C373)</f>
        <v>6762.78</v>
      </c>
      <c r="O373" s="155">
        <f>+IF(OR($Q373=Parametres!$G$2,$Q373=Parametres!$G$3),J373,D373)</f>
        <v>4526.45</v>
      </c>
      <c r="P373" s="155">
        <f>+IF(OR($Q373=Parametres!$G$2,$Q373=Parametres!$G$3),K373,E373)</f>
        <v>11289.23</v>
      </c>
      <c r="Q373" s="154" t="str">
        <f t="shared" si="27"/>
        <v>7-Dépenses</v>
      </c>
      <c r="R373" s="153" t="str">
        <f t="shared" si="27"/>
        <v>6151</v>
      </c>
      <c r="S373" s="154">
        <f t="shared" si="27"/>
        <v>0</v>
      </c>
      <c r="T373" s="156" t="str">
        <f>+VLOOKUP($L373,Data_Validation!$A:$D,1,0)</f>
        <v>6451</v>
      </c>
      <c r="U373" s="156" t="str">
        <f>+VLOOKUP($L373,Data_Validation!$A:$D,3,0)</f>
        <v>Service</v>
      </c>
      <c r="V373" s="156" t="str">
        <f>+VLOOKUP($L373,Data_Validation!$A:$D,4,0)</f>
        <v>Informatique</v>
      </c>
      <c r="W373" s="156" t="str">
        <f>+VLOOKUP($L373,Data_Validation!$A:$E,5,0)</f>
        <v>$</v>
      </c>
      <c r="X373" s="156">
        <f>+VLOOKUP($L373,Data_Validation!$A:$F,6,0)</f>
        <v>0</v>
      </c>
    </row>
    <row r="374" spans="1:24" ht="15.75" hidden="1" customHeight="1">
      <c r="A374" s="1013" t="s">
        <v>1206</v>
      </c>
      <c r="B374" s="1013" t="s">
        <v>2644</v>
      </c>
      <c r="C374" s="1015">
        <v>888</v>
      </c>
      <c r="D374" s="1015">
        <v>444</v>
      </c>
      <c r="E374" s="1015">
        <v>1332</v>
      </c>
      <c r="F374" s="1013" t="s">
        <v>401</v>
      </c>
      <c r="G374" s="1013" t="s">
        <v>2588</v>
      </c>
      <c r="H374" s="972"/>
      <c r="I374" s="975"/>
      <c r="J374" s="975"/>
      <c r="K374" s="975"/>
      <c r="L374" s="153" t="str">
        <f t="shared" si="18"/>
        <v>6452</v>
      </c>
      <c r="M374" s="154" t="str">
        <f t="shared" si="19"/>
        <v>PAPETERIE</v>
      </c>
      <c r="N374" s="155">
        <f>+IF(OR($Q374=Parametres!$G$2,$Q374=Parametres!$G$3),I374,C374)</f>
        <v>888</v>
      </c>
      <c r="O374" s="155">
        <f>+IF(OR($Q374=Parametres!$G$2,$Q374=Parametres!$G$3),J374,D374)</f>
        <v>444</v>
      </c>
      <c r="P374" s="155">
        <f>+IF(OR($Q374=Parametres!$G$2,$Q374=Parametres!$G$3),K374,E374)</f>
        <v>1332</v>
      </c>
      <c r="Q374" s="154" t="str">
        <f t="shared" si="27"/>
        <v>7-Dépenses</v>
      </c>
      <c r="R374" s="153" t="str">
        <f t="shared" si="27"/>
        <v>6152</v>
      </c>
      <c r="S374" s="154">
        <f t="shared" si="27"/>
        <v>0</v>
      </c>
      <c r="T374" s="156" t="str">
        <f>+VLOOKUP($L374,Data_Validation!$A:$D,1,0)</f>
        <v>6452</v>
      </c>
      <c r="U374" s="156" t="str">
        <f>+VLOOKUP($L374,Data_Validation!$A:$D,3,0)</f>
        <v>Service</v>
      </c>
      <c r="V374" s="156" t="str">
        <f>+VLOOKUP($L374,Data_Validation!$A:$D,4,0)</f>
        <v>Papeterie</v>
      </c>
      <c r="W374" s="156" t="str">
        <f>+VLOOKUP($L374,Data_Validation!$A:$E,5,0)</f>
        <v>$</v>
      </c>
      <c r="X374" s="156">
        <f>+VLOOKUP($L374,Data_Validation!$A:$F,6,0)</f>
        <v>0</v>
      </c>
    </row>
    <row r="375" spans="1:24" ht="15" hidden="1" customHeight="1">
      <c r="A375" s="1013" t="s">
        <v>1154</v>
      </c>
      <c r="B375" s="1013" t="s">
        <v>2645</v>
      </c>
      <c r="C375" s="1015">
        <v>1012.38</v>
      </c>
      <c r="D375" s="1015">
        <v>585.75</v>
      </c>
      <c r="E375" s="1015">
        <v>1598.13</v>
      </c>
      <c r="F375" s="1013" t="s">
        <v>401</v>
      </c>
      <c r="G375" s="1013" t="s">
        <v>2592</v>
      </c>
      <c r="H375" s="972"/>
      <c r="I375" s="975"/>
      <c r="J375" s="975"/>
      <c r="K375" s="975"/>
      <c r="L375" s="153" t="str">
        <f t="shared" si="18"/>
        <v>6453</v>
      </c>
      <c r="M375" s="154" t="str">
        <f t="shared" si="19"/>
        <v>TELEPHONE ET TELEX</v>
      </c>
      <c r="N375" s="155">
        <f>+IF(OR($Q375=Parametres!$G$2,$Q375=Parametres!$G$3),I375,C375)</f>
        <v>1012.38</v>
      </c>
      <c r="O375" s="155">
        <f>+IF(OR($Q375=Parametres!$G$2,$Q375=Parametres!$G$3),J375,D375)</f>
        <v>585.75</v>
      </c>
      <c r="P375" s="155">
        <f>+IF(OR($Q375=Parametres!$G$2,$Q375=Parametres!$G$3),K375,E375)</f>
        <v>1598.13</v>
      </c>
      <c r="Q375" s="154" t="str">
        <f t="shared" si="27"/>
        <v>7-Dépenses</v>
      </c>
      <c r="R375" s="153" t="str">
        <f t="shared" si="27"/>
        <v>6153</v>
      </c>
      <c r="S375" s="154">
        <f t="shared" si="27"/>
        <v>0</v>
      </c>
      <c r="T375" s="156" t="str">
        <f>+VLOOKUP($L375,Data_Validation!$A:$D,1,0)</f>
        <v>6453</v>
      </c>
      <c r="U375" s="156" t="str">
        <f>+VLOOKUP($L375,Data_Validation!$A:$D,3,0)</f>
        <v>Service</v>
      </c>
      <c r="V375" s="156" t="str">
        <f>+VLOOKUP($L375,Data_Validation!$A:$D,4,0)</f>
        <v>Téléphone</v>
      </c>
      <c r="W375" s="156" t="str">
        <f>+VLOOKUP($L375,Data_Validation!$A:$E,5,0)</f>
        <v>$</v>
      </c>
      <c r="X375" s="156">
        <f>+VLOOKUP($L375,Data_Validation!$A:$F,6,0)</f>
        <v>0</v>
      </c>
    </row>
    <row r="376" spans="1:24" ht="15" hidden="1" customHeight="1">
      <c r="A376" s="1013" t="s">
        <v>1237</v>
      </c>
      <c r="B376" s="1013" t="s">
        <v>2700</v>
      </c>
      <c r="C376" s="1015">
        <v>2695.78</v>
      </c>
      <c r="D376" s="1015">
        <v>1127.5899999999999</v>
      </c>
      <c r="E376" s="1015">
        <v>3823.37</v>
      </c>
      <c r="F376" s="1013" t="s">
        <v>401</v>
      </c>
      <c r="G376" s="1013" t="s">
        <v>2637</v>
      </c>
      <c r="H376" s="972"/>
      <c r="I376" s="975"/>
      <c r="J376" s="975"/>
      <c r="K376" s="975"/>
      <c r="L376" s="153" t="str">
        <f t="shared" si="18"/>
        <v>6455</v>
      </c>
      <c r="M376" s="154" t="str">
        <f t="shared" si="19"/>
        <v>DEPENSES DIVERS</v>
      </c>
      <c r="N376" s="155">
        <f>+IF(OR($Q376=Parametres!$G$2,$Q376=Parametres!$G$3),I376,C376)</f>
        <v>2695.78</v>
      </c>
      <c r="O376" s="155">
        <f>+IF(OR($Q376=Parametres!$G$2,$Q376=Parametres!$G$3),J376,D376)</f>
        <v>1127.5899999999999</v>
      </c>
      <c r="P376" s="155">
        <f>+IF(OR($Q376=Parametres!$G$2,$Q376=Parametres!$G$3),K376,E376)</f>
        <v>3823.37</v>
      </c>
      <c r="Q376" s="154" t="str">
        <f t="shared" si="27"/>
        <v>7-Dépenses</v>
      </c>
      <c r="R376" s="153" t="str">
        <f t="shared" si="27"/>
        <v>6155</v>
      </c>
      <c r="S376" s="154">
        <f t="shared" si="27"/>
        <v>0</v>
      </c>
      <c r="T376" s="156" t="str">
        <f>+VLOOKUP($L376,Data_Validation!$A:$D,1,0)</f>
        <v>6455</v>
      </c>
      <c r="U376" s="156" t="str">
        <f>+VLOOKUP($L376,Data_Validation!$A:$D,3,0)</f>
        <v>Service</v>
      </c>
      <c r="V376" s="156" t="str">
        <f>+VLOOKUP($L376,Data_Validation!$A:$D,4,0)</f>
        <v>Divers</v>
      </c>
      <c r="W376" s="156" t="str">
        <f>+VLOOKUP($L376,Data_Validation!$A:$E,5,0)</f>
        <v>$</v>
      </c>
      <c r="X376" s="156">
        <f>+VLOOKUP($L376,Data_Validation!$A:$F,6,0)</f>
        <v>0</v>
      </c>
    </row>
    <row r="377" spans="1:24" ht="15" hidden="1" customHeight="1">
      <c r="A377" s="1013" t="s">
        <v>1292</v>
      </c>
      <c r="B377" s="1013" t="s">
        <v>2656</v>
      </c>
      <c r="C377" s="1015">
        <v>2916.96</v>
      </c>
      <c r="D377" s="1015">
        <v>1458.48</v>
      </c>
      <c r="E377" s="1015">
        <v>4375.4399999999996</v>
      </c>
      <c r="F377" s="1013" t="s">
        <v>401</v>
      </c>
      <c r="G377" s="1013" t="s">
        <v>2470</v>
      </c>
      <c r="H377" s="972"/>
      <c r="I377" s="975"/>
      <c r="J377" s="975"/>
      <c r="K377" s="975"/>
      <c r="L377" s="153" t="str">
        <f t="shared" si="18"/>
        <v>6456</v>
      </c>
      <c r="M377" s="154" t="str">
        <f t="shared" si="19"/>
        <v>FRAIS REPRESENTATION - SERVICE</v>
      </c>
      <c r="N377" s="155">
        <f>+IF(OR($Q377=Parametres!$G$2,$Q377=Parametres!$G$3),I377,C377)</f>
        <v>2916.96</v>
      </c>
      <c r="O377" s="155">
        <f>+IF(OR($Q377=Parametres!$G$2,$Q377=Parametres!$G$3),J377,D377)</f>
        <v>1458.48</v>
      </c>
      <c r="P377" s="155">
        <f>+IF(OR($Q377=Parametres!$G$2,$Q377=Parametres!$G$3),K377,E377)</f>
        <v>4375.4399999999996</v>
      </c>
      <c r="Q377" s="154" t="str">
        <f t="shared" si="27"/>
        <v>7-Dépenses</v>
      </c>
      <c r="R377" s="153" t="str">
        <f t="shared" si="27"/>
        <v>6156</v>
      </c>
      <c r="S377" s="154">
        <f t="shared" si="27"/>
        <v>0</v>
      </c>
      <c r="T377" s="156" t="str">
        <f>+VLOOKUP($L377,Data_Validation!$A:$D,1,0)</f>
        <v>6456</v>
      </c>
      <c r="U377" s="156" t="str">
        <f>+VLOOKUP($L377,Data_Validation!$A:$D,3,0)</f>
        <v>Service</v>
      </c>
      <c r="V377" s="156" t="str">
        <f>+VLOOKUP($L377,Data_Validation!$A:$D,4,0)</f>
        <v>Frais de déplacement</v>
      </c>
      <c r="W377" s="156" t="str">
        <f>+VLOOKUP($L377,Data_Validation!$A:$E,5,0)</f>
        <v>$</v>
      </c>
      <c r="X377" s="156">
        <f>+VLOOKUP($L377,Data_Validation!$A:$F,6,0)</f>
        <v>0</v>
      </c>
    </row>
    <row r="378" spans="1:24" ht="15" hidden="1" customHeight="1">
      <c r="A378" s="1013" t="s">
        <v>1308</v>
      </c>
      <c r="B378" s="1013" t="s">
        <v>2736</v>
      </c>
      <c r="C378" s="1015">
        <v>19967.8</v>
      </c>
      <c r="D378" s="1015">
        <v>9523.6200000000008</v>
      </c>
      <c r="E378" s="1015">
        <v>29491.42</v>
      </c>
      <c r="F378" s="1013" t="s">
        <v>401</v>
      </c>
      <c r="G378" s="1013" t="s">
        <v>2662</v>
      </c>
      <c r="H378" s="972"/>
      <c r="I378" s="975"/>
      <c r="J378" s="975"/>
      <c r="K378" s="975"/>
      <c r="L378" s="153" t="str">
        <f t="shared" si="18"/>
        <v>6459</v>
      </c>
      <c r="M378" s="154" t="str">
        <f t="shared" si="19"/>
        <v>SERVICE EXTERIEUR</v>
      </c>
      <c r="N378" s="155">
        <f>+IF(OR($Q378=Parametres!$G$2,$Q378=Parametres!$G$3),I378,C378)</f>
        <v>19967.8</v>
      </c>
      <c r="O378" s="155">
        <f>+IF(OR($Q378=Parametres!$G$2,$Q378=Parametres!$G$3),J378,D378)</f>
        <v>9523.6200000000008</v>
      </c>
      <c r="P378" s="155">
        <f>+IF(OR($Q378=Parametres!$G$2,$Q378=Parametres!$G$3),K378,E378)</f>
        <v>29491.42</v>
      </c>
      <c r="Q378" s="154" t="str">
        <f t="shared" si="27"/>
        <v>7-Dépenses</v>
      </c>
      <c r="R378" s="153" t="str">
        <f t="shared" si="27"/>
        <v>6159</v>
      </c>
      <c r="S378" s="154">
        <f t="shared" si="27"/>
        <v>0</v>
      </c>
      <c r="T378" s="156" t="str">
        <f>+VLOOKUP($L378,Data_Validation!$A:$D,1,0)</f>
        <v>6459</v>
      </c>
      <c r="U378" s="156" t="str">
        <f>+VLOOKUP($L378,Data_Validation!$A:$D,3,0)</f>
        <v>Service</v>
      </c>
      <c r="V378" s="156" t="str">
        <f>+VLOOKUP($L378,Data_Validation!$A:$D,4,0)</f>
        <v>Services extérieurs</v>
      </c>
      <c r="W378" s="156" t="str">
        <f>+VLOOKUP($L378,Data_Validation!$A:$E,5,0)</f>
        <v>$</v>
      </c>
      <c r="X378" s="156">
        <f>+VLOOKUP($L378,Data_Validation!$A:$F,6,0)</f>
        <v>0</v>
      </c>
    </row>
    <row r="379" spans="1:24" ht="15.75" hidden="1" customHeight="1">
      <c r="A379" s="1013" t="s">
        <v>1333</v>
      </c>
      <c r="B379" s="1013" t="s">
        <v>2716</v>
      </c>
      <c r="C379" s="1015">
        <v>4320</v>
      </c>
      <c r="D379" s="1015">
        <v>2160</v>
      </c>
      <c r="E379" s="1015">
        <v>6480</v>
      </c>
      <c r="F379" s="1013" t="s">
        <v>401</v>
      </c>
      <c r="G379" s="1013" t="s">
        <v>2653</v>
      </c>
      <c r="H379" s="972"/>
      <c r="I379" s="975"/>
      <c r="J379" s="975"/>
      <c r="K379" s="975"/>
      <c r="L379" s="153" t="str">
        <f t="shared" si="18"/>
        <v>6461</v>
      </c>
      <c r="M379" s="154" t="str">
        <f t="shared" si="19"/>
        <v>DEPRECIATION EQUIP. &amp; FIXTURES</v>
      </c>
      <c r="N379" s="155">
        <f>+IF(OR($Q379=Parametres!$G$2,$Q379=Parametres!$G$3),I379,C379)</f>
        <v>4320</v>
      </c>
      <c r="O379" s="155">
        <f>+IF(OR($Q379=Parametres!$G$2,$Q379=Parametres!$G$3),J379,D379)</f>
        <v>2160</v>
      </c>
      <c r="P379" s="155">
        <f>+IF(OR($Q379=Parametres!$G$2,$Q379=Parametres!$G$3),K379,E379)</f>
        <v>6480</v>
      </c>
      <c r="Q379" s="154" t="str">
        <f t="shared" si="27"/>
        <v>7-Dépenses</v>
      </c>
      <c r="R379" s="153" t="str">
        <f t="shared" si="27"/>
        <v>6161</v>
      </c>
      <c r="S379" s="154">
        <f t="shared" si="27"/>
        <v>0</v>
      </c>
      <c r="T379" s="156" t="str">
        <f>+VLOOKUP($L379,Data_Validation!$A:$D,1,0)</f>
        <v>6461</v>
      </c>
      <c r="U379" s="156" t="str">
        <f>+VLOOKUP($L379,Data_Validation!$A:$D,3,0)</f>
        <v>Service</v>
      </c>
      <c r="V379" s="156" t="str">
        <f>+VLOOKUP($L379,Data_Validation!$A:$D,4,0)</f>
        <v>Amortissement</v>
      </c>
      <c r="W379" s="156" t="str">
        <f>+VLOOKUP($L379,Data_Validation!$A:$E,5,0)</f>
        <v>$</v>
      </c>
      <c r="X379" s="156">
        <f>+VLOOKUP($L379,Data_Validation!$A:$F,6,0)</f>
        <v>0</v>
      </c>
    </row>
    <row r="380" spans="1:24" ht="15" hidden="1" customHeight="1">
      <c r="A380" s="1013" t="s">
        <v>936</v>
      </c>
      <c r="B380" s="1013" t="s">
        <v>2607</v>
      </c>
      <c r="C380" s="1015">
        <v>592</v>
      </c>
      <c r="D380" s="1015">
        <v>296</v>
      </c>
      <c r="E380" s="1015">
        <v>888</v>
      </c>
      <c r="F380" s="1013" t="s">
        <v>401</v>
      </c>
      <c r="G380" s="1013" t="s">
        <v>2463</v>
      </c>
      <c r="H380" s="972"/>
      <c r="I380" s="975"/>
      <c r="J380" s="975"/>
      <c r="K380" s="975"/>
      <c r="L380" s="153" t="str">
        <f t="shared" si="18"/>
        <v>6462</v>
      </c>
      <c r="M380" s="154" t="str">
        <f t="shared" si="19"/>
        <v>LOCATION D'EQUIPEMENTS</v>
      </c>
      <c r="N380" s="155">
        <f>+IF(OR($Q380=Parametres!$G$2,$Q380=Parametres!$G$3),I380,C380)</f>
        <v>592</v>
      </c>
      <c r="O380" s="155">
        <f>+IF(OR($Q380=Parametres!$G$2,$Q380=Parametres!$G$3),J380,D380)</f>
        <v>296</v>
      </c>
      <c r="P380" s="155">
        <f>+IF(OR($Q380=Parametres!$G$2,$Q380=Parametres!$G$3),K380,E380)</f>
        <v>888</v>
      </c>
      <c r="Q380" s="154" t="str">
        <f t="shared" si="27"/>
        <v>7-Dépenses</v>
      </c>
      <c r="R380" s="153" t="str">
        <f t="shared" si="27"/>
        <v>6162</v>
      </c>
      <c r="S380" s="154">
        <f t="shared" si="27"/>
        <v>0</v>
      </c>
      <c r="T380" s="156" t="str">
        <f>+VLOOKUP($L380,Data_Validation!$A:$D,1,0)</f>
        <v>6462</v>
      </c>
      <c r="U380" s="156" t="str">
        <f>+VLOOKUP($L380,Data_Validation!$A:$D,3,0)</f>
        <v>Service</v>
      </c>
      <c r="V380" s="156" t="str">
        <f>+VLOOKUP($L380,Data_Validation!$A:$D,4,0)</f>
        <v>Location équipement</v>
      </c>
      <c r="W380" s="156" t="str">
        <f>+VLOOKUP($L380,Data_Validation!$A:$E,5,0)</f>
        <v>$</v>
      </c>
      <c r="X380" s="156">
        <f>+VLOOKUP($L380,Data_Validation!$A:$F,6,0)</f>
        <v>0</v>
      </c>
    </row>
    <row r="381" spans="1:24" ht="15" hidden="1" customHeight="1">
      <c r="A381" s="1013" t="s">
        <v>1168</v>
      </c>
      <c r="B381" s="1013" t="s">
        <v>2638</v>
      </c>
      <c r="C381" s="1015">
        <v>1768</v>
      </c>
      <c r="D381" s="1015">
        <v>884</v>
      </c>
      <c r="E381" s="1015">
        <v>2652</v>
      </c>
      <c r="F381" s="1013" t="s">
        <v>401</v>
      </c>
      <c r="G381" s="1013" t="s">
        <v>2639</v>
      </c>
      <c r="H381" s="972"/>
      <c r="I381" s="975"/>
      <c r="J381" s="975"/>
      <c r="K381" s="975"/>
      <c r="L381" s="153" t="str">
        <f t="shared" si="18"/>
        <v>6463</v>
      </c>
      <c r="M381" s="154" t="str">
        <f t="shared" si="19"/>
        <v>REPARATION &amp; ENT. - EQUIP.</v>
      </c>
      <c r="N381" s="155">
        <f>+IF(OR($Q381=Parametres!$G$2,$Q381=Parametres!$G$3),I381,C381)</f>
        <v>1768</v>
      </c>
      <c r="O381" s="155">
        <f>+IF(OR($Q381=Parametres!$G$2,$Q381=Parametres!$G$3),J381,D381)</f>
        <v>884</v>
      </c>
      <c r="P381" s="155">
        <f>+IF(OR($Q381=Parametres!$G$2,$Q381=Parametres!$G$3),K381,E381)</f>
        <v>2652</v>
      </c>
      <c r="Q381" s="154" t="str">
        <f t="shared" si="27"/>
        <v>7-Dépenses</v>
      </c>
      <c r="R381" s="153" t="str">
        <f t="shared" si="27"/>
        <v>6163</v>
      </c>
      <c r="S381" s="154">
        <f t="shared" si="27"/>
        <v>0</v>
      </c>
      <c r="T381" s="156" t="str">
        <f>+VLOOKUP($L381,Data_Validation!$A:$D,1,0)</f>
        <v>6463</v>
      </c>
      <c r="U381" s="156" t="str">
        <f>+VLOOKUP($L381,Data_Validation!$A:$D,3,0)</f>
        <v>Service</v>
      </c>
      <c r="V381" s="156" t="str">
        <f>+VLOOKUP($L381,Data_Validation!$A:$D,4,0)</f>
        <v>Réparation équipement</v>
      </c>
      <c r="W381" s="156" t="str">
        <f>+VLOOKUP($L381,Data_Validation!$A:$E,5,0)</f>
        <v>$</v>
      </c>
      <c r="X381" s="156">
        <f>+VLOOKUP($L381,Data_Validation!$A:$F,6,0)</f>
        <v>0</v>
      </c>
    </row>
    <row r="382" spans="1:24" ht="15" hidden="1" customHeight="1">
      <c r="A382" s="1013" t="s">
        <v>1311</v>
      </c>
      <c r="B382" s="1013" t="s">
        <v>2670</v>
      </c>
      <c r="C382" s="1015">
        <v>1761.6</v>
      </c>
      <c r="D382" s="1015">
        <v>880.8</v>
      </c>
      <c r="E382" s="1015">
        <v>2642.4</v>
      </c>
      <c r="F382" s="1013" t="s">
        <v>401</v>
      </c>
      <c r="G382" s="1013" t="s">
        <v>2604</v>
      </c>
      <c r="H382" s="972"/>
      <c r="I382" s="975"/>
      <c r="J382" s="975"/>
      <c r="K382" s="975"/>
      <c r="L382" s="153" t="str">
        <f t="shared" si="18"/>
        <v>6481</v>
      </c>
      <c r="M382" s="154" t="str">
        <f t="shared" si="19"/>
        <v>CHAUFFAGE,ELECTRICITE,EAU-SERVICE</v>
      </c>
      <c r="N382" s="155">
        <f>+IF(OR($Q382=Parametres!$G$2,$Q382=Parametres!$G$3),I382,C382)</f>
        <v>1761.6</v>
      </c>
      <c r="O382" s="155">
        <f>+IF(OR($Q382=Parametres!$G$2,$Q382=Parametres!$G$3),J382,D382)</f>
        <v>880.8</v>
      </c>
      <c r="P382" s="155">
        <f>+IF(OR($Q382=Parametres!$G$2,$Q382=Parametres!$G$3),K382,E382)</f>
        <v>2642.4</v>
      </c>
      <c r="Q382" s="154" t="str">
        <f t="shared" si="27"/>
        <v>7-Dépenses</v>
      </c>
      <c r="R382" s="153" t="str">
        <f t="shared" si="27"/>
        <v>6181</v>
      </c>
      <c r="S382" s="154">
        <f t="shared" si="27"/>
        <v>0</v>
      </c>
      <c r="T382" s="156" t="str">
        <f>+VLOOKUP($L382,Data_Validation!$A:$D,1,0)</f>
        <v>6481</v>
      </c>
      <c r="U382" s="156" t="str">
        <f>+VLOOKUP($L382,Data_Validation!$A:$D,3,0)</f>
        <v>Service</v>
      </c>
      <c r="V382" s="156" t="str">
        <f>+VLOOKUP($L382,Data_Validation!$A:$D,4,0)</f>
        <v>Chauffage, éclairage</v>
      </c>
      <c r="W382" s="156" t="str">
        <f>+VLOOKUP($L382,Data_Validation!$A:$E,5,0)</f>
        <v>$</v>
      </c>
      <c r="X382" s="156">
        <f>+VLOOKUP($L382,Data_Validation!$A:$F,6,0)</f>
        <v>0</v>
      </c>
    </row>
    <row r="383" spans="1:24" ht="15.75" hidden="1" customHeight="1">
      <c r="A383" s="1013" t="s">
        <v>1452</v>
      </c>
      <c r="B383" s="1013" t="s">
        <v>2756</v>
      </c>
      <c r="C383" s="1015">
        <v>12480.03</v>
      </c>
      <c r="D383" s="1015">
        <v>6240.04</v>
      </c>
      <c r="E383" s="1015">
        <v>18720.07</v>
      </c>
      <c r="F383" s="1013" t="s">
        <v>401</v>
      </c>
      <c r="G383" s="1013" t="s">
        <v>2709</v>
      </c>
      <c r="H383" s="972"/>
      <c r="I383" s="975"/>
      <c r="J383" s="975"/>
      <c r="K383" s="975"/>
      <c r="L383" s="153" t="str">
        <f t="shared" si="18"/>
        <v>6482</v>
      </c>
      <c r="M383" s="154" t="str">
        <f t="shared" si="19"/>
        <v>LOYER - SERVICE</v>
      </c>
      <c r="N383" s="155">
        <f>+IF(OR($Q383=Parametres!$G$2,$Q383=Parametres!$G$3),I383,C383)</f>
        <v>12480.03</v>
      </c>
      <c r="O383" s="155">
        <f>+IF(OR($Q383=Parametres!$G$2,$Q383=Parametres!$G$3),J383,D383)</f>
        <v>6240.04</v>
      </c>
      <c r="P383" s="155">
        <f>+IF(OR($Q383=Parametres!$G$2,$Q383=Parametres!$G$3),K383,E383)</f>
        <v>18720.07</v>
      </c>
      <c r="Q383" s="154" t="str">
        <f t="shared" si="27"/>
        <v>7-Dépenses</v>
      </c>
      <c r="R383" s="153" t="str">
        <f t="shared" si="27"/>
        <v>6182</v>
      </c>
      <c r="S383" s="154">
        <f t="shared" si="27"/>
        <v>0</v>
      </c>
      <c r="T383" s="156" t="str">
        <f>+VLOOKUP($L383,Data_Validation!$A:$D,1,0)</f>
        <v>6482</v>
      </c>
      <c r="U383" s="156" t="str">
        <f>+VLOOKUP($L383,Data_Validation!$A:$D,3,0)</f>
        <v>Service</v>
      </c>
      <c r="V383" s="156" t="str">
        <f>+VLOOKUP($L383,Data_Validation!$A:$D,4,0)</f>
        <v>Loyer</v>
      </c>
      <c r="W383" s="156" t="str">
        <f>+VLOOKUP($L383,Data_Validation!$A:$E,5,0)</f>
        <v>$</v>
      </c>
      <c r="X383" s="156">
        <f>+VLOOKUP($L383,Data_Validation!$A:$F,6,0)</f>
        <v>0</v>
      </c>
    </row>
    <row r="384" spans="1:24" ht="15" hidden="1" customHeight="1">
      <c r="A384" s="1013" t="s">
        <v>1347</v>
      </c>
      <c r="B384" s="1013" t="s">
        <v>2657</v>
      </c>
      <c r="C384" s="1015">
        <v>720</v>
      </c>
      <c r="D384" s="1015">
        <v>360</v>
      </c>
      <c r="E384" s="1015">
        <v>1080</v>
      </c>
      <c r="F384" s="1013" t="s">
        <v>401</v>
      </c>
      <c r="G384" s="1013" t="s">
        <v>2594</v>
      </c>
      <c r="H384" s="972"/>
      <c r="I384" s="975"/>
      <c r="J384" s="975"/>
      <c r="K384" s="975"/>
      <c r="L384" s="153" t="str">
        <f t="shared" si="18"/>
        <v>6486</v>
      </c>
      <c r="M384" s="154" t="str">
        <f t="shared" si="19"/>
        <v>ASSURANCE BATISSE &amp; AMEL.-SERVICE</v>
      </c>
      <c r="N384" s="155">
        <f>+IF(OR($Q384=Parametres!$G$2,$Q384=Parametres!$G$3),I384,C384)</f>
        <v>720</v>
      </c>
      <c r="O384" s="155">
        <f>+IF(OR($Q384=Parametres!$G$2,$Q384=Parametres!$G$3),J384,D384)</f>
        <v>360</v>
      </c>
      <c r="P384" s="155">
        <f>+IF(OR($Q384=Parametres!$G$2,$Q384=Parametres!$G$3),K384,E384)</f>
        <v>1080</v>
      </c>
      <c r="Q384" s="154" t="str">
        <f t="shared" si="27"/>
        <v>7-Dépenses</v>
      </c>
      <c r="R384" s="153" t="str">
        <f t="shared" si="27"/>
        <v>6186</v>
      </c>
      <c r="S384" s="154">
        <f t="shared" si="27"/>
        <v>0</v>
      </c>
      <c r="T384" s="156" t="str">
        <f>+VLOOKUP($L384,Data_Validation!$A:$D,1,0)</f>
        <v>6486</v>
      </c>
      <c r="U384" s="156" t="str">
        <f>+VLOOKUP($L384,Data_Validation!$A:$D,3,0)</f>
        <v>Service</v>
      </c>
      <c r="V384" s="156" t="str">
        <f>+VLOOKUP($L384,Data_Validation!$A:$D,4,0)</f>
        <v>Assurances</v>
      </c>
      <c r="W384" s="156" t="str">
        <f>+VLOOKUP($L384,Data_Validation!$A:$E,5,0)</f>
        <v>$</v>
      </c>
      <c r="X384" s="156">
        <f>+VLOOKUP($L384,Data_Validation!$A:$F,6,0)</f>
        <v>0</v>
      </c>
    </row>
    <row r="385" spans="1:24" ht="15" hidden="1" customHeight="1">
      <c r="A385" s="1013" t="s">
        <v>1340</v>
      </c>
      <c r="B385" s="1013" t="s">
        <v>2681</v>
      </c>
      <c r="C385" s="1015">
        <v>2256</v>
      </c>
      <c r="D385" s="1015">
        <v>1128</v>
      </c>
      <c r="E385" s="1015">
        <v>3384</v>
      </c>
      <c r="F385" s="1013" t="s">
        <v>401</v>
      </c>
      <c r="G385" s="1013" t="s">
        <v>2614</v>
      </c>
      <c r="H385" s="972"/>
      <c r="I385" s="975"/>
      <c r="J385" s="975"/>
      <c r="K385" s="975"/>
      <c r="L385" s="153" t="str">
        <f t="shared" si="18"/>
        <v>6487</v>
      </c>
      <c r="M385" s="154" t="str">
        <f t="shared" si="19"/>
        <v>TAXES FONCIERES - SERVICE</v>
      </c>
      <c r="N385" s="155">
        <f>+IF(OR($Q385=Parametres!$G$2,$Q385=Parametres!$G$3),I385,C385)</f>
        <v>2256</v>
      </c>
      <c r="O385" s="155">
        <f>+IF(OR($Q385=Parametres!$G$2,$Q385=Parametres!$G$3),J385,D385)</f>
        <v>1128</v>
      </c>
      <c r="P385" s="155">
        <f>+IF(OR($Q385=Parametres!$G$2,$Q385=Parametres!$G$3),K385,E385)</f>
        <v>3384</v>
      </c>
      <c r="Q385" s="154" t="str">
        <f t="shared" si="27"/>
        <v>7-Dépenses</v>
      </c>
      <c r="R385" s="153" t="str">
        <f t="shared" si="27"/>
        <v>6187</v>
      </c>
      <c r="S385" s="154">
        <f t="shared" si="27"/>
        <v>0</v>
      </c>
      <c r="T385" s="156" t="str">
        <f>+VLOOKUP($L385,Data_Validation!$A:$D,1,0)</f>
        <v>6487</v>
      </c>
      <c r="U385" s="156" t="str">
        <f>+VLOOKUP($L385,Data_Validation!$A:$D,3,0)</f>
        <v>Service</v>
      </c>
      <c r="V385" s="156" t="str">
        <f>+VLOOKUP($L385,Data_Validation!$A:$D,4,0)</f>
        <v>Taxes foncières</v>
      </c>
      <c r="W385" s="156" t="str">
        <f>+VLOOKUP($L385,Data_Validation!$A:$E,5,0)</f>
        <v>$</v>
      </c>
      <c r="X385" s="156">
        <f>+VLOOKUP($L385,Data_Validation!$A:$F,6,0)</f>
        <v>0</v>
      </c>
    </row>
    <row r="386" spans="1:24" ht="15" hidden="1" customHeight="1">
      <c r="A386" s="1013" t="s">
        <v>1274</v>
      </c>
      <c r="B386" s="1013" t="s">
        <v>2663</v>
      </c>
      <c r="C386" s="1015">
        <v>1512</v>
      </c>
      <c r="D386" s="1015">
        <v>756</v>
      </c>
      <c r="E386" s="1015">
        <v>2268</v>
      </c>
      <c r="F386" s="1013" t="s">
        <v>401</v>
      </c>
      <c r="G386" s="1013" t="s">
        <v>2597</v>
      </c>
      <c r="H386" s="972"/>
      <c r="I386" s="975"/>
      <c r="J386" s="975"/>
      <c r="K386" s="975"/>
      <c r="L386" s="153" t="str">
        <f t="shared" si="18"/>
        <v>6493</v>
      </c>
      <c r="M386" s="154" t="str">
        <f t="shared" si="19"/>
        <v>AUTRE TAXES-SERVICE</v>
      </c>
      <c r="N386" s="155">
        <f>+IF(OR($Q386=Parametres!$G$2,$Q386=Parametres!$G$3),I386,C386)</f>
        <v>1512</v>
      </c>
      <c r="O386" s="155">
        <f>+IF(OR($Q386=Parametres!$G$2,$Q386=Parametres!$G$3),J386,D386)</f>
        <v>756</v>
      </c>
      <c r="P386" s="155">
        <f>+IF(OR($Q386=Parametres!$G$2,$Q386=Parametres!$G$3),K386,E386)</f>
        <v>2268</v>
      </c>
      <c r="Q386" s="154" t="str">
        <f t="shared" ref="Q386:S401" si="28">+F386</f>
        <v>7-Dépenses</v>
      </c>
      <c r="R386" s="153" t="str">
        <f t="shared" si="28"/>
        <v>6193</v>
      </c>
      <c r="S386" s="154">
        <f t="shared" si="28"/>
        <v>0</v>
      </c>
      <c r="T386" s="156" t="str">
        <f>+VLOOKUP($L386,Data_Validation!$A:$D,1,0)</f>
        <v>6493</v>
      </c>
      <c r="U386" s="156" t="str">
        <f>+VLOOKUP($L386,Data_Validation!$A:$D,3,0)</f>
        <v>Service</v>
      </c>
      <c r="V386" s="156" t="str">
        <f>+VLOOKUP($L386,Data_Validation!$A:$D,4,0)</f>
        <v>Taxes d`affaires</v>
      </c>
      <c r="W386" s="156" t="str">
        <f>+VLOOKUP($L386,Data_Validation!$A:$E,5,0)</f>
        <v>$</v>
      </c>
      <c r="X386" s="156">
        <f>+VLOOKUP($L386,Data_Validation!$A:$F,6,0)</f>
        <v>0</v>
      </c>
    </row>
    <row r="387" spans="1:24" ht="15.75" hidden="1" customHeight="1">
      <c r="A387" s="1013" t="s">
        <v>1367</v>
      </c>
      <c r="B387" s="1013" t="s">
        <v>2699</v>
      </c>
      <c r="C387" s="1015">
        <v>3852</v>
      </c>
      <c r="D387" s="1015">
        <v>1926</v>
      </c>
      <c r="E387" s="1015">
        <v>5778</v>
      </c>
      <c r="F387" s="1013" t="s">
        <v>401</v>
      </c>
      <c r="G387" s="1013" t="s">
        <v>2635</v>
      </c>
      <c r="H387" s="972"/>
      <c r="I387" s="975"/>
      <c r="J387" s="975"/>
      <c r="K387" s="975"/>
      <c r="L387" s="153" t="str">
        <f t="shared" si="18"/>
        <v>6494</v>
      </c>
      <c r="M387" s="154" t="str">
        <f t="shared" si="19"/>
        <v>FRAIS PROFESSIONNEL-SERVICE</v>
      </c>
      <c r="N387" s="155">
        <f>+IF(OR($Q387=Parametres!$G$2,$Q387=Parametres!$G$3),I387,C387)</f>
        <v>3852</v>
      </c>
      <c r="O387" s="155">
        <f>+IF(OR($Q387=Parametres!$G$2,$Q387=Parametres!$G$3),J387,D387)</f>
        <v>1926</v>
      </c>
      <c r="P387" s="155">
        <f>+IF(OR($Q387=Parametres!$G$2,$Q387=Parametres!$G$3),K387,E387)</f>
        <v>5778</v>
      </c>
      <c r="Q387" s="154" t="str">
        <f t="shared" si="28"/>
        <v>7-Dépenses</v>
      </c>
      <c r="R387" s="153" t="str">
        <f t="shared" si="28"/>
        <v>6194</v>
      </c>
      <c r="S387" s="154">
        <f t="shared" si="28"/>
        <v>0</v>
      </c>
      <c r="T387" s="156" t="str">
        <f>+VLOOKUP($L387,Data_Validation!$A:$D,1,0)</f>
        <v>6494</v>
      </c>
      <c r="U387" s="156" t="str">
        <f>+VLOOKUP($L387,Data_Validation!$A:$D,3,0)</f>
        <v>Service</v>
      </c>
      <c r="V387" s="156" t="str">
        <f>+VLOOKUP($L387,Data_Validation!$A:$D,4,0)</f>
        <v>Honoraires</v>
      </c>
      <c r="W387" s="156" t="str">
        <f>+VLOOKUP($L387,Data_Validation!$A:$E,5,0)</f>
        <v>$</v>
      </c>
      <c r="X387" s="156">
        <f>+VLOOKUP($L387,Data_Validation!$A:$F,6,0)</f>
        <v>0</v>
      </c>
    </row>
    <row r="388" spans="1:24" ht="15" hidden="1" customHeight="1">
      <c r="A388" s="1013" t="s">
        <v>399</v>
      </c>
      <c r="B388" s="1013" t="s">
        <v>2627</v>
      </c>
      <c r="C388" s="1015">
        <v>685.03</v>
      </c>
      <c r="D388" s="1015">
        <v>1858.66</v>
      </c>
      <c r="E388" s="1015">
        <v>2543.69</v>
      </c>
      <c r="F388" s="1013" t="s">
        <v>401</v>
      </c>
      <c r="G388" s="1013" t="s">
        <v>2467</v>
      </c>
      <c r="H388" s="972"/>
      <c r="I388" s="975"/>
      <c r="J388" s="975"/>
      <c r="K388" s="975"/>
      <c r="L388" s="153" t="str">
        <f t="shared" si="18"/>
        <v>6503</v>
      </c>
      <c r="M388" s="154" t="str">
        <f t="shared" si="19"/>
        <v>RELAT. A LA CLIENTELE &amp; AJUST.</v>
      </c>
      <c r="N388" s="155">
        <f>+IF(OR($Q388=Parametres!$G$2,$Q388=Parametres!$G$3),I388,C388)</f>
        <v>685.03</v>
      </c>
      <c r="O388" s="155">
        <f>+IF(OR($Q388=Parametres!$G$2,$Q388=Parametres!$G$3),J388,D388)</f>
        <v>1858.66</v>
      </c>
      <c r="P388" s="155">
        <f>+IF(OR($Q388=Parametres!$G$2,$Q388=Parametres!$G$3),K388,E388)</f>
        <v>2543.69</v>
      </c>
      <c r="Q388" s="154" t="str">
        <f t="shared" si="28"/>
        <v>7-Dépenses</v>
      </c>
      <c r="R388" s="153" t="str">
        <f t="shared" si="28"/>
        <v>6112</v>
      </c>
      <c r="S388" s="154">
        <f t="shared" si="28"/>
        <v>0</v>
      </c>
      <c r="T388" s="156" t="str">
        <f>+VLOOKUP($L388,Data_Validation!$A:$D,1,0)</f>
        <v>6503</v>
      </c>
      <c r="U388" s="156" t="str">
        <f>+VLOOKUP($L388,Data_Validation!$A:$D,3,0)</f>
        <v>Carrosserie</v>
      </c>
      <c r="V388" s="156" t="str">
        <f>+VLOOKUP($L388,Data_Validation!$A:$D,4,0)</f>
        <v>Service gratuit 2</v>
      </c>
      <c r="W388" s="156" t="str">
        <f>+VLOOKUP($L388,Data_Validation!$A:$E,5,0)</f>
        <v>$</v>
      </c>
      <c r="X388" s="156">
        <f>+VLOOKUP($L388,Data_Validation!$A:$F,6,0)</f>
        <v>0</v>
      </c>
    </row>
    <row r="389" spans="1:24" ht="15" hidden="1" customHeight="1">
      <c r="A389" s="1013" t="s">
        <v>1259</v>
      </c>
      <c r="B389" s="1013" t="s">
        <v>2647</v>
      </c>
      <c r="C389" s="1015">
        <v>3221.7</v>
      </c>
      <c r="D389" s="1015">
        <v>504.19</v>
      </c>
      <c r="E389" s="1015">
        <v>3725.89</v>
      </c>
      <c r="F389" s="1013" t="s">
        <v>401</v>
      </c>
      <c r="G389" s="1013" t="s">
        <v>2648</v>
      </c>
      <c r="H389" s="972"/>
      <c r="I389" s="975"/>
      <c r="J389" s="975"/>
      <c r="K389" s="975"/>
      <c r="L389" s="153" t="str">
        <f t="shared" si="18"/>
        <v>6521</v>
      </c>
      <c r="M389" s="154" t="str">
        <f t="shared" si="19"/>
        <v>SALAIRES - PROPRIETAIRES</v>
      </c>
      <c r="N389" s="155">
        <f>+IF(OR($Q389=Parametres!$G$2,$Q389=Parametres!$G$3),I389,C389)</f>
        <v>3221.7</v>
      </c>
      <c r="O389" s="155">
        <f>+IF(OR($Q389=Parametres!$G$2,$Q389=Parametres!$G$3),J389,D389)</f>
        <v>504.19</v>
      </c>
      <c r="P389" s="155">
        <f>+IF(OR($Q389=Parametres!$G$2,$Q389=Parametres!$G$3),K389,E389)</f>
        <v>3725.89</v>
      </c>
      <c r="Q389" s="154" t="str">
        <f t="shared" si="28"/>
        <v>7-Dépenses</v>
      </c>
      <c r="R389" s="153" t="str">
        <f t="shared" si="28"/>
        <v>6121</v>
      </c>
      <c r="S389" s="154">
        <f t="shared" si="28"/>
        <v>0</v>
      </c>
      <c r="T389" s="156" t="str">
        <f>+VLOOKUP($L389,Data_Validation!$A:$D,1,0)</f>
        <v>6521</v>
      </c>
      <c r="U389" s="156" t="str">
        <f>+VLOOKUP($L389,Data_Validation!$A:$D,3,0)</f>
        <v>Carrosserie</v>
      </c>
      <c r="V389" s="156" t="str">
        <f>+VLOOKUP($L389,Data_Validation!$A:$D,4,0)</f>
        <v>Salaires propriétaire</v>
      </c>
      <c r="W389" s="156" t="str">
        <f>+VLOOKUP($L389,Data_Validation!$A:$E,5,0)</f>
        <v>$</v>
      </c>
      <c r="X389" s="156">
        <f>+VLOOKUP($L389,Data_Validation!$A:$F,6,0)</f>
        <v>0</v>
      </c>
    </row>
    <row r="390" spans="1:24" ht="15" hidden="1" customHeight="1">
      <c r="A390" s="1013" t="s">
        <v>2624</v>
      </c>
      <c r="B390" s="1013" t="s">
        <v>2625</v>
      </c>
      <c r="C390" s="1015">
        <v>1167.94</v>
      </c>
      <c r="D390" s="1015">
        <v>141.69</v>
      </c>
      <c r="E390" s="1015">
        <v>1309.6300000000001</v>
      </c>
      <c r="F390" s="1013" t="s">
        <v>401</v>
      </c>
      <c r="G390" s="1013" t="s">
        <v>2626</v>
      </c>
      <c r="H390" s="972"/>
      <c r="I390" s="975"/>
      <c r="J390" s="975"/>
      <c r="K390" s="975"/>
      <c r="L390" s="153" t="str">
        <f t="shared" si="18"/>
        <v>6522</v>
      </c>
      <c r="M390" s="154" t="str">
        <f t="shared" si="19"/>
        <v>SAL SUPERVISION / GERANT</v>
      </c>
      <c r="N390" s="155">
        <f>+IF(OR($Q390=Parametres!$G$2,$Q390=Parametres!$G$3),I390,C390)</f>
        <v>1167.94</v>
      </c>
      <c r="O390" s="155">
        <f>+IF(OR($Q390=Parametres!$G$2,$Q390=Parametres!$G$3),J390,D390)</f>
        <v>141.69</v>
      </c>
      <c r="P390" s="155">
        <f>+IF(OR($Q390=Parametres!$G$2,$Q390=Parametres!$G$3),K390,E390)</f>
        <v>1309.6300000000001</v>
      </c>
      <c r="Q390" s="154" t="str">
        <f t="shared" si="28"/>
        <v>7-Dépenses</v>
      </c>
      <c r="R390" s="153" t="str">
        <f t="shared" si="28"/>
        <v>6122</v>
      </c>
      <c r="S390" s="154">
        <f t="shared" si="28"/>
        <v>0</v>
      </c>
      <c r="T390" s="156" t="str">
        <f>+VLOOKUP($L390,Data_Validation!$A:$D,1,0)</f>
        <v>6522</v>
      </c>
      <c r="U390" s="156" t="str">
        <f>+VLOOKUP($L390,Data_Validation!$A:$D,3,0)</f>
        <v>Carrosserie</v>
      </c>
      <c r="V390" s="156" t="str">
        <f>+VLOOKUP($L390,Data_Validation!$A:$D,4,0)</f>
        <v>Salaires cadres</v>
      </c>
      <c r="W390" s="156" t="str">
        <f>+VLOOKUP($L390,Data_Validation!$A:$E,5,0)</f>
        <v>$</v>
      </c>
      <c r="X390" s="156">
        <f>+VLOOKUP($L390,Data_Validation!$A:$F,6,0)</f>
        <v>0</v>
      </c>
    </row>
    <row r="391" spans="1:24" ht="15.75" hidden="1" customHeight="1">
      <c r="A391" s="1013" t="s">
        <v>1266</v>
      </c>
      <c r="B391" s="1013" t="s">
        <v>2678</v>
      </c>
      <c r="C391" s="1015">
        <v>2231.66</v>
      </c>
      <c r="D391" s="1015">
        <v>920.51</v>
      </c>
      <c r="E391" s="1015">
        <v>3152.17</v>
      </c>
      <c r="F391" s="1013" t="s">
        <v>401</v>
      </c>
      <c r="G391" s="1013" t="s">
        <v>2679</v>
      </c>
      <c r="H391" s="972"/>
      <c r="I391" s="975"/>
      <c r="J391" s="975"/>
      <c r="K391" s="975"/>
      <c r="L391" s="153" t="str">
        <f t="shared" si="18"/>
        <v>6523</v>
      </c>
      <c r="M391" s="154" t="str">
        <f t="shared" si="19"/>
        <v>SAL. &amp; RENUM. CLERICAL</v>
      </c>
      <c r="N391" s="155">
        <f>+IF(OR($Q391=Parametres!$G$2,$Q391=Parametres!$G$3),I391,C391)</f>
        <v>2231.66</v>
      </c>
      <c r="O391" s="155">
        <f>+IF(OR($Q391=Parametres!$G$2,$Q391=Parametres!$G$3),J391,D391)</f>
        <v>920.51</v>
      </c>
      <c r="P391" s="155">
        <f>+IF(OR($Q391=Parametres!$G$2,$Q391=Parametres!$G$3),K391,E391)</f>
        <v>3152.17</v>
      </c>
      <c r="Q391" s="154" t="str">
        <f t="shared" si="28"/>
        <v>7-Dépenses</v>
      </c>
      <c r="R391" s="153" t="str">
        <f t="shared" si="28"/>
        <v>6123</v>
      </c>
      <c r="S391" s="154">
        <f t="shared" si="28"/>
        <v>0</v>
      </c>
      <c r="T391" s="156" t="str">
        <f>+VLOOKUP($L391,Data_Validation!$A:$D,1,0)</f>
        <v>6523</v>
      </c>
      <c r="U391" s="156" t="str">
        <f>+VLOOKUP($L391,Data_Validation!$A:$D,3,0)</f>
        <v>Carrosserie</v>
      </c>
      <c r="V391" s="156" t="str">
        <f>+VLOOKUP($L391,Data_Validation!$A:$D,4,0)</f>
        <v>Salaires commis</v>
      </c>
      <c r="W391" s="156" t="str">
        <f>+VLOOKUP($L391,Data_Validation!$A:$E,5,0)</f>
        <v>$</v>
      </c>
      <c r="X391" s="156">
        <f>+VLOOKUP($L391,Data_Validation!$A:$F,6,0)</f>
        <v>0</v>
      </c>
    </row>
    <row r="392" spans="1:24" ht="15" hidden="1" customHeight="1">
      <c r="A392" s="1013" t="s">
        <v>1249</v>
      </c>
      <c r="B392" s="1013" t="s">
        <v>2734</v>
      </c>
      <c r="C392" s="1015">
        <v>7526.74</v>
      </c>
      <c r="D392" s="1015">
        <v>5321.42</v>
      </c>
      <c r="E392" s="1015">
        <v>12848.16</v>
      </c>
      <c r="F392" s="1013" t="s">
        <v>401</v>
      </c>
      <c r="G392" s="1013" t="s">
        <v>2735</v>
      </c>
      <c r="H392" s="972"/>
      <c r="I392" s="975"/>
      <c r="J392" s="975"/>
      <c r="K392" s="975"/>
      <c r="L392" s="153" t="str">
        <f t="shared" si="18"/>
        <v>6524</v>
      </c>
      <c r="M392" s="154" t="str">
        <f t="shared" si="19"/>
        <v>SALAIRES &amp; RENUM. - AUTRES</v>
      </c>
      <c r="N392" s="155">
        <f>+IF(OR($Q392=Parametres!$G$2,$Q392=Parametres!$G$3),I392,C392)</f>
        <v>7526.74</v>
      </c>
      <c r="O392" s="155">
        <f>+IF(OR($Q392=Parametres!$G$2,$Q392=Parametres!$G$3),J392,D392)</f>
        <v>5321.42</v>
      </c>
      <c r="P392" s="155">
        <f>+IF(OR($Q392=Parametres!$G$2,$Q392=Parametres!$G$3),K392,E392)</f>
        <v>12848.16</v>
      </c>
      <c r="Q392" s="154" t="str">
        <f t="shared" si="28"/>
        <v>7-Dépenses</v>
      </c>
      <c r="R392" s="153" t="str">
        <f t="shared" si="28"/>
        <v>6124</v>
      </c>
      <c r="S392" s="154">
        <f t="shared" si="28"/>
        <v>0</v>
      </c>
      <c r="T392" s="156" t="str">
        <f>+VLOOKUP($L392,Data_Validation!$A:$D,1,0)</f>
        <v>6524</v>
      </c>
      <c r="U392" s="156" t="str">
        <f>+VLOOKUP($L392,Data_Validation!$A:$D,3,0)</f>
        <v>Carrosserie</v>
      </c>
      <c r="V392" s="156" t="str">
        <f>+VLOOKUP($L392,Data_Validation!$A:$D,4,0)</f>
        <v>Salaires autres</v>
      </c>
      <c r="W392" s="156" t="str">
        <f>+VLOOKUP($L392,Data_Validation!$A:$E,5,0)</f>
        <v>$</v>
      </c>
      <c r="X392" s="156">
        <f>+VLOOKUP($L392,Data_Validation!$A:$F,6,0)</f>
        <v>0</v>
      </c>
    </row>
    <row r="393" spans="1:24" ht="15" hidden="1" customHeight="1">
      <c r="A393" s="1013" t="s">
        <v>1330</v>
      </c>
      <c r="B393" s="1013" t="s">
        <v>2720</v>
      </c>
      <c r="C393" s="1015">
        <v>9826.32</v>
      </c>
      <c r="D393" s="1015">
        <v>5668.2</v>
      </c>
      <c r="E393" s="1015">
        <v>15494.52</v>
      </c>
      <c r="F393" s="1013" t="s">
        <v>401</v>
      </c>
      <c r="G393" s="1013" t="s">
        <v>2721</v>
      </c>
      <c r="H393" s="972"/>
      <c r="I393" s="975"/>
      <c r="J393" s="975"/>
      <c r="K393" s="975"/>
      <c r="L393" s="153" t="str">
        <f t="shared" si="18"/>
        <v>6525</v>
      </c>
      <c r="M393" s="154" t="str">
        <f t="shared" si="19"/>
        <v>SALAIRE SPECIALISTES</v>
      </c>
      <c r="N393" s="155">
        <f>+IF(OR($Q393=Parametres!$G$2,$Q393=Parametres!$G$3),I393,C393)</f>
        <v>9826.32</v>
      </c>
      <c r="O393" s="155">
        <f>+IF(OR($Q393=Parametres!$G$2,$Q393=Parametres!$G$3),J393,D393)</f>
        <v>5668.2</v>
      </c>
      <c r="P393" s="155">
        <f>+IF(OR($Q393=Parametres!$G$2,$Q393=Parametres!$G$3),K393,E393)</f>
        <v>15494.52</v>
      </c>
      <c r="Q393" s="154" t="str">
        <f t="shared" si="28"/>
        <v>7-Dépenses</v>
      </c>
      <c r="R393" s="153" t="str">
        <f t="shared" si="28"/>
        <v>6125</v>
      </c>
      <c r="S393" s="154">
        <f t="shared" si="28"/>
        <v>0</v>
      </c>
      <c r="T393" s="156" t="str">
        <f>+VLOOKUP($L393,Data_Validation!$A:$D,1,0)</f>
        <v>6525</v>
      </c>
      <c r="U393" s="156" t="str">
        <f>+VLOOKUP($L393,Data_Validation!$A:$D,3,0)</f>
        <v>Carrosserie</v>
      </c>
      <c r="V393" s="156" t="str">
        <f>+VLOOKUP($L393,Data_Validation!$A:$D,4,0)</f>
        <v>Salaires spécialistes</v>
      </c>
      <c r="W393" s="156" t="str">
        <f>+VLOOKUP($L393,Data_Validation!$A:$E,5,0)</f>
        <v>$</v>
      </c>
      <c r="X393" s="156">
        <f>+VLOOKUP($L393,Data_Validation!$A:$F,6,0)</f>
        <v>0</v>
      </c>
    </row>
    <row r="394" spans="1:24" ht="15" hidden="1" customHeight="1">
      <c r="A394" s="1013" t="s">
        <v>1211</v>
      </c>
      <c r="B394" s="1013" t="s">
        <v>2640</v>
      </c>
      <c r="C394" s="1015">
        <v>2417.61</v>
      </c>
      <c r="D394" s="1015">
        <v>1220.52</v>
      </c>
      <c r="E394" s="1015">
        <v>3638.13</v>
      </c>
      <c r="F394" s="1013" t="s">
        <v>401</v>
      </c>
      <c r="G394" s="1013" t="s">
        <v>2641</v>
      </c>
      <c r="H394" s="972"/>
      <c r="I394" s="975"/>
      <c r="J394" s="975"/>
      <c r="K394" s="975"/>
      <c r="L394" s="153" t="str">
        <f t="shared" si="18"/>
        <v>6529</v>
      </c>
      <c r="M394" s="154" t="str">
        <f t="shared" si="19"/>
        <v>ABS.,VACANCES &amp; SAL. JOURS FER</v>
      </c>
      <c r="N394" s="155">
        <f>+IF(OR($Q394=Parametres!$G$2,$Q394=Parametres!$G$3),I394,C394)</f>
        <v>2417.61</v>
      </c>
      <c r="O394" s="155">
        <f>+IF(OR($Q394=Parametres!$G$2,$Q394=Parametres!$G$3),J394,D394)</f>
        <v>1220.52</v>
      </c>
      <c r="P394" s="155">
        <f>+IF(OR($Q394=Parametres!$G$2,$Q394=Parametres!$G$3),K394,E394)</f>
        <v>3638.13</v>
      </c>
      <c r="Q394" s="154" t="str">
        <f t="shared" si="28"/>
        <v>7-Dépenses</v>
      </c>
      <c r="R394" s="153" t="str">
        <f t="shared" si="28"/>
        <v>6129</v>
      </c>
      <c r="S394" s="154">
        <f t="shared" si="28"/>
        <v>0</v>
      </c>
      <c r="T394" s="156" t="str">
        <f>+VLOOKUP($L394,Data_Validation!$A:$D,1,0)</f>
        <v>6529</v>
      </c>
      <c r="U394" s="156" t="str">
        <f>+VLOOKUP($L394,Data_Validation!$A:$D,3,0)</f>
        <v>Carrosserie</v>
      </c>
      <c r="V394" s="156" t="str">
        <f>+VLOOKUP($L394,Data_Validation!$A:$D,4,0)</f>
        <v>Salaires en absences</v>
      </c>
      <c r="W394" s="156" t="str">
        <f>+VLOOKUP($L394,Data_Validation!$A:$E,5,0)</f>
        <v>$</v>
      </c>
      <c r="X394" s="156">
        <f>+VLOOKUP($L394,Data_Validation!$A:$F,6,0)</f>
        <v>0</v>
      </c>
    </row>
    <row r="395" spans="1:24" ht="15.75" hidden="1" customHeight="1">
      <c r="A395" s="1013" t="s">
        <v>1252</v>
      </c>
      <c r="B395" s="1013" t="s">
        <v>2585</v>
      </c>
      <c r="C395" s="1015">
        <v>647.16</v>
      </c>
      <c r="D395" s="1015">
        <v>296.83999999999997</v>
      </c>
      <c r="E395" s="1015">
        <v>944</v>
      </c>
      <c r="F395" s="1013" t="s">
        <v>401</v>
      </c>
      <c r="G395" s="1013" t="s">
        <v>2586</v>
      </c>
      <c r="H395" s="972"/>
      <c r="I395" s="975"/>
      <c r="J395" s="975"/>
      <c r="K395" s="975"/>
      <c r="L395" s="153" t="str">
        <f t="shared" si="18"/>
        <v>6531</v>
      </c>
      <c r="M395" s="154" t="str">
        <f t="shared" si="19"/>
        <v>CSST</v>
      </c>
      <c r="N395" s="155">
        <f>+IF(OR($Q395=Parametres!$G$2,$Q395=Parametres!$G$3),I395,C395)</f>
        <v>647.16</v>
      </c>
      <c r="O395" s="155">
        <f>+IF(OR($Q395=Parametres!$G$2,$Q395=Parametres!$G$3),J395,D395)</f>
        <v>296.83999999999997</v>
      </c>
      <c r="P395" s="155">
        <f>+IF(OR($Q395=Parametres!$G$2,$Q395=Parametres!$G$3),K395,E395)</f>
        <v>944</v>
      </c>
      <c r="Q395" s="154" t="str">
        <f t="shared" si="28"/>
        <v>7-Dépenses</v>
      </c>
      <c r="R395" s="153" t="str">
        <f t="shared" si="28"/>
        <v>6131</v>
      </c>
      <c r="S395" s="154">
        <f t="shared" si="28"/>
        <v>0</v>
      </c>
      <c r="T395" s="156" t="str">
        <f>+VLOOKUP($L395,Data_Validation!$A:$D,1,0)</f>
        <v>6531</v>
      </c>
      <c r="U395" s="156" t="str">
        <f>+VLOOKUP($L395,Data_Validation!$A:$D,3,0)</f>
        <v>Carrosserie</v>
      </c>
      <c r="V395" s="156" t="str">
        <f>+VLOOKUP($L395,Data_Validation!$A:$D,4,0)</f>
        <v>Csst</v>
      </c>
      <c r="W395" s="156" t="str">
        <f>+VLOOKUP($L395,Data_Validation!$A:$E,5,0)</f>
        <v>$</v>
      </c>
      <c r="X395" s="156">
        <f>+VLOOKUP($L395,Data_Validation!$A:$F,6,0)</f>
        <v>0</v>
      </c>
    </row>
    <row r="396" spans="1:24" ht="15" hidden="1" customHeight="1">
      <c r="A396" s="1013" t="s">
        <v>1283</v>
      </c>
      <c r="B396" s="1013" t="s">
        <v>2684</v>
      </c>
      <c r="C396" s="1015">
        <v>2405.35</v>
      </c>
      <c r="D396" s="1015">
        <v>1214.3699999999999</v>
      </c>
      <c r="E396" s="1015">
        <v>3619.72</v>
      </c>
      <c r="F396" s="1013" t="s">
        <v>401</v>
      </c>
      <c r="G396" s="1013" t="s">
        <v>2685</v>
      </c>
      <c r="H396" s="972"/>
      <c r="I396" s="975"/>
      <c r="J396" s="975"/>
      <c r="K396" s="975"/>
      <c r="L396" s="153" t="str">
        <f t="shared" si="18"/>
        <v>6532</v>
      </c>
      <c r="M396" s="154" t="str">
        <f t="shared" si="19"/>
        <v>RRQ RAMQ AC</v>
      </c>
      <c r="N396" s="155">
        <f>+IF(OR($Q396=Parametres!$G$2,$Q396=Parametres!$G$3),I396,C396)</f>
        <v>2405.35</v>
      </c>
      <c r="O396" s="155">
        <f>+IF(OR($Q396=Parametres!$G$2,$Q396=Parametres!$G$3),J396,D396)</f>
        <v>1214.3699999999999</v>
      </c>
      <c r="P396" s="155">
        <f>+IF(OR($Q396=Parametres!$G$2,$Q396=Parametres!$G$3),K396,E396)</f>
        <v>3619.72</v>
      </c>
      <c r="Q396" s="154" t="str">
        <f t="shared" si="28"/>
        <v>7-Dépenses</v>
      </c>
      <c r="R396" s="153" t="str">
        <f t="shared" si="28"/>
        <v>6132</v>
      </c>
      <c r="S396" s="154">
        <f t="shared" si="28"/>
        <v>0</v>
      </c>
      <c r="T396" s="156" t="str">
        <f>+VLOOKUP($L396,Data_Validation!$A:$D,1,0)</f>
        <v>6532</v>
      </c>
      <c r="U396" s="156" t="str">
        <f>+VLOOKUP($L396,Data_Validation!$A:$D,3,0)</f>
        <v>Carrosserie</v>
      </c>
      <c r="V396" s="156" t="str">
        <f>+VLOOKUP($L396,Data_Validation!$A:$D,4,0)</f>
        <v>Déduction à la source</v>
      </c>
      <c r="W396" s="156" t="str">
        <f>+VLOOKUP($L396,Data_Validation!$A:$E,5,0)</f>
        <v>$</v>
      </c>
      <c r="X396" s="156">
        <f>+VLOOKUP($L396,Data_Validation!$A:$F,6,0)</f>
        <v>0</v>
      </c>
    </row>
    <row r="397" spans="1:24" ht="15" hidden="1" customHeight="1">
      <c r="A397" s="1013" t="s">
        <v>1305</v>
      </c>
      <c r="B397" s="1013" t="s">
        <v>2693</v>
      </c>
      <c r="C397" s="1015">
        <v>1064.6600000000001</v>
      </c>
      <c r="D397" s="1015">
        <v>532.33000000000004</v>
      </c>
      <c r="E397" s="1015">
        <v>1596.99</v>
      </c>
      <c r="F397" s="1013" t="s">
        <v>401</v>
      </c>
      <c r="G397" s="1013" t="s">
        <v>2694</v>
      </c>
      <c r="H397" s="972"/>
      <c r="I397" s="975"/>
      <c r="J397" s="975"/>
      <c r="K397" s="975"/>
      <c r="L397" s="153" t="str">
        <f t="shared" si="18"/>
        <v>6539</v>
      </c>
      <c r="M397" s="154" t="str">
        <f t="shared" si="19"/>
        <v>ASSURANCE GROUPE</v>
      </c>
      <c r="N397" s="155">
        <f>+IF(OR($Q397=Parametres!$G$2,$Q397=Parametres!$G$3),I397,C397)</f>
        <v>1064.6600000000001</v>
      </c>
      <c r="O397" s="155">
        <f>+IF(OR($Q397=Parametres!$G$2,$Q397=Parametres!$G$3),J397,D397)</f>
        <v>532.33000000000004</v>
      </c>
      <c r="P397" s="155">
        <f>+IF(OR($Q397=Parametres!$G$2,$Q397=Parametres!$G$3),K397,E397)</f>
        <v>1596.99</v>
      </c>
      <c r="Q397" s="154" t="str">
        <f t="shared" si="28"/>
        <v>7-Dépenses</v>
      </c>
      <c r="R397" s="153" t="str">
        <f t="shared" si="28"/>
        <v>6139</v>
      </c>
      <c r="S397" s="154">
        <f t="shared" si="28"/>
        <v>0</v>
      </c>
      <c r="T397" s="156" t="str">
        <f>+VLOOKUP($L397,Data_Validation!$A:$D,1,0)</f>
        <v>6539</v>
      </c>
      <c r="U397" s="156" t="str">
        <f>+VLOOKUP($L397,Data_Validation!$A:$D,3,0)</f>
        <v>Carrosserie</v>
      </c>
      <c r="V397" s="156" t="str">
        <f>+VLOOKUP($L397,Data_Validation!$A:$D,4,0)</f>
        <v>Bénéfices marginaux</v>
      </c>
      <c r="W397" s="156" t="str">
        <f>+VLOOKUP($L397,Data_Validation!$A:$E,5,0)</f>
        <v>$</v>
      </c>
      <c r="X397" s="156">
        <f>+VLOOKUP($L397,Data_Validation!$A:$F,6,0)</f>
        <v>0</v>
      </c>
    </row>
    <row r="398" spans="1:24" ht="15" hidden="1" customHeight="1">
      <c r="A398" s="1013" t="s">
        <v>934</v>
      </c>
      <c r="B398" s="1013" t="s">
        <v>2560</v>
      </c>
      <c r="C398" s="1015">
        <v>70</v>
      </c>
      <c r="D398" s="1015">
        <v>35</v>
      </c>
      <c r="E398" s="1015">
        <v>105</v>
      </c>
      <c r="F398" s="1013" t="s">
        <v>401</v>
      </c>
      <c r="G398" s="1013" t="s">
        <v>2561</v>
      </c>
      <c r="H398" s="972"/>
      <c r="I398" s="975"/>
      <c r="J398" s="975"/>
      <c r="K398" s="975"/>
      <c r="L398" s="153" t="str">
        <f t="shared" si="18"/>
        <v>6544</v>
      </c>
      <c r="M398" s="154" t="str">
        <f t="shared" si="19"/>
        <v>FORMATION</v>
      </c>
      <c r="N398" s="155">
        <f>+IF(OR($Q398=Parametres!$G$2,$Q398=Parametres!$G$3),I398,C398)</f>
        <v>70</v>
      </c>
      <c r="O398" s="155">
        <f>+IF(OR($Q398=Parametres!$G$2,$Q398=Parametres!$G$3),J398,D398)</f>
        <v>35</v>
      </c>
      <c r="P398" s="155">
        <f>+IF(OR($Q398=Parametres!$G$2,$Q398=Parametres!$G$3),K398,E398)</f>
        <v>105</v>
      </c>
      <c r="Q398" s="154" t="str">
        <f t="shared" si="28"/>
        <v>7-Dépenses</v>
      </c>
      <c r="R398" s="153" t="str">
        <f t="shared" si="28"/>
        <v>6144</v>
      </c>
      <c r="S398" s="154">
        <f t="shared" si="28"/>
        <v>0</v>
      </c>
      <c r="T398" s="156" t="str">
        <f>+VLOOKUP($L398,Data_Validation!$A:$D,1,0)</f>
        <v>6544</v>
      </c>
      <c r="U398" s="156" t="str">
        <f>+VLOOKUP($L398,Data_Validation!$A:$D,3,0)</f>
        <v>Carrosserie</v>
      </c>
      <c r="V398" s="156" t="str">
        <f>+VLOOKUP($L398,Data_Validation!$A:$D,4,0)</f>
        <v>Formation</v>
      </c>
      <c r="W398" s="156" t="str">
        <f>+VLOOKUP($L398,Data_Validation!$A:$E,5,0)</f>
        <v>$</v>
      </c>
      <c r="X398" s="156">
        <f>+VLOOKUP($L398,Data_Validation!$A:$F,6,0)</f>
        <v>0</v>
      </c>
    </row>
    <row r="399" spans="1:24" ht="15.75" hidden="1" customHeight="1">
      <c r="A399" s="1013" t="s">
        <v>1186</v>
      </c>
      <c r="B399" s="1013" t="s">
        <v>2654</v>
      </c>
      <c r="C399" s="1015">
        <v>3681.17</v>
      </c>
      <c r="D399" s="1015">
        <v>1572.8</v>
      </c>
      <c r="E399" s="1015">
        <v>5253.97</v>
      </c>
      <c r="F399" s="1013" t="s">
        <v>401</v>
      </c>
      <c r="G399" s="1013" t="s">
        <v>2632</v>
      </c>
      <c r="H399" s="972"/>
      <c r="I399" s="975"/>
      <c r="J399" s="975"/>
      <c r="K399" s="975"/>
      <c r="L399" s="153" t="str">
        <f t="shared" si="18"/>
        <v>6545</v>
      </c>
      <c r="M399" s="154" t="str">
        <f t="shared" si="19"/>
        <v>VEHICULE DE COMPAGNIE - DEPENS</v>
      </c>
      <c r="N399" s="155">
        <f>+IF(OR($Q399=Parametres!$G$2,$Q399=Parametres!$G$3),I399,C399)</f>
        <v>3681.17</v>
      </c>
      <c r="O399" s="155">
        <f>+IF(OR($Q399=Parametres!$G$2,$Q399=Parametres!$G$3),J399,D399)</f>
        <v>1572.8</v>
      </c>
      <c r="P399" s="155">
        <f>+IF(OR($Q399=Parametres!$G$2,$Q399=Parametres!$G$3),K399,E399)</f>
        <v>5253.97</v>
      </c>
      <c r="Q399" s="154" t="str">
        <f t="shared" si="28"/>
        <v>7-Dépenses</v>
      </c>
      <c r="R399" s="153" t="str">
        <f t="shared" si="28"/>
        <v>6145</v>
      </c>
      <c r="S399" s="154">
        <f t="shared" si="28"/>
        <v>0</v>
      </c>
      <c r="T399" s="156" t="str">
        <f>+VLOOKUP($L399,Data_Validation!$A:$D,1,0)</f>
        <v>6545</v>
      </c>
      <c r="U399" s="156" t="str">
        <f>+VLOOKUP($L399,Data_Validation!$A:$D,3,0)</f>
        <v>Carrosserie</v>
      </c>
      <c r="V399" s="156" t="str">
        <f>+VLOOKUP($L399,Data_Validation!$A:$D,4,0)</f>
        <v>Frais véhicules de cie</v>
      </c>
      <c r="W399" s="156" t="str">
        <f>+VLOOKUP($L399,Data_Validation!$A:$E,5,0)</f>
        <v>$</v>
      </c>
      <c r="X399" s="156">
        <f>+VLOOKUP($L399,Data_Validation!$A:$F,6,0)</f>
        <v>0</v>
      </c>
    </row>
    <row r="400" spans="1:24" ht="15" hidden="1" customHeight="1">
      <c r="A400" s="1013" t="s">
        <v>1180</v>
      </c>
      <c r="B400" s="1013" t="s">
        <v>2580</v>
      </c>
      <c r="C400" s="1015">
        <v>63.75</v>
      </c>
      <c r="D400" s="1015">
        <v>15.39</v>
      </c>
      <c r="E400" s="1015">
        <v>79.14</v>
      </c>
      <c r="F400" s="1013" t="s">
        <v>401</v>
      </c>
      <c r="G400" s="1013" t="s">
        <v>2581</v>
      </c>
      <c r="H400" s="972"/>
      <c r="I400" s="975"/>
      <c r="J400" s="975"/>
      <c r="K400" s="975"/>
      <c r="L400" s="153" t="str">
        <f t="shared" si="18"/>
        <v>6547</v>
      </c>
      <c r="M400" s="154" t="str">
        <f t="shared" si="19"/>
        <v>FRET/EXPRESS/TRANS. PAR CAMION</v>
      </c>
      <c r="N400" s="155">
        <f>+IF(OR($Q400=Parametres!$G$2,$Q400=Parametres!$G$3),I400,C400)</f>
        <v>63.75</v>
      </c>
      <c r="O400" s="155">
        <f>+IF(OR($Q400=Parametres!$G$2,$Q400=Parametres!$G$3),J400,D400)</f>
        <v>15.39</v>
      </c>
      <c r="P400" s="155">
        <f>+IF(OR($Q400=Parametres!$G$2,$Q400=Parametres!$G$3),K400,E400)</f>
        <v>79.14</v>
      </c>
      <c r="Q400" s="154" t="str">
        <f t="shared" si="28"/>
        <v>7-Dépenses</v>
      </c>
      <c r="R400" s="153" t="str">
        <f t="shared" si="28"/>
        <v>6147</v>
      </c>
      <c r="S400" s="154">
        <f t="shared" si="28"/>
        <v>0</v>
      </c>
      <c r="T400" s="156" t="str">
        <f>+VLOOKUP($L400,Data_Validation!$A:$D,1,0)</f>
        <v>6547</v>
      </c>
      <c r="U400" s="156" t="str">
        <f>+VLOOKUP($L400,Data_Validation!$A:$D,3,0)</f>
        <v>Carrosserie</v>
      </c>
      <c r="V400" s="156" t="str">
        <f>+VLOOKUP($L400,Data_Validation!$A:$D,4,0)</f>
        <v>Frais postaux</v>
      </c>
      <c r="W400" s="156" t="str">
        <f>+VLOOKUP($L400,Data_Validation!$A:$E,5,0)</f>
        <v>$</v>
      </c>
      <c r="X400" s="156">
        <f>+VLOOKUP($L400,Data_Validation!$A:$F,6,0)</f>
        <v>0</v>
      </c>
    </row>
    <row r="401" spans="1:24" ht="15" hidden="1" customHeight="1">
      <c r="A401" s="1013" t="s">
        <v>1286</v>
      </c>
      <c r="B401" s="1013" t="s">
        <v>2701</v>
      </c>
      <c r="C401" s="1015">
        <v>2527.9</v>
      </c>
      <c r="D401" s="1015">
        <v>1449.62</v>
      </c>
      <c r="E401" s="1015">
        <v>3977.52</v>
      </c>
      <c r="F401" s="1013" t="s">
        <v>401</v>
      </c>
      <c r="G401" s="1013" t="s">
        <v>2702</v>
      </c>
      <c r="H401" s="972"/>
      <c r="I401" s="975"/>
      <c r="J401" s="975"/>
      <c r="K401" s="975"/>
      <c r="L401" s="153" t="str">
        <f t="shared" si="18"/>
        <v>6551</v>
      </c>
      <c r="M401" s="154" t="str">
        <f t="shared" si="19"/>
        <v>DEP. DU TRAITEMENT DES DONNEES</v>
      </c>
      <c r="N401" s="155">
        <f>+IF(OR($Q401=Parametres!$G$2,$Q401=Parametres!$G$3),I401,C401)</f>
        <v>2527.9</v>
      </c>
      <c r="O401" s="155">
        <f>+IF(OR($Q401=Parametres!$G$2,$Q401=Parametres!$G$3),J401,D401)</f>
        <v>1449.62</v>
      </c>
      <c r="P401" s="155">
        <f>+IF(OR($Q401=Parametres!$G$2,$Q401=Parametres!$G$3),K401,E401)</f>
        <v>3977.52</v>
      </c>
      <c r="Q401" s="154" t="str">
        <f t="shared" si="28"/>
        <v>7-Dépenses</v>
      </c>
      <c r="R401" s="153" t="str">
        <f t="shared" si="28"/>
        <v>6151</v>
      </c>
      <c r="S401" s="154">
        <f t="shared" si="28"/>
        <v>0</v>
      </c>
      <c r="T401" s="156" t="str">
        <f>+VLOOKUP($L401,Data_Validation!$A:$D,1,0)</f>
        <v>6551</v>
      </c>
      <c r="U401" s="156" t="str">
        <f>+VLOOKUP($L401,Data_Validation!$A:$D,3,0)</f>
        <v>Carrosserie</v>
      </c>
      <c r="V401" s="156" t="str">
        <f>+VLOOKUP($L401,Data_Validation!$A:$D,4,0)</f>
        <v>Informatique</v>
      </c>
      <c r="W401" s="156" t="str">
        <f>+VLOOKUP($L401,Data_Validation!$A:$E,5,0)</f>
        <v>$</v>
      </c>
      <c r="X401" s="156">
        <f>+VLOOKUP($L401,Data_Validation!$A:$F,6,0)</f>
        <v>0</v>
      </c>
    </row>
    <row r="402" spans="1:24" ht="15" hidden="1" customHeight="1">
      <c r="A402" s="1013" t="s">
        <v>1206</v>
      </c>
      <c r="B402" s="1013" t="s">
        <v>2587</v>
      </c>
      <c r="C402" s="1015">
        <v>259</v>
      </c>
      <c r="D402" s="1015">
        <v>129.5</v>
      </c>
      <c r="E402" s="1015">
        <v>388.5</v>
      </c>
      <c r="F402" s="1013" t="s">
        <v>401</v>
      </c>
      <c r="G402" s="1013" t="s">
        <v>2588</v>
      </c>
      <c r="H402" s="972"/>
      <c r="I402" s="975"/>
      <c r="J402" s="975"/>
      <c r="K402" s="975"/>
      <c r="L402" s="153" t="str">
        <f t="shared" si="18"/>
        <v>6552</v>
      </c>
      <c r="M402" s="154" t="str">
        <f t="shared" si="19"/>
        <v>PAPETERIE</v>
      </c>
      <c r="N402" s="155">
        <f>+IF(OR($Q402=Parametres!$G$2,$Q402=Parametres!$G$3),I402,C402)</f>
        <v>259</v>
      </c>
      <c r="O402" s="155">
        <f>+IF(OR($Q402=Parametres!$G$2,$Q402=Parametres!$G$3),J402,D402)</f>
        <v>129.5</v>
      </c>
      <c r="P402" s="155">
        <f>+IF(OR($Q402=Parametres!$G$2,$Q402=Parametres!$G$3),K402,E402)</f>
        <v>388.5</v>
      </c>
      <c r="Q402" s="154" t="str">
        <f t="shared" ref="Q402:S417" si="29">+F402</f>
        <v>7-Dépenses</v>
      </c>
      <c r="R402" s="153" t="str">
        <f t="shared" si="29"/>
        <v>6152</v>
      </c>
      <c r="S402" s="154">
        <f t="shared" si="29"/>
        <v>0</v>
      </c>
      <c r="T402" s="156" t="str">
        <f>+VLOOKUP($L402,Data_Validation!$A:$D,1,0)</f>
        <v>6552</v>
      </c>
      <c r="U402" s="156" t="str">
        <f>+VLOOKUP($L402,Data_Validation!$A:$D,3,0)</f>
        <v>Carrosserie</v>
      </c>
      <c r="V402" s="156" t="str">
        <f>+VLOOKUP($L402,Data_Validation!$A:$D,4,0)</f>
        <v>Papeterie</v>
      </c>
      <c r="W402" s="156" t="str">
        <f>+VLOOKUP($L402,Data_Validation!$A:$E,5,0)</f>
        <v>$</v>
      </c>
      <c r="X402" s="156">
        <f>+VLOOKUP($L402,Data_Validation!$A:$F,6,0)</f>
        <v>0</v>
      </c>
    </row>
    <row r="403" spans="1:24" ht="15.75" hidden="1" customHeight="1">
      <c r="A403" s="1013" t="s">
        <v>1154</v>
      </c>
      <c r="B403" s="1013" t="s">
        <v>2591</v>
      </c>
      <c r="C403" s="1015">
        <v>199.02</v>
      </c>
      <c r="D403" s="1015">
        <v>144.68</v>
      </c>
      <c r="E403" s="1015">
        <v>343.7</v>
      </c>
      <c r="F403" s="1013" t="s">
        <v>401</v>
      </c>
      <c r="G403" s="1013" t="s">
        <v>2592</v>
      </c>
      <c r="H403" s="972"/>
      <c r="I403" s="975"/>
      <c r="J403" s="975"/>
      <c r="K403" s="975"/>
      <c r="L403" s="153" t="str">
        <f t="shared" si="18"/>
        <v>6553</v>
      </c>
      <c r="M403" s="154" t="str">
        <f t="shared" si="19"/>
        <v>TELEPHONE ET TELEX</v>
      </c>
      <c r="N403" s="155">
        <f>+IF(OR($Q403=Parametres!$G$2,$Q403=Parametres!$G$3),I403,C403)</f>
        <v>199.02</v>
      </c>
      <c r="O403" s="155">
        <f>+IF(OR($Q403=Parametres!$G$2,$Q403=Parametres!$G$3),J403,D403)</f>
        <v>144.68</v>
      </c>
      <c r="P403" s="155">
        <f>+IF(OR($Q403=Parametres!$G$2,$Q403=Parametres!$G$3),K403,E403)</f>
        <v>343.7</v>
      </c>
      <c r="Q403" s="154" t="str">
        <f t="shared" si="29"/>
        <v>7-Dépenses</v>
      </c>
      <c r="R403" s="153" t="str">
        <f t="shared" si="29"/>
        <v>6153</v>
      </c>
      <c r="S403" s="154">
        <f t="shared" si="29"/>
        <v>0</v>
      </c>
      <c r="T403" s="156" t="str">
        <f>+VLOOKUP($L403,Data_Validation!$A:$D,1,0)</f>
        <v>6553</v>
      </c>
      <c r="U403" s="156" t="str">
        <f>+VLOOKUP($L403,Data_Validation!$A:$D,3,0)</f>
        <v>Carrosserie</v>
      </c>
      <c r="V403" s="156" t="str">
        <f>+VLOOKUP($L403,Data_Validation!$A:$D,4,0)</f>
        <v>Téléphone</v>
      </c>
      <c r="W403" s="156" t="str">
        <f>+VLOOKUP($L403,Data_Validation!$A:$E,5,0)</f>
        <v>$</v>
      </c>
      <c r="X403" s="156">
        <f>+VLOOKUP($L403,Data_Validation!$A:$F,6,0)</f>
        <v>0</v>
      </c>
    </row>
    <row r="404" spans="1:24" ht="15" hidden="1" customHeight="1">
      <c r="A404" s="1013" t="s">
        <v>1237</v>
      </c>
      <c r="B404" s="1013" t="s">
        <v>2636</v>
      </c>
      <c r="C404" s="1015">
        <v>786.27</v>
      </c>
      <c r="D404" s="1015">
        <v>328.88</v>
      </c>
      <c r="E404" s="1015">
        <v>1115.1500000000001</v>
      </c>
      <c r="F404" s="1013" t="s">
        <v>401</v>
      </c>
      <c r="G404" s="1013" t="s">
        <v>2637</v>
      </c>
      <c r="H404" s="972"/>
      <c r="I404" s="975"/>
      <c r="J404" s="975"/>
      <c r="K404" s="975"/>
      <c r="L404" s="153" t="str">
        <f t="shared" si="18"/>
        <v>6555</v>
      </c>
      <c r="M404" s="154" t="str">
        <f t="shared" si="19"/>
        <v>DEPENSES DIVERS</v>
      </c>
      <c r="N404" s="155">
        <f>+IF(OR($Q404=Parametres!$G$2,$Q404=Parametres!$G$3),I404,C404)</f>
        <v>786.27</v>
      </c>
      <c r="O404" s="155">
        <f>+IF(OR($Q404=Parametres!$G$2,$Q404=Parametres!$G$3),J404,D404)</f>
        <v>328.88</v>
      </c>
      <c r="P404" s="155">
        <f>+IF(OR($Q404=Parametres!$G$2,$Q404=Parametres!$G$3),K404,E404)</f>
        <v>1115.1500000000001</v>
      </c>
      <c r="Q404" s="154" t="str">
        <f t="shared" si="29"/>
        <v>7-Dépenses</v>
      </c>
      <c r="R404" s="153" t="str">
        <f t="shared" si="29"/>
        <v>6155</v>
      </c>
      <c r="S404" s="154">
        <f t="shared" si="29"/>
        <v>0</v>
      </c>
      <c r="T404" s="156" t="str">
        <f>+VLOOKUP($L404,Data_Validation!$A:$D,1,0)</f>
        <v>6555</v>
      </c>
      <c r="U404" s="156" t="str">
        <f>+VLOOKUP($L404,Data_Validation!$A:$D,3,0)</f>
        <v>Carrosserie</v>
      </c>
      <c r="V404" s="156" t="str">
        <f>+VLOOKUP($L404,Data_Validation!$A:$D,4,0)</f>
        <v>Divers</v>
      </c>
      <c r="W404" s="156" t="str">
        <f>+VLOOKUP($L404,Data_Validation!$A:$E,5,0)</f>
        <v>$</v>
      </c>
      <c r="X404" s="156">
        <f>+VLOOKUP($L404,Data_Validation!$A:$F,6,0)</f>
        <v>0</v>
      </c>
    </row>
    <row r="405" spans="1:24" ht="15" hidden="1" customHeight="1">
      <c r="A405" s="1013" t="s">
        <v>1217</v>
      </c>
      <c r="B405" s="1013" t="s">
        <v>2469</v>
      </c>
      <c r="C405" s="1015">
        <v>850.78</v>
      </c>
      <c r="D405" s="1015">
        <v>425.39</v>
      </c>
      <c r="E405" s="1015">
        <v>1276.17</v>
      </c>
      <c r="F405" s="1013" t="s">
        <v>401</v>
      </c>
      <c r="G405" s="1013" t="s">
        <v>2470</v>
      </c>
      <c r="H405" s="972"/>
      <c r="I405" s="975"/>
      <c r="J405" s="975"/>
      <c r="K405" s="975"/>
      <c r="L405" s="153" t="str">
        <f t="shared" si="18"/>
        <v>6556</v>
      </c>
      <c r="M405" s="154" t="str">
        <f t="shared" si="19"/>
        <v>FRAIS REPRESENTATION</v>
      </c>
      <c r="N405" s="155">
        <f>+IF(OR($Q405=Parametres!$G$2,$Q405=Parametres!$G$3),I405,C405)</f>
        <v>850.78</v>
      </c>
      <c r="O405" s="155">
        <f>+IF(OR($Q405=Parametres!$G$2,$Q405=Parametres!$G$3),J405,D405)</f>
        <v>425.39</v>
      </c>
      <c r="P405" s="155">
        <f>+IF(OR($Q405=Parametres!$G$2,$Q405=Parametres!$G$3),K405,E405)</f>
        <v>1276.17</v>
      </c>
      <c r="Q405" s="154" t="str">
        <f t="shared" si="29"/>
        <v>7-Dépenses</v>
      </c>
      <c r="R405" s="153" t="str">
        <f t="shared" si="29"/>
        <v>6156</v>
      </c>
      <c r="S405" s="154">
        <f t="shared" si="29"/>
        <v>0</v>
      </c>
      <c r="T405" s="156" t="str">
        <f>+VLOOKUP($L405,Data_Validation!$A:$D,1,0)</f>
        <v>6556</v>
      </c>
      <c r="U405" s="156" t="str">
        <f>+VLOOKUP($L405,Data_Validation!$A:$D,3,0)</f>
        <v>Carrosserie</v>
      </c>
      <c r="V405" s="156" t="str">
        <f>+VLOOKUP($L405,Data_Validation!$A:$D,4,0)</f>
        <v>Frais de déplacement</v>
      </c>
      <c r="W405" s="156" t="str">
        <f>+VLOOKUP($L405,Data_Validation!$A:$E,5,0)</f>
        <v>$</v>
      </c>
      <c r="X405" s="156">
        <f>+VLOOKUP($L405,Data_Validation!$A:$F,6,0)</f>
        <v>0</v>
      </c>
    </row>
    <row r="406" spans="1:24" ht="15" hidden="1" customHeight="1">
      <c r="A406" s="1013" t="s">
        <v>1308</v>
      </c>
      <c r="B406" s="1013" t="s">
        <v>2661</v>
      </c>
      <c r="C406" s="1015">
        <v>2233.85</v>
      </c>
      <c r="D406" s="1015">
        <v>1227.5999999999999</v>
      </c>
      <c r="E406" s="1015">
        <v>3461.45</v>
      </c>
      <c r="F406" s="1013" t="s">
        <v>401</v>
      </c>
      <c r="G406" s="1013" t="s">
        <v>2662</v>
      </c>
      <c r="H406" s="972"/>
      <c r="I406" s="975"/>
      <c r="J406" s="975"/>
      <c r="K406" s="975"/>
      <c r="L406" s="153" t="str">
        <f t="shared" si="18"/>
        <v>6559</v>
      </c>
      <c r="M406" s="154" t="str">
        <f t="shared" si="19"/>
        <v>SERVICE EXTERIEUR</v>
      </c>
      <c r="N406" s="155">
        <f>+IF(OR($Q406=Parametres!$G$2,$Q406=Parametres!$G$3),I406,C406)</f>
        <v>2233.85</v>
      </c>
      <c r="O406" s="155">
        <f>+IF(OR($Q406=Parametres!$G$2,$Q406=Parametres!$G$3),J406,D406)</f>
        <v>1227.5999999999999</v>
      </c>
      <c r="P406" s="155">
        <f>+IF(OR($Q406=Parametres!$G$2,$Q406=Parametres!$G$3),K406,E406)</f>
        <v>3461.45</v>
      </c>
      <c r="Q406" s="154" t="str">
        <f t="shared" si="29"/>
        <v>7-Dépenses</v>
      </c>
      <c r="R406" s="153" t="str">
        <f t="shared" si="29"/>
        <v>6159</v>
      </c>
      <c r="S406" s="154">
        <f t="shared" si="29"/>
        <v>0</v>
      </c>
      <c r="T406" s="156" t="str">
        <f>+VLOOKUP($L406,Data_Validation!$A:$D,1,0)</f>
        <v>6559</v>
      </c>
      <c r="U406" s="156" t="str">
        <f>+VLOOKUP($L406,Data_Validation!$A:$D,3,0)</f>
        <v>Carrosserie</v>
      </c>
      <c r="V406" s="156" t="str">
        <f>+VLOOKUP($L406,Data_Validation!$A:$D,4,0)</f>
        <v>Services extérieurs</v>
      </c>
      <c r="W406" s="156" t="str">
        <f>+VLOOKUP($L406,Data_Validation!$A:$E,5,0)</f>
        <v>$</v>
      </c>
      <c r="X406" s="156">
        <f>+VLOOKUP($L406,Data_Validation!$A:$F,6,0)</f>
        <v>0</v>
      </c>
    </row>
    <row r="407" spans="1:24" ht="15.75" hidden="1" customHeight="1">
      <c r="A407" s="1013" t="s">
        <v>1333</v>
      </c>
      <c r="B407" s="1013" t="s">
        <v>2652</v>
      </c>
      <c r="C407" s="1015">
        <v>1260</v>
      </c>
      <c r="D407" s="1015">
        <v>630</v>
      </c>
      <c r="E407" s="1015">
        <v>1890</v>
      </c>
      <c r="F407" s="1013" t="s">
        <v>401</v>
      </c>
      <c r="G407" s="1013" t="s">
        <v>2653</v>
      </c>
      <c r="H407" s="972"/>
      <c r="I407" s="975"/>
      <c r="J407" s="975"/>
      <c r="K407" s="975"/>
      <c r="L407" s="153" t="str">
        <f t="shared" si="18"/>
        <v>6561</v>
      </c>
      <c r="M407" s="154" t="str">
        <f t="shared" si="19"/>
        <v>DEPRECIATION EQUIP. &amp; FIXTURES</v>
      </c>
      <c r="N407" s="155">
        <f>+IF(OR($Q407=Parametres!$G$2,$Q407=Parametres!$G$3),I407,C407)</f>
        <v>1260</v>
      </c>
      <c r="O407" s="155">
        <f>+IF(OR($Q407=Parametres!$G$2,$Q407=Parametres!$G$3),J407,D407)</f>
        <v>630</v>
      </c>
      <c r="P407" s="155">
        <f>+IF(OR($Q407=Parametres!$G$2,$Q407=Parametres!$G$3),K407,E407)</f>
        <v>1890</v>
      </c>
      <c r="Q407" s="154" t="str">
        <f t="shared" si="29"/>
        <v>7-Dépenses</v>
      </c>
      <c r="R407" s="153" t="str">
        <f t="shared" si="29"/>
        <v>6161</v>
      </c>
      <c r="S407" s="154">
        <f t="shared" si="29"/>
        <v>0</v>
      </c>
      <c r="T407" s="156" t="str">
        <f>+VLOOKUP($L407,Data_Validation!$A:$D,1,0)</f>
        <v>6561</v>
      </c>
      <c r="U407" s="156" t="str">
        <f>+VLOOKUP($L407,Data_Validation!$A:$D,3,0)</f>
        <v>Carrosserie</v>
      </c>
      <c r="V407" s="156" t="str">
        <f>+VLOOKUP($L407,Data_Validation!$A:$D,4,0)</f>
        <v>Amortissement</v>
      </c>
      <c r="W407" s="156" t="str">
        <f>+VLOOKUP($L407,Data_Validation!$A:$E,5,0)</f>
        <v>$</v>
      </c>
      <c r="X407" s="156">
        <f>+VLOOKUP($L407,Data_Validation!$A:$F,6,0)</f>
        <v>0</v>
      </c>
    </row>
    <row r="408" spans="1:24" ht="15" hidden="1" customHeight="1">
      <c r="A408" s="1013" t="s">
        <v>936</v>
      </c>
      <c r="B408" s="1013" t="s">
        <v>2471</v>
      </c>
      <c r="C408" s="1015">
        <v>56</v>
      </c>
      <c r="D408" s="1015">
        <v>28</v>
      </c>
      <c r="E408" s="1015">
        <v>84</v>
      </c>
      <c r="F408" s="1013" t="s">
        <v>401</v>
      </c>
      <c r="G408" s="1013" t="s">
        <v>2463</v>
      </c>
      <c r="H408" s="972"/>
      <c r="I408" s="975"/>
      <c r="J408" s="975"/>
      <c r="K408" s="975"/>
      <c r="L408" s="153" t="str">
        <f t="shared" si="18"/>
        <v>6562</v>
      </c>
      <c r="M408" s="154" t="str">
        <f t="shared" si="19"/>
        <v>LOCATION D'EQUIPEMENTS</v>
      </c>
      <c r="N408" s="155">
        <f>+IF(OR($Q408=Parametres!$G$2,$Q408=Parametres!$G$3),I408,C408)</f>
        <v>56</v>
      </c>
      <c r="O408" s="155">
        <f>+IF(OR($Q408=Parametres!$G$2,$Q408=Parametres!$G$3),J408,D408)</f>
        <v>28</v>
      </c>
      <c r="P408" s="155">
        <f>+IF(OR($Q408=Parametres!$G$2,$Q408=Parametres!$G$3),K408,E408)</f>
        <v>84</v>
      </c>
      <c r="Q408" s="154" t="str">
        <f t="shared" si="29"/>
        <v>7-Dépenses</v>
      </c>
      <c r="R408" s="153" t="str">
        <f t="shared" si="29"/>
        <v>6162</v>
      </c>
      <c r="S408" s="154">
        <f t="shared" si="29"/>
        <v>0</v>
      </c>
      <c r="T408" s="156" t="str">
        <f>+VLOOKUP($L408,Data_Validation!$A:$D,1,0)</f>
        <v>6562</v>
      </c>
      <c r="U408" s="156" t="str">
        <f>+VLOOKUP($L408,Data_Validation!$A:$D,3,0)</f>
        <v>Carrosserie</v>
      </c>
      <c r="V408" s="156" t="str">
        <f>+VLOOKUP($L408,Data_Validation!$A:$D,4,0)</f>
        <v>Location équipement</v>
      </c>
      <c r="W408" s="156" t="str">
        <f>+VLOOKUP($L408,Data_Validation!$A:$E,5,0)</f>
        <v>$</v>
      </c>
      <c r="X408" s="156">
        <f>+VLOOKUP($L408,Data_Validation!$A:$F,6,0)</f>
        <v>0</v>
      </c>
    </row>
    <row r="409" spans="1:24" ht="15" hidden="1" customHeight="1">
      <c r="A409" s="1013" t="s">
        <v>1244</v>
      </c>
      <c r="B409" s="1013" t="s">
        <v>2603</v>
      </c>
      <c r="C409" s="1015">
        <v>513.79999999999995</v>
      </c>
      <c r="D409" s="1015">
        <v>256.89999999999998</v>
      </c>
      <c r="E409" s="1015">
        <v>770.7</v>
      </c>
      <c r="F409" s="1013" t="s">
        <v>401</v>
      </c>
      <c r="G409" s="1013" t="s">
        <v>2604</v>
      </c>
      <c r="H409" s="972"/>
      <c r="I409" s="975"/>
      <c r="J409" s="975"/>
      <c r="K409" s="975"/>
      <c r="L409" s="153" t="str">
        <f t="shared" si="18"/>
        <v>6581</v>
      </c>
      <c r="M409" s="154" t="str">
        <f t="shared" si="19"/>
        <v>CHAUFFAGE,ELECTRICITE,EAU-CARROS.</v>
      </c>
      <c r="N409" s="155">
        <f>+IF(OR($Q409=Parametres!$G$2,$Q409=Parametres!$G$3),I409,C409)</f>
        <v>513.79999999999995</v>
      </c>
      <c r="O409" s="155">
        <f>+IF(OR($Q409=Parametres!$G$2,$Q409=Parametres!$G$3),J409,D409)</f>
        <v>256.89999999999998</v>
      </c>
      <c r="P409" s="155">
        <f>+IF(OR($Q409=Parametres!$G$2,$Q409=Parametres!$G$3),K409,E409)</f>
        <v>770.7</v>
      </c>
      <c r="Q409" s="154" t="str">
        <f t="shared" si="29"/>
        <v>7-Dépenses</v>
      </c>
      <c r="R409" s="153" t="str">
        <f t="shared" si="29"/>
        <v>6181</v>
      </c>
      <c r="S409" s="154">
        <f t="shared" si="29"/>
        <v>0</v>
      </c>
      <c r="T409" s="156" t="str">
        <f>+VLOOKUP($L409,Data_Validation!$A:$D,1,0)</f>
        <v>6581</v>
      </c>
      <c r="U409" s="156" t="str">
        <f>+VLOOKUP($L409,Data_Validation!$A:$D,3,0)</f>
        <v>Carrosserie</v>
      </c>
      <c r="V409" s="156" t="str">
        <f>+VLOOKUP($L409,Data_Validation!$A:$D,4,0)</f>
        <v>Chauffage, éclairage</v>
      </c>
      <c r="W409" s="156" t="str">
        <f>+VLOOKUP($L409,Data_Validation!$A:$E,5,0)</f>
        <v>$</v>
      </c>
      <c r="X409" s="156">
        <f>+VLOOKUP($L409,Data_Validation!$A:$F,6,0)</f>
        <v>0</v>
      </c>
    </row>
    <row r="410" spans="1:24" ht="15" hidden="1" customHeight="1">
      <c r="A410" s="1013" t="s">
        <v>1398</v>
      </c>
      <c r="B410" s="1013" t="s">
        <v>2708</v>
      </c>
      <c r="C410" s="1015">
        <v>3640.01</v>
      </c>
      <c r="D410" s="1015">
        <v>1820.02</v>
      </c>
      <c r="E410" s="1015">
        <v>5460.03</v>
      </c>
      <c r="F410" s="1013" t="s">
        <v>401</v>
      </c>
      <c r="G410" s="1013" t="s">
        <v>2709</v>
      </c>
      <c r="H410" s="972"/>
      <c r="I410" s="975"/>
      <c r="J410" s="975"/>
      <c r="K410" s="975"/>
      <c r="L410" s="153" t="str">
        <f t="shared" si="18"/>
        <v>6582</v>
      </c>
      <c r="M410" s="154" t="str">
        <f t="shared" si="19"/>
        <v>LOYER - CARROSSERIE</v>
      </c>
      <c r="N410" s="155">
        <f>+IF(OR($Q410=Parametres!$G$2,$Q410=Parametres!$G$3),I410,C410)</f>
        <v>3640.01</v>
      </c>
      <c r="O410" s="155">
        <f>+IF(OR($Q410=Parametres!$G$2,$Q410=Parametres!$G$3),J410,D410)</f>
        <v>1820.02</v>
      </c>
      <c r="P410" s="155">
        <f>+IF(OR($Q410=Parametres!$G$2,$Q410=Parametres!$G$3),K410,E410)</f>
        <v>5460.03</v>
      </c>
      <c r="Q410" s="154" t="str">
        <f t="shared" si="29"/>
        <v>7-Dépenses</v>
      </c>
      <c r="R410" s="153" t="str">
        <f t="shared" si="29"/>
        <v>6182</v>
      </c>
      <c r="S410" s="154">
        <f t="shared" si="29"/>
        <v>0</v>
      </c>
      <c r="T410" s="156" t="str">
        <f>+VLOOKUP($L410,Data_Validation!$A:$D,1,0)</f>
        <v>6582</v>
      </c>
      <c r="U410" s="156" t="str">
        <f>+VLOOKUP($L410,Data_Validation!$A:$D,3,0)</f>
        <v>Carrosserie</v>
      </c>
      <c r="V410" s="156" t="str">
        <f>+VLOOKUP($L410,Data_Validation!$A:$D,4,0)</f>
        <v>Loyer</v>
      </c>
      <c r="W410" s="156" t="str">
        <f>+VLOOKUP($L410,Data_Validation!$A:$E,5,0)</f>
        <v>$</v>
      </c>
      <c r="X410" s="156">
        <f>+VLOOKUP($L410,Data_Validation!$A:$F,6,0)</f>
        <v>0</v>
      </c>
    </row>
    <row r="411" spans="1:24" ht="15.75" hidden="1" customHeight="1">
      <c r="A411" s="1013" t="s">
        <v>1255</v>
      </c>
      <c r="B411" s="1013" t="s">
        <v>2593</v>
      </c>
      <c r="C411" s="1015">
        <v>210</v>
      </c>
      <c r="D411" s="1015">
        <v>105</v>
      </c>
      <c r="E411" s="1015">
        <v>315</v>
      </c>
      <c r="F411" s="1013" t="s">
        <v>401</v>
      </c>
      <c r="G411" s="1013" t="s">
        <v>2594</v>
      </c>
      <c r="H411" s="972"/>
      <c r="I411" s="975"/>
      <c r="J411" s="975"/>
      <c r="K411" s="975"/>
      <c r="L411" s="153" t="str">
        <f t="shared" si="18"/>
        <v>6586</v>
      </c>
      <c r="M411" s="154" t="str">
        <f t="shared" si="19"/>
        <v>ASSURANCE BATISSE &amp; AMEL.-CARROS.</v>
      </c>
      <c r="N411" s="155">
        <f>+IF(OR($Q411=Parametres!$G$2,$Q411=Parametres!$G$3),I411,C411)</f>
        <v>210</v>
      </c>
      <c r="O411" s="155">
        <f>+IF(OR($Q411=Parametres!$G$2,$Q411=Parametres!$G$3),J411,D411)</f>
        <v>105</v>
      </c>
      <c r="P411" s="155">
        <f>+IF(OR($Q411=Parametres!$G$2,$Q411=Parametres!$G$3),K411,E411)</f>
        <v>315</v>
      </c>
      <c r="Q411" s="154" t="str">
        <f t="shared" si="29"/>
        <v>7-Dépenses</v>
      </c>
      <c r="R411" s="153" t="str">
        <f t="shared" si="29"/>
        <v>6186</v>
      </c>
      <c r="S411" s="154">
        <f t="shared" si="29"/>
        <v>0</v>
      </c>
      <c r="T411" s="156" t="str">
        <f>+VLOOKUP($L411,Data_Validation!$A:$D,1,0)</f>
        <v>6586</v>
      </c>
      <c r="U411" s="156" t="str">
        <f>+VLOOKUP($L411,Data_Validation!$A:$D,3,0)</f>
        <v>Carrosserie</v>
      </c>
      <c r="V411" s="156" t="str">
        <f>+VLOOKUP($L411,Data_Validation!$A:$D,4,0)</f>
        <v>Assurances</v>
      </c>
      <c r="W411" s="156" t="str">
        <f>+VLOOKUP($L411,Data_Validation!$A:$E,5,0)</f>
        <v>$</v>
      </c>
      <c r="X411" s="156">
        <f>+VLOOKUP($L411,Data_Validation!$A:$F,6,0)</f>
        <v>0</v>
      </c>
    </row>
    <row r="412" spans="1:24" ht="15" hidden="1" customHeight="1">
      <c r="A412" s="1013" t="s">
        <v>1264</v>
      </c>
      <c r="B412" s="1013" t="s">
        <v>2613</v>
      </c>
      <c r="C412" s="1015">
        <v>658</v>
      </c>
      <c r="D412" s="1015">
        <v>329</v>
      </c>
      <c r="E412" s="1015">
        <v>987</v>
      </c>
      <c r="F412" s="1013" t="s">
        <v>401</v>
      </c>
      <c r="G412" s="1013" t="s">
        <v>2614</v>
      </c>
      <c r="H412" s="972"/>
      <c r="I412" s="975"/>
      <c r="J412" s="975"/>
      <c r="K412" s="975"/>
      <c r="L412" s="153" t="str">
        <f t="shared" si="18"/>
        <v>6587</v>
      </c>
      <c r="M412" s="154" t="str">
        <f t="shared" si="19"/>
        <v>TAXES FONCIERES - CAROSSERIE</v>
      </c>
      <c r="N412" s="155">
        <f>+IF(OR($Q412=Parametres!$G$2,$Q412=Parametres!$G$3),I412,C412)</f>
        <v>658</v>
      </c>
      <c r="O412" s="155">
        <f>+IF(OR($Q412=Parametres!$G$2,$Q412=Parametres!$G$3),J412,D412)</f>
        <v>329</v>
      </c>
      <c r="P412" s="155">
        <f>+IF(OR($Q412=Parametres!$G$2,$Q412=Parametres!$G$3),K412,E412)</f>
        <v>987</v>
      </c>
      <c r="Q412" s="154" t="str">
        <f t="shared" si="29"/>
        <v>7-Dépenses</v>
      </c>
      <c r="R412" s="153" t="str">
        <f t="shared" si="29"/>
        <v>6187</v>
      </c>
      <c r="S412" s="154">
        <f t="shared" si="29"/>
        <v>0</v>
      </c>
      <c r="T412" s="156" t="str">
        <f>+VLOOKUP($L412,Data_Validation!$A:$D,1,0)</f>
        <v>6587</v>
      </c>
      <c r="U412" s="156" t="str">
        <f>+VLOOKUP($L412,Data_Validation!$A:$D,3,0)</f>
        <v>Carrosserie</v>
      </c>
      <c r="V412" s="156" t="str">
        <f>+VLOOKUP($L412,Data_Validation!$A:$D,4,0)</f>
        <v>Taxes foncières</v>
      </c>
      <c r="W412" s="156" t="str">
        <f>+VLOOKUP($L412,Data_Validation!$A:$E,5,0)</f>
        <v>$</v>
      </c>
      <c r="X412" s="156">
        <f>+VLOOKUP($L412,Data_Validation!$A:$F,6,0)</f>
        <v>0</v>
      </c>
    </row>
    <row r="413" spans="1:24" ht="15" hidden="1" customHeight="1">
      <c r="A413" s="1013" t="s">
        <v>1225</v>
      </c>
      <c r="B413" s="1013" t="s">
        <v>2596</v>
      </c>
      <c r="C413" s="1015">
        <v>441</v>
      </c>
      <c r="D413" s="1015">
        <v>220.5</v>
      </c>
      <c r="E413" s="1015">
        <v>661.5</v>
      </c>
      <c r="F413" s="1013" t="s">
        <v>401</v>
      </c>
      <c r="G413" s="1013" t="s">
        <v>2597</v>
      </c>
      <c r="H413" s="972"/>
      <c r="I413" s="975"/>
      <c r="J413" s="975"/>
      <c r="K413" s="975"/>
      <c r="L413" s="153" t="str">
        <f t="shared" si="18"/>
        <v>6593</v>
      </c>
      <c r="M413" s="154" t="str">
        <f t="shared" si="19"/>
        <v>AUTRES TAXES -CARROSSERIE</v>
      </c>
      <c r="N413" s="155">
        <f>+IF(OR($Q413=Parametres!$G$2,$Q413=Parametres!$G$3),I413,C413)</f>
        <v>441</v>
      </c>
      <c r="O413" s="155">
        <f>+IF(OR($Q413=Parametres!$G$2,$Q413=Parametres!$G$3),J413,D413)</f>
        <v>220.5</v>
      </c>
      <c r="P413" s="155">
        <f>+IF(OR($Q413=Parametres!$G$2,$Q413=Parametres!$G$3),K413,E413)</f>
        <v>661.5</v>
      </c>
      <c r="Q413" s="154" t="str">
        <f t="shared" si="29"/>
        <v>7-Dépenses</v>
      </c>
      <c r="R413" s="153" t="str">
        <f t="shared" si="29"/>
        <v>6193</v>
      </c>
      <c r="S413" s="154">
        <f t="shared" si="29"/>
        <v>0</v>
      </c>
      <c r="T413" s="156" t="str">
        <f>+VLOOKUP($L413,Data_Validation!$A:$D,1,0)</f>
        <v>6593</v>
      </c>
      <c r="U413" s="156" t="str">
        <f>+VLOOKUP($L413,Data_Validation!$A:$D,3,0)</f>
        <v>Carrosserie</v>
      </c>
      <c r="V413" s="156" t="str">
        <f>+VLOOKUP($L413,Data_Validation!$A:$D,4,0)</f>
        <v>Taxes d`affaires</v>
      </c>
      <c r="W413" s="156" t="str">
        <f>+VLOOKUP($L413,Data_Validation!$A:$E,5,0)</f>
        <v>$</v>
      </c>
      <c r="X413" s="156">
        <f>+VLOOKUP($L413,Data_Validation!$A:$F,6,0)</f>
        <v>0</v>
      </c>
    </row>
    <row r="414" spans="1:24" ht="15" hidden="1" customHeight="1">
      <c r="A414" s="1013" t="s">
        <v>1271</v>
      </c>
      <c r="B414" s="1013" t="s">
        <v>2634</v>
      </c>
      <c r="C414" s="1015">
        <v>1123.5</v>
      </c>
      <c r="D414" s="1015">
        <v>561.75</v>
      </c>
      <c r="E414" s="1015">
        <v>1685.25</v>
      </c>
      <c r="F414" s="1013" t="s">
        <v>401</v>
      </c>
      <c r="G414" s="1013" t="s">
        <v>2635</v>
      </c>
      <c r="H414" s="972"/>
      <c r="I414" s="975"/>
      <c r="J414" s="975"/>
      <c r="K414" s="975"/>
      <c r="L414" s="153" t="str">
        <f t="shared" si="18"/>
        <v>6594</v>
      </c>
      <c r="M414" s="154" t="str">
        <f t="shared" si="19"/>
        <v>FRAIS PROFESSIONNEL-CARROS.</v>
      </c>
      <c r="N414" s="155">
        <f>+IF(OR($Q414=Parametres!$G$2,$Q414=Parametres!$G$3),I414,C414)</f>
        <v>1123.5</v>
      </c>
      <c r="O414" s="155">
        <f>+IF(OR($Q414=Parametres!$G$2,$Q414=Parametres!$G$3),J414,D414)</f>
        <v>561.75</v>
      </c>
      <c r="P414" s="155">
        <f>+IF(OR($Q414=Parametres!$G$2,$Q414=Parametres!$G$3),K414,E414)</f>
        <v>1685.25</v>
      </c>
      <c r="Q414" s="154" t="str">
        <f t="shared" si="29"/>
        <v>7-Dépenses</v>
      </c>
      <c r="R414" s="153" t="str">
        <f t="shared" si="29"/>
        <v>6194</v>
      </c>
      <c r="S414" s="154">
        <f t="shared" si="29"/>
        <v>0</v>
      </c>
      <c r="T414" s="156" t="str">
        <f>+VLOOKUP($L414,Data_Validation!$A:$D,1,0)</f>
        <v>6594</v>
      </c>
      <c r="U414" s="156" t="str">
        <f>+VLOOKUP($L414,Data_Validation!$A:$D,3,0)</f>
        <v>Carrosserie</v>
      </c>
      <c r="V414" s="156" t="str">
        <f>+VLOOKUP($L414,Data_Validation!$A:$D,4,0)</f>
        <v>Honoraires</v>
      </c>
      <c r="W414" s="156" t="str">
        <f>+VLOOKUP($L414,Data_Validation!$A:$E,5,0)</f>
        <v>$</v>
      </c>
      <c r="X414" s="156">
        <f>+VLOOKUP($L414,Data_Validation!$A:$F,6,0)</f>
        <v>0</v>
      </c>
    </row>
    <row r="415" spans="1:24" ht="15.75" hidden="1" customHeight="1">
      <c r="A415" s="1013" t="s">
        <v>399</v>
      </c>
      <c r="B415" s="1013" t="s">
        <v>2472</v>
      </c>
      <c r="C415" s="1015">
        <v>2091.9299999999998</v>
      </c>
      <c r="D415" s="1015">
        <v>57.07</v>
      </c>
      <c r="E415" s="1015">
        <v>2149</v>
      </c>
      <c r="F415" s="1013" t="s">
        <v>401</v>
      </c>
      <c r="G415" s="1013" t="s">
        <v>2467</v>
      </c>
      <c r="H415" s="972"/>
      <c r="I415" s="975"/>
      <c r="J415" s="975"/>
      <c r="K415" s="975"/>
      <c r="L415" s="153" t="str">
        <f t="shared" si="18"/>
        <v>6703</v>
      </c>
      <c r="M415" s="154" t="str">
        <f t="shared" si="19"/>
        <v>RELAT. A LA CLIENTELE &amp; AJUST.</v>
      </c>
      <c r="N415" s="155">
        <f>+IF(OR($Q415=Parametres!$G$2,$Q415=Parametres!$G$3),I415,C415)</f>
        <v>2091.9299999999998</v>
      </c>
      <c r="O415" s="155">
        <f>+IF(OR($Q415=Parametres!$G$2,$Q415=Parametres!$G$3),J415,D415)</f>
        <v>57.07</v>
      </c>
      <c r="P415" s="155">
        <f>+IF(OR($Q415=Parametres!$G$2,$Q415=Parametres!$G$3),K415,E415)</f>
        <v>2149</v>
      </c>
      <c r="Q415" s="154" t="str">
        <f t="shared" si="29"/>
        <v>7-Dépenses</v>
      </c>
      <c r="R415" s="153" t="str">
        <f t="shared" si="29"/>
        <v>6112</v>
      </c>
      <c r="S415" s="154">
        <f t="shared" si="29"/>
        <v>0</v>
      </c>
      <c r="T415" s="156" t="str">
        <f>+VLOOKUP($L415,Data_Validation!$A:$D,1,0)</f>
        <v>6703</v>
      </c>
      <c r="U415" s="156" t="str">
        <f>+VLOOKUP($L415,Data_Validation!$A:$D,3,0)</f>
        <v>Pièces</v>
      </c>
      <c r="V415" s="156" t="str">
        <f>+VLOOKUP($L415,Data_Validation!$A:$D,4,0)</f>
        <v>Service gratuit 2</v>
      </c>
      <c r="W415" s="156" t="str">
        <f>+VLOOKUP($L415,Data_Validation!$A:$E,5,0)</f>
        <v>$</v>
      </c>
      <c r="X415" s="156">
        <f>+VLOOKUP($L415,Data_Validation!$A:$F,6,0)</f>
        <v>0</v>
      </c>
    </row>
    <row r="416" spans="1:24" ht="15" hidden="1" customHeight="1">
      <c r="A416" s="1013" t="s">
        <v>1374</v>
      </c>
      <c r="B416" s="1013" t="s">
        <v>2675</v>
      </c>
      <c r="C416" s="1015">
        <v>12305.14</v>
      </c>
      <c r="D416" s="1015">
        <v>7480.84</v>
      </c>
      <c r="E416" s="1015">
        <v>19785.98</v>
      </c>
      <c r="F416" s="1013" t="s">
        <v>401</v>
      </c>
      <c r="G416" s="1013" t="s">
        <v>2113</v>
      </c>
      <c r="H416" s="972"/>
      <c r="I416" s="975"/>
      <c r="J416" s="975"/>
      <c r="K416" s="975"/>
      <c r="L416" s="153" t="str">
        <f t="shared" si="18"/>
        <v>6714</v>
      </c>
      <c r="M416" s="154" t="str">
        <f t="shared" si="19"/>
        <v>PUBLICITE</v>
      </c>
      <c r="N416" s="155">
        <f>+IF(OR($Q416=Parametres!$G$2,$Q416=Parametres!$G$3),I416,C416)</f>
        <v>12305.14</v>
      </c>
      <c r="O416" s="155">
        <f>+IF(OR($Q416=Parametres!$G$2,$Q416=Parametres!$G$3),J416,D416)</f>
        <v>7480.84</v>
      </c>
      <c r="P416" s="155">
        <f>+IF(OR($Q416=Parametres!$G$2,$Q416=Parametres!$G$3),K416,E416)</f>
        <v>19785.98</v>
      </c>
      <c r="Q416" s="154" t="str">
        <f t="shared" si="29"/>
        <v>7-Dépenses</v>
      </c>
      <c r="R416" s="153" t="str">
        <f t="shared" si="29"/>
        <v>6114</v>
      </c>
      <c r="S416" s="154">
        <f t="shared" si="29"/>
        <v>0</v>
      </c>
      <c r="T416" s="156" t="str">
        <f>+VLOOKUP($L416,Data_Validation!$A:$D,1,0)</f>
        <v>6714</v>
      </c>
      <c r="U416" s="156" t="str">
        <f>+VLOOKUP($L416,Data_Validation!$A:$D,3,0)</f>
        <v>Pièces</v>
      </c>
      <c r="V416" s="156" t="str">
        <f>+VLOOKUP($L416,Data_Validation!$A:$D,4,0)</f>
        <v>Publicité 2</v>
      </c>
      <c r="W416" s="156" t="str">
        <f>+VLOOKUP($L416,Data_Validation!$A:$E,5,0)</f>
        <v>$</v>
      </c>
      <c r="X416" s="156">
        <f>+VLOOKUP($L416,Data_Validation!$A:$F,6,0)</f>
        <v>0</v>
      </c>
    </row>
    <row r="417" spans="1:24" ht="15" hidden="1" customHeight="1">
      <c r="A417" s="1013" t="s">
        <v>1357</v>
      </c>
      <c r="B417" s="1013" t="s">
        <v>2715</v>
      </c>
      <c r="C417" s="1015">
        <v>8608.86</v>
      </c>
      <c r="D417" s="1015">
        <v>1800.66</v>
      </c>
      <c r="E417" s="1015">
        <v>10409.52</v>
      </c>
      <c r="F417" s="1013" t="s">
        <v>401</v>
      </c>
      <c r="G417" s="1013" t="s">
        <v>2648</v>
      </c>
      <c r="H417" s="972"/>
      <c r="I417" s="975"/>
      <c r="J417" s="975"/>
      <c r="K417" s="975"/>
      <c r="L417" s="153" t="str">
        <f t="shared" si="18"/>
        <v>6721</v>
      </c>
      <c r="M417" s="154" t="str">
        <f t="shared" si="19"/>
        <v>SALAIRES - PROPRIEATIRES</v>
      </c>
      <c r="N417" s="155">
        <f>+IF(OR($Q417=Parametres!$G$2,$Q417=Parametres!$G$3),I417,C417)</f>
        <v>8608.86</v>
      </c>
      <c r="O417" s="155">
        <f>+IF(OR($Q417=Parametres!$G$2,$Q417=Parametres!$G$3),J417,D417)</f>
        <v>1800.66</v>
      </c>
      <c r="P417" s="155">
        <f>+IF(OR($Q417=Parametres!$G$2,$Q417=Parametres!$G$3),K417,E417)</f>
        <v>10409.52</v>
      </c>
      <c r="Q417" s="154" t="str">
        <f t="shared" si="29"/>
        <v>7-Dépenses</v>
      </c>
      <c r="R417" s="153" t="str">
        <f t="shared" si="29"/>
        <v>6121</v>
      </c>
      <c r="S417" s="154">
        <f t="shared" si="29"/>
        <v>0</v>
      </c>
      <c r="T417" s="156" t="str">
        <f>+VLOOKUP($L417,Data_Validation!$A:$D,1,0)</f>
        <v>6721</v>
      </c>
      <c r="U417" s="156" t="str">
        <f>+VLOOKUP($L417,Data_Validation!$A:$D,3,0)</f>
        <v>Pièces</v>
      </c>
      <c r="V417" s="156" t="str">
        <f>+VLOOKUP($L417,Data_Validation!$A:$D,4,0)</f>
        <v>Salaires propriétaire</v>
      </c>
      <c r="W417" s="156" t="str">
        <f>+VLOOKUP($L417,Data_Validation!$A:$E,5,0)</f>
        <v>$</v>
      </c>
      <c r="X417" s="156">
        <f>+VLOOKUP($L417,Data_Validation!$A:$F,6,0)</f>
        <v>0</v>
      </c>
    </row>
    <row r="418" spans="1:24" ht="15" hidden="1" customHeight="1">
      <c r="A418" s="1013" t="s">
        <v>2624</v>
      </c>
      <c r="B418" s="1013" t="s">
        <v>2765</v>
      </c>
      <c r="C418" s="1015">
        <v>19590.23</v>
      </c>
      <c r="D418" s="1015">
        <v>11077.66</v>
      </c>
      <c r="E418" s="1015">
        <v>30667.89</v>
      </c>
      <c r="F418" s="1013" t="s">
        <v>401</v>
      </c>
      <c r="G418" s="1013" t="s">
        <v>2626</v>
      </c>
      <c r="H418" s="972"/>
      <c r="I418" s="975"/>
      <c r="J418" s="975"/>
      <c r="K418" s="975"/>
      <c r="L418" s="153" t="str">
        <f t="shared" si="18"/>
        <v>6722</v>
      </c>
      <c r="M418" s="154" t="str">
        <f t="shared" si="19"/>
        <v>SAL SUPERVISION / GERANT</v>
      </c>
      <c r="N418" s="155">
        <f>+IF(OR($Q418=Parametres!$G$2,$Q418=Parametres!$G$3),I418,C418)</f>
        <v>19590.23</v>
      </c>
      <c r="O418" s="155">
        <f>+IF(OR($Q418=Parametres!$G$2,$Q418=Parametres!$G$3),J418,D418)</f>
        <v>11077.66</v>
      </c>
      <c r="P418" s="155">
        <f>+IF(OR($Q418=Parametres!$G$2,$Q418=Parametres!$G$3),K418,E418)</f>
        <v>30667.89</v>
      </c>
      <c r="Q418" s="154" t="str">
        <f t="shared" ref="Q418:S433" si="30">+F418</f>
        <v>7-Dépenses</v>
      </c>
      <c r="R418" s="153" t="str">
        <f t="shared" si="30"/>
        <v>6122</v>
      </c>
      <c r="S418" s="154">
        <f t="shared" si="30"/>
        <v>0</v>
      </c>
      <c r="T418" s="156" t="str">
        <f>+VLOOKUP($L418,Data_Validation!$A:$D,1,0)</f>
        <v>6722</v>
      </c>
      <c r="U418" s="156" t="str">
        <f>+VLOOKUP($L418,Data_Validation!$A:$D,3,0)</f>
        <v>Pièces</v>
      </c>
      <c r="V418" s="156" t="str">
        <f>+VLOOKUP($L418,Data_Validation!$A:$D,4,0)</f>
        <v>Salaires cadres</v>
      </c>
      <c r="W418" s="156" t="str">
        <f>+VLOOKUP($L418,Data_Validation!$A:$E,5,0)</f>
        <v>$</v>
      </c>
      <c r="X418" s="156">
        <f>+VLOOKUP($L418,Data_Validation!$A:$F,6,0)</f>
        <v>0</v>
      </c>
    </row>
    <row r="419" spans="1:24" ht="15.75" hidden="1" customHeight="1">
      <c r="A419" s="1013" t="s">
        <v>1342</v>
      </c>
      <c r="B419" s="1013" t="s">
        <v>2731</v>
      </c>
      <c r="C419" s="1015">
        <v>7916.66</v>
      </c>
      <c r="D419" s="1015">
        <v>3271.87</v>
      </c>
      <c r="E419" s="1015">
        <v>11188.53</v>
      </c>
      <c r="F419" s="1013" t="s">
        <v>401</v>
      </c>
      <c r="G419" s="1013" t="s">
        <v>2679</v>
      </c>
      <c r="H419" s="972"/>
      <c r="I419" s="975"/>
      <c r="J419" s="975"/>
      <c r="K419" s="975"/>
      <c r="L419" s="153" t="str">
        <f t="shared" si="18"/>
        <v>6723</v>
      </c>
      <c r="M419" s="154" t="str">
        <f t="shared" si="19"/>
        <v>SAL. &amp; RENUM. - CLERICAL</v>
      </c>
      <c r="N419" s="155">
        <f>+IF(OR($Q419=Parametres!$G$2,$Q419=Parametres!$G$3),I419,C419)</f>
        <v>7916.66</v>
      </c>
      <c r="O419" s="155">
        <f>+IF(OR($Q419=Parametres!$G$2,$Q419=Parametres!$G$3),J419,D419)</f>
        <v>3271.87</v>
      </c>
      <c r="P419" s="155">
        <f>+IF(OR($Q419=Parametres!$G$2,$Q419=Parametres!$G$3),K419,E419)</f>
        <v>11188.53</v>
      </c>
      <c r="Q419" s="154" t="str">
        <f t="shared" si="30"/>
        <v>7-Dépenses</v>
      </c>
      <c r="R419" s="153" t="str">
        <f t="shared" si="30"/>
        <v>6123</v>
      </c>
      <c r="S419" s="154">
        <f t="shared" si="30"/>
        <v>0</v>
      </c>
      <c r="T419" s="156" t="str">
        <f>+VLOOKUP($L419,Data_Validation!$A:$D,1,0)</f>
        <v>6723</v>
      </c>
      <c r="U419" s="156" t="str">
        <f>+VLOOKUP($L419,Data_Validation!$A:$D,3,0)</f>
        <v>Pièces</v>
      </c>
      <c r="V419" s="156" t="str">
        <f>+VLOOKUP($L419,Data_Validation!$A:$D,4,0)</f>
        <v>Salaires commis</v>
      </c>
      <c r="W419" s="156" t="str">
        <f>+VLOOKUP($L419,Data_Validation!$A:$E,5,0)</f>
        <v>$</v>
      </c>
      <c r="X419" s="156">
        <f>+VLOOKUP($L419,Data_Validation!$A:$F,6,0)</f>
        <v>0</v>
      </c>
    </row>
    <row r="420" spans="1:24" ht="15.75" hidden="1" customHeight="1">
      <c r="A420" s="1013" t="s">
        <v>1249</v>
      </c>
      <c r="B420" s="1013" t="s">
        <v>2800</v>
      </c>
      <c r="C420" s="1015">
        <v>30739.31</v>
      </c>
      <c r="D420" s="1015">
        <v>14497.42</v>
      </c>
      <c r="E420" s="1015">
        <v>45236.73</v>
      </c>
      <c r="F420" s="1013" t="s">
        <v>401</v>
      </c>
      <c r="G420" s="1013" t="s">
        <v>2735</v>
      </c>
      <c r="H420" s="972"/>
      <c r="I420" s="975"/>
      <c r="J420" s="975"/>
      <c r="K420" s="975"/>
      <c r="L420" s="153" t="str">
        <f t="shared" si="18"/>
        <v>6724</v>
      </c>
      <c r="M420" s="154" t="str">
        <f t="shared" si="19"/>
        <v>SALAIRES &amp; RENUM. - AUTRES</v>
      </c>
      <c r="N420" s="155">
        <f>+IF(OR($Q420=Parametres!$G$2,$Q420=Parametres!$G$3),I420,C420)</f>
        <v>30739.31</v>
      </c>
      <c r="O420" s="155">
        <f>+IF(OR($Q420=Parametres!$G$2,$Q420=Parametres!$G$3),J420,D420)</f>
        <v>14497.42</v>
      </c>
      <c r="P420" s="155">
        <f>+IF(OR($Q420=Parametres!$G$2,$Q420=Parametres!$G$3),K420,E420)</f>
        <v>45236.73</v>
      </c>
      <c r="Q420" s="154" t="str">
        <f t="shared" si="30"/>
        <v>7-Dépenses</v>
      </c>
      <c r="R420" s="153" t="str">
        <f t="shared" si="30"/>
        <v>6124</v>
      </c>
      <c r="S420" s="154">
        <f t="shared" si="30"/>
        <v>0</v>
      </c>
      <c r="T420" s="156" t="str">
        <f>+VLOOKUP($L420,Data_Validation!$A:$D,1,0)</f>
        <v>6724</v>
      </c>
      <c r="U420" s="156" t="str">
        <f>+VLOOKUP($L420,Data_Validation!$A:$D,3,0)</f>
        <v>Pièces</v>
      </c>
      <c r="V420" s="156" t="str">
        <f>+VLOOKUP($L420,Data_Validation!$A:$D,4,0)</f>
        <v>Salaires autres</v>
      </c>
      <c r="W420" s="156" t="str">
        <f>+VLOOKUP($L420,Data_Validation!$A:$E,5,0)</f>
        <v>$</v>
      </c>
      <c r="X420" s="156">
        <f>+VLOOKUP($L420,Data_Validation!$A:$F,6,0)</f>
        <v>0</v>
      </c>
    </row>
    <row r="421" spans="1:24" ht="15" hidden="1" customHeight="1">
      <c r="A421" s="1013" t="s">
        <v>1328</v>
      </c>
      <c r="B421" s="1013" t="s">
        <v>2722</v>
      </c>
      <c r="C421" s="1015">
        <v>7352.91</v>
      </c>
      <c r="D421" s="1015">
        <v>3820.96</v>
      </c>
      <c r="E421" s="1015">
        <v>11173.87</v>
      </c>
      <c r="F421" s="1013" t="s">
        <v>401</v>
      </c>
      <c r="G421" s="1013" t="s">
        <v>2641</v>
      </c>
      <c r="H421" s="972"/>
      <c r="I421" s="975"/>
      <c r="J421" s="975"/>
      <c r="K421" s="975"/>
      <c r="L421" s="153" t="str">
        <f t="shared" si="18"/>
        <v>6729</v>
      </c>
      <c r="M421" s="154" t="str">
        <f t="shared" si="19"/>
        <v>ABSENCES, VACANCES, ETC</v>
      </c>
      <c r="N421" s="155">
        <f>+IF(OR($Q421=Parametres!$G$2,$Q421=Parametres!$G$3),I421,C421)</f>
        <v>7352.91</v>
      </c>
      <c r="O421" s="155">
        <f>+IF(OR($Q421=Parametres!$G$2,$Q421=Parametres!$G$3),J421,D421)</f>
        <v>3820.96</v>
      </c>
      <c r="P421" s="155">
        <f>+IF(OR($Q421=Parametres!$G$2,$Q421=Parametres!$G$3),K421,E421)</f>
        <v>11173.87</v>
      </c>
      <c r="Q421" s="154" t="str">
        <f t="shared" si="30"/>
        <v>7-Dépenses</v>
      </c>
      <c r="R421" s="153" t="str">
        <f t="shared" si="30"/>
        <v>6129</v>
      </c>
      <c r="S421" s="154">
        <f t="shared" si="30"/>
        <v>0</v>
      </c>
      <c r="T421" s="156" t="str">
        <f>+VLOOKUP($L421,Data_Validation!$A:$D,1,0)</f>
        <v>6729</v>
      </c>
      <c r="U421" s="156" t="str">
        <f>+VLOOKUP($L421,Data_Validation!$A:$D,3,0)</f>
        <v>Pièces</v>
      </c>
      <c r="V421" s="156" t="str">
        <f>+VLOOKUP($L421,Data_Validation!$A:$D,4,0)</f>
        <v>Salaires en absences</v>
      </c>
      <c r="W421" s="156" t="str">
        <f>+VLOOKUP($L421,Data_Validation!$A:$E,5,0)</f>
        <v>$</v>
      </c>
      <c r="X421" s="156">
        <f>+VLOOKUP($L421,Data_Validation!$A:$F,6,0)</f>
        <v>0</v>
      </c>
    </row>
    <row r="422" spans="1:24" ht="15" hidden="1" customHeight="1">
      <c r="A422" s="1013" t="s">
        <v>1252</v>
      </c>
      <c r="B422" s="1013" t="s">
        <v>2667</v>
      </c>
      <c r="C422" s="1015">
        <v>1955.63</v>
      </c>
      <c r="D422" s="1015">
        <v>923.01</v>
      </c>
      <c r="E422" s="1015">
        <v>2878.64</v>
      </c>
      <c r="F422" s="1013" t="s">
        <v>401</v>
      </c>
      <c r="G422" s="1013" t="s">
        <v>2586</v>
      </c>
      <c r="H422" s="972"/>
      <c r="I422" s="975"/>
      <c r="J422" s="975"/>
      <c r="K422" s="975"/>
      <c r="L422" s="153" t="str">
        <f t="shared" si="18"/>
        <v>6731</v>
      </c>
      <c r="M422" s="154" t="str">
        <f t="shared" si="19"/>
        <v>CSST</v>
      </c>
      <c r="N422" s="155">
        <f>+IF(OR($Q422=Parametres!$G$2,$Q422=Parametres!$G$3),I422,C422)</f>
        <v>1955.63</v>
      </c>
      <c r="O422" s="155">
        <f>+IF(OR($Q422=Parametres!$G$2,$Q422=Parametres!$G$3),J422,D422)</f>
        <v>923.01</v>
      </c>
      <c r="P422" s="155">
        <f>+IF(OR($Q422=Parametres!$G$2,$Q422=Parametres!$G$3),K422,E422)</f>
        <v>2878.64</v>
      </c>
      <c r="Q422" s="154" t="str">
        <f t="shared" si="30"/>
        <v>7-Dépenses</v>
      </c>
      <c r="R422" s="153" t="str">
        <f t="shared" si="30"/>
        <v>6131</v>
      </c>
      <c r="S422" s="154">
        <f t="shared" si="30"/>
        <v>0</v>
      </c>
      <c r="T422" s="156" t="str">
        <f>+VLOOKUP($L422,Data_Validation!$A:$D,1,0)</f>
        <v>6731</v>
      </c>
      <c r="U422" s="156" t="str">
        <f>+VLOOKUP($L422,Data_Validation!$A:$D,3,0)</f>
        <v>Pièces</v>
      </c>
      <c r="V422" s="156" t="str">
        <f>+VLOOKUP($L422,Data_Validation!$A:$D,4,0)</f>
        <v>Csst</v>
      </c>
      <c r="W422" s="156" t="str">
        <f>+VLOOKUP($L422,Data_Validation!$A:$E,5,0)</f>
        <v>$</v>
      </c>
      <c r="X422" s="156">
        <f>+VLOOKUP($L422,Data_Validation!$A:$F,6,0)</f>
        <v>0</v>
      </c>
    </row>
    <row r="423" spans="1:24" ht="15" hidden="1" customHeight="1">
      <c r="A423" s="1013" t="s">
        <v>1283</v>
      </c>
      <c r="B423" s="1013" t="s">
        <v>2733</v>
      </c>
      <c r="C423" s="1015">
        <v>7314.5</v>
      </c>
      <c r="D423" s="1015">
        <v>3795.48</v>
      </c>
      <c r="E423" s="1015">
        <v>11109.98</v>
      </c>
      <c r="F423" s="1013" t="s">
        <v>401</v>
      </c>
      <c r="G423" s="1013" t="s">
        <v>2685</v>
      </c>
      <c r="H423" s="972"/>
      <c r="I423" s="975"/>
      <c r="J423" s="975"/>
      <c r="K423" s="975"/>
      <c r="L423" s="153" t="str">
        <f t="shared" si="18"/>
        <v>6732</v>
      </c>
      <c r="M423" s="154" t="str">
        <f t="shared" si="19"/>
        <v>RRQ RAMQ AC</v>
      </c>
      <c r="N423" s="155">
        <f>+IF(OR($Q423=Parametres!$G$2,$Q423=Parametres!$G$3),I423,C423)</f>
        <v>7314.5</v>
      </c>
      <c r="O423" s="155">
        <f>+IF(OR($Q423=Parametres!$G$2,$Q423=Parametres!$G$3),J423,D423)</f>
        <v>3795.48</v>
      </c>
      <c r="P423" s="155">
        <f>+IF(OR($Q423=Parametres!$G$2,$Q423=Parametres!$G$3),K423,E423)</f>
        <v>11109.98</v>
      </c>
      <c r="Q423" s="154" t="str">
        <f t="shared" si="30"/>
        <v>7-Dépenses</v>
      </c>
      <c r="R423" s="153" t="str">
        <f t="shared" si="30"/>
        <v>6132</v>
      </c>
      <c r="S423" s="154">
        <f t="shared" si="30"/>
        <v>0</v>
      </c>
      <c r="T423" s="156" t="str">
        <f>+VLOOKUP($L423,Data_Validation!$A:$D,1,0)</f>
        <v>6732</v>
      </c>
      <c r="U423" s="156" t="str">
        <f>+VLOOKUP($L423,Data_Validation!$A:$D,3,0)</f>
        <v>Pièces</v>
      </c>
      <c r="V423" s="156" t="str">
        <f>+VLOOKUP($L423,Data_Validation!$A:$D,4,0)</f>
        <v>Csst</v>
      </c>
      <c r="W423" s="156" t="str">
        <f>+VLOOKUP($L423,Data_Validation!$A:$E,5,0)</f>
        <v>$</v>
      </c>
      <c r="X423" s="156">
        <f>+VLOOKUP($L423,Data_Validation!$A:$F,6,0)</f>
        <v>0</v>
      </c>
    </row>
    <row r="424" spans="1:24" ht="15" hidden="1" customHeight="1">
      <c r="A424" s="1013" t="s">
        <v>1305</v>
      </c>
      <c r="B424" s="1013" t="s">
        <v>2744</v>
      </c>
      <c r="C424" s="1015">
        <v>8309.25</v>
      </c>
      <c r="D424" s="1015">
        <v>4236.63</v>
      </c>
      <c r="E424" s="1015">
        <v>12545.88</v>
      </c>
      <c r="F424" s="1013" t="s">
        <v>401</v>
      </c>
      <c r="G424" s="1013" t="s">
        <v>2694</v>
      </c>
      <c r="H424" s="972"/>
      <c r="I424" s="975"/>
      <c r="J424" s="975"/>
      <c r="K424" s="975"/>
      <c r="L424" s="153" t="str">
        <f t="shared" si="18"/>
        <v>6739</v>
      </c>
      <c r="M424" s="154" t="str">
        <f t="shared" si="19"/>
        <v>ASSURANCE GROUPE</v>
      </c>
      <c r="N424" s="155">
        <f>+IF(OR($Q424=Parametres!$G$2,$Q424=Parametres!$G$3),I424,C424)</f>
        <v>8309.25</v>
      </c>
      <c r="O424" s="155">
        <f>+IF(OR($Q424=Parametres!$G$2,$Q424=Parametres!$G$3),J424,D424)</f>
        <v>4236.63</v>
      </c>
      <c r="P424" s="155">
        <f>+IF(OR($Q424=Parametres!$G$2,$Q424=Parametres!$G$3),K424,E424)</f>
        <v>12545.88</v>
      </c>
      <c r="Q424" s="154" t="str">
        <f t="shared" si="30"/>
        <v>7-Dépenses</v>
      </c>
      <c r="R424" s="153" t="str">
        <f t="shared" si="30"/>
        <v>6139</v>
      </c>
      <c r="S424" s="154">
        <f t="shared" si="30"/>
        <v>0</v>
      </c>
      <c r="T424" s="156" t="str">
        <f>+VLOOKUP($L424,Data_Validation!$A:$D,1,0)</f>
        <v>6739</v>
      </c>
      <c r="U424" s="156" t="str">
        <f>+VLOOKUP($L424,Data_Validation!$A:$D,3,0)</f>
        <v>Pièces</v>
      </c>
      <c r="V424" s="156" t="str">
        <f>+VLOOKUP($L424,Data_Validation!$A:$D,4,0)</f>
        <v>Bénéfices marginaux</v>
      </c>
      <c r="W424" s="156" t="str">
        <f>+VLOOKUP($L424,Data_Validation!$A:$E,5,0)</f>
        <v>$</v>
      </c>
      <c r="X424" s="156">
        <f>+VLOOKUP($L424,Data_Validation!$A:$F,6,0)</f>
        <v>0</v>
      </c>
    </row>
    <row r="425" spans="1:24" ht="15.75" hidden="1" customHeight="1">
      <c r="A425" s="1013" t="s">
        <v>1157</v>
      </c>
      <c r="B425" s="1013" t="s">
        <v>2598</v>
      </c>
      <c r="C425" s="1015">
        <v>205</v>
      </c>
      <c r="D425" s="1015">
        <v>105</v>
      </c>
      <c r="E425" s="1015">
        <v>310</v>
      </c>
      <c r="F425" s="1013" t="s">
        <v>401</v>
      </c>
      <c r="G425" s="1013" t="s">
        <v>2563</v>
      </c>
      <c r="H425" s="972"/>
      <c r="I425" s="975"/>
      <c r="J425" s="975"/>
      <c r="K425" s="975"/>
      <c r="L425" s="153" t="str">
        <f t="shared" si="18"/>
        <v>6742</v>
      </c>
      <c r="M425" s="154" t="str">
        <f t="shared" si="19"/>
        <v>FOURNITURES &amp; PETITS OUTILS</v>
      </c>
      <c r="N425" s="155">
        <f>+IF(OR($Q425=Parametres!$G$2,$Q425=Parametres!$G$3),I425,C425)</f>
        <v>205</v>
      </c>
      <c r="O425" s="155">
        <f>+IF(OR($Q425=Parametres!$G$2,$Q425=Parametres!$G$3),J425,D425)</f>
        <v>105</v>
      </c>
      <c r="P425" s="155">
        <f>+IF(OR($Q425=Parametres!$G$2,$Q425=Parametres!$G$3),K425,E425)</f>
        <v>310</v>
      </c>
      <c r="Q425" s="154" t="str">
        <f t="shared" si="30"/>
        <v>7-Dépenses</v>
      </c>
      <c r="R425" s="153" t="str">
        <f t="shared" si="30"/>
        <v>6142</v>
      </c>
      <c r="S425" s="154">
        <f t="shared" si="30"/>
        <v>0</v>
      </c>
      <c r="T425" s="156" t="str">
        <f>+VLOOKUP($L425,Data_Validation!$A:$D,1,0)</f>
        <v>6742</v>
      </c>
      <c r="U425" s="156" t="str">
        <f>+VLOOKUP($L425,Data_Validation!$A:$D,3,0)</f>
        <v>Pièces</v>
      </c>
      <c r="V425" s="156" t="str">
        <f>+VLOOKUP($L425,Data_Validation!$A:$D,4,0)</f>
        <v>Fournitures autres</v>
      </c>
      <c r="W425" s="156" t="str">
        <f>+VLOOKUP($L425,Data_Validation!$A:$E,5,0)</f>
        <v>$</v>
      </c>
      <c r="X425" s="156">
        <f>+VLOOKUP($L425,Data_Validation!$A:$F,6,0)</f>
        <v>0</v>
      </c>
    </row>
    <row r="426" spans="1:24" ht="15" hidden="1" customHeight="1">
      <c r="A426" s="1013" t="s">
        <v>932</v>
      </c>
      <c r="B426" s="1013" t="s">
        <v>2474</v>
      </c>
      <c r="C426" s="1015">
        <v>340</v>
      </c>
      <c r="D426" s="1015">
        <v>170</v>
      </c>
      <c r="E426" s="1015">
        <v>510</v>
      </c>
      <c r="F426" s="1013" t="s">
        <v>401</v>
      </c>
      <c r="G426" s="1013" t="s">
        <v>2159</v>
      </c>
      <c r="H426" s="972"/>
      <c r="I426" s="975"/>
      <c r="J426" s="975"/>
      <c r="K426" s="975"/>
      <c r="L426" s="153" t="str">
        <f t="shared" si="18"/>
        <v>6743</v>
      </c>
      <c r="M426" s="154" t="str">
        <f t="shared" si="19"/>
        <v>UNIFORMES &amp; LESSIVE</v>
      </c>
      <c r="N426" s="155">
        <f>+IF(OR($Q426=Parametres!$G$2,$Q426=Parametres!$G$3),I426,C426)</f>
        <v>340</v>
      </c>
      <c r="O426" s="155">
        <f>+IF(OR($Q426=Parametres!$G$2,$Q426=Parametres!$G$3),J426,D426)</f>
        <v>170</v>
      </c>
      <c r="P426" s="155">
        <f>+IF(OR($Q426=Parametres!$G$2,$Q426=Parametres!$G$3),K426,E426)</f>
        <v>510</v>
      </c>
      <c r="Q426" s="154" t="str">
        <f t="shared" si="30"/>
        <v>7-Dépenses</v>
      </c>
      <c r="R426" s="153" t="str">
        <f t="shared" si="30"/>
        <v>6143</v>
      </c>
      <c r="S426" s="154">
        <f t="shared" si="30"/>
        <v>0</v>
      </c>
      <c r="T426" s="156" t="str">
        <f>+VLOOKUP($L426,Data_Validation!$A:$D,1,0)</f>
        <v>6743</v>
      </c>
      <c r="U426" s="156" t="str">
        <f>+VLOOKUP($L426,Data_Validation!$A:$D,3,0)</f>
        <v>Pièces</v>
      </c>
      <c r="V426" s="156" t="str">
        <f>+VLOOKUP($L426,Data_Validation!$A:$D,4,0)</f>
        <v>Uniformes</v>
      </c>
      <c r="W426" s="156" t="str">
        <f>+VLOOKUP($L426,Data_Validation!$A:$E,5,0)</f>
        <v>$</v>
      </c>
      <c r="X426" s="156">
        <f>+VLOOKUP($L426,Data_Validation!$A:$F,6,0)</f>
        <v>0</v>
      </c>
    </row>
    <row r="427" spans="1:24" ht="15" hidden="1" customHeight="1">
      <c r="A427" s="1013" t="s">
        <v>934</v>
      </c>
      <c r="B427" s="1013" t="s">
        <v>2573</v>
      </c>
      <c r="C427" s="1015">
        <v>650</v>
      </c>
      <c r="D427" s="1015">
        <v>325</v>
      </c>
      <c r="E427" s="1015">
        <v>975</v>
      </c>
      <c r="F427" s="1013" t="s">
        <v>401</v>
      </c>
      <c r="G427" s="1013" t="s">
        <v>2561</v>
      </c>
      <c r="H427" s="972"/>
      <c r="I427" s="975"/>
      <c r="J427" s="975"/>
      <c r="K427" s="975"/>
      <c r="L427" s="153" t="str">
        <f t="shared" si="18"/>
        <v>6744</v>
      </c>
      <c r="M427" s="154" t="str">
        <f t="shared" si="19"/>
        <v>FORMATION</v>
      </c>
      <c r="N427" s="155">
        <f>+IF(OR($Q427=Parametres!$G$2,$Q427=Parametres!$G$3),I427,C427)</f>
        <v>650</v>
      </c>
      <c r="O427" s="155">
        <f>+IF(OR($Q427=Parametres!$G$2,$Q427=Parametres!$G$3),J427,D427)</f>
        <v>325</v>
      </c>
      <c r="P427" s="155">
        <f>+IF(OR($Q427=Parametres!$G$2,$Q427=Parametres!$G$3),K427,E427)</f>
        <v>975</v>
      </c>
      <c r="Q427" s="154" t="str">
        <f t="shared" si="30"/>
        <v>7-Dépenses</v>
      </c>
      <c r="R427" s="153" t="str">
        <f t="shared" si="30"/>
        <v>6144</v>
      </c>
      <c r="S427" s="154">
        <f t="shared" si="30"/>
        <v>0</v>
      </c>
      <c r="T427" s="156" t="str">
        <f>+VLOOKUP($L427,Data_Validation!$A:$D,1,0)</f>
        <v>6744</v>
      </c>
      <c r="U427" s="156" t="str">
        <f>+VLOOKUP($L427,Data_Validation!$A:$D,3,0)</f>
        <v>Pièces</v>
      </c>
      <c r="V427" s="156" t="str">
        <f>+VLOOKUP($L427,Data_Validation!$A:$D,4,0)</f>
        <v>Formation</v>
      </c>
      <c r="W427" s="156" t="str">
        <f>+VLOOKUP($L427,Data_Validation!$A:$E,5,0)</f>
        <v>$</v>
      </c>
      <c r="X427" s="156">
        <f>+VLOOKUP($L427,Data_Validation!$A:$F,6,0)</f>
        <v>0</v>
      </c>
    </row>
    <row r="428" spans="1:24" ht="15" hidden="1" customHeight="1">
      <c r="A428" s="1013" t="s">
        <v>1186</v>
      </c>
      <c r="B428" s="1013" t="s">
        <v>2631</v>
      </c>
      <c r="C428" s="1015">
        <v>3468.89</v>
      </c>
      <c r="D428" s="1015">
        <v>380.8</v>
      </c>
      <c r="E428" s="1015">
        <v>3849.69</v>
      </c>
      <c r="F428" s="1013" t="s">
        <v>401</v>
      </c>
      <c r="G428" s="1013" t="s">
        <v>2632</v>
      </c>
      <c r="H428" s="972"/>
      <c r="I428" s="975"/>
      <c r="J428" s="975"/>
      <c r="K428" s="975"/>
      <c r="L428" s="153" t="str">
        <f t="shared" si="18"/>
        <v>6745</v>
      </c>
      <c r="M428" s="154" t="str">
        <f t="shared" si="19"/>
        <v>VEHICULE DE COMPAGNIE - DEPENS</v>
      </c>
      <c r="N428" s="155">
        <f>+IF(OR($Q428=Parametres!$G$2,$Q428=Parametres!$G$3),I428,C428)</f>
        <v>3468.89</v>
      </c>
      <c r="O428" s="155">
        <f>+IF(OR($Q428=Parametres!$G$2,$Q428=Parametres!$G$3),J428,D428)</f>
        <v>380.8</v>
      </c>
      <c r="P428" s="155">
        <f>+IF(OR($Q428=Parametres!$G$2,$Q428=Parametres!$G$3),K428,E428)</f>
        <v>3849.69</v>
      </c>
      <c r="Q428" s="154" t="str">
        <f t="shared" si="30"/>
        <v>7-Dépenses</v>
      </c>
      <c r="R428" s="153" t="str">
        <f t="shared" si="30"/>
        <v>6145</v>
      </c>
      <c r="S428" s="154">
        <f t="shared" si="30"/>
        <v>0</v>
      </c>
      <c r="T428" s="156" t="str">
        <f>+VLOOKUP($L428,Data_Validation!$A:$D,1,0)</f>
        <v>6745</v>
      </c>
      <c r="U428" s="156" t="str">
        <f>+VLOOKUP($L428,Data_Validation!$A:$D,3,0)</f>
        <v>Pièces</v>
      </c>
      <c r="V428" s="156" t="str">
        <f>+VLOOKUP($L428,Data_Validation!$A:$D,4,0)</f>
        <v>Frais véhicules de cie</v>
      </c>
      <c r="W428" s="156" t="str">
        <f>+VLOOKUP($L428,Data_Validation!$A:$E,5,0)</f>
        <v>$</v>
      </c>
      <c r="X428" s="156">
        <f>+VLOOKUP($L428,Data_Validation!$A:$F,6,0)</f>
        <v>0</v>
      </c>
    </row>
    <row r="429" spans="1:24" ht="15" hidden="1" customHeight="1">
      <c r="A429" s="1013" t="s">
        <v>1180</v>
      </c>
      <c r="B429" s="1013" t="s">
        <v>2610</v>
      </c>
      <c r="C429" s="1015">
        <v>233.6</v>
      </c>
      <c r="D429" s="1015">
        <v>55.5</v>
      </c>
      <c r="E429" s="1015">
        <v>289.10000000000002</v>
      </c>
      <c r="F429" s="1013" t="s">
        <v>401</v>
      </c>
      <c r="G429" s="1013" t="s">
        <v>2581</v>
      </c>
      <c r="H429" s="972"/>
      <c r="I429" s="975"/>
      <c r="J429" s="975"/>
      <c r="K429" s="975"/>
      <c r="L429" s="153" t="str">
        <f t="shared" si="18"/>
        <v>6747</v>
      </c>
      <c r="M429" s="154" t="str">
        <f t="shared" si="19"/>
        <v>FRET/EXPRESS/TRANS. PAR CAMION</v>
      </c>
      <c r="N429" s="155">
        <f>+IF(OR($Q429=Parametres!$G$2,$Q429=Parametres!$G$3),I429,C429)</f>
        <v>233.6</v>
      </c>
      <c r="O429" s="155">
        <f>+IF(OR($Q429=Parametres!$G$2,$Q429=Parametres!$G$3),J429,D429)</f>
        <v>55.5</v>
      </c>
      <c r="P429" s="155">
        <f>+IF(OR($Q429=Parametres!$G$2,$Q429=Parametres!$G$3),K429,E429)</f>
        <v>289.10000000000002</v>
      </c>
      <c r="Q429" s="154" t="str">
        <f t="shared" si="30"/>
        <v>7-Dépenses</v>
      </c>
      <c r="R429" s="153" t="str">
        <f t="shared" si="30"/>
        <v>6147</v>
      </c>
      <c r="S429" s="154">
        <f t="shared" si="30"/>
        <v>0</v>
      </c>
      <c r="T429" s="156" t="str">
        <f>+VLOOKUP($L429,Data_Validation!$A:$D,1,0)</f>
        <v>6747</v>
      </c>
      <c r="U429" s="156" t="str">
        <f>+VLOOKUP($L429,Data_Validation!$A:$D,3,0)</f>
        <v>Pièces</v>
      </c>
      <c r="V429" s="156" t="str">
        <f>+VLOOKUP($L429,Data_Validation!$A:$D,4,0)</f>
        <v>Frais postaux</v>
      </c>
      <c r="W429" s="156" t="str">
        <f>+VLOOKUP($L429,Data_Validation!$A:$E,5,0)</f>
        <v>$</v>
      </c>
      <c r="X429" s="156">
        <f>+VLOOKUP($L429,Data_Validation!$A:$F,6,0)</f>
        <v>0</v>
      </c>
    </row>
    <row r="430" spans="1:24" ht="15" hidden="1" customHeight="1">
      <c r="A430" s="1013" t="s">
        <v>1286</v>
      </c>
      <c r="B430" s="1013" t="s">
        <v>2739</v>
      </c>
      <c r="C430" s="1015">
        <v>6339.34</v>
      </c>
      <c r="D430" s="1015">
        <v>4236.79</v>
      </c>
      <c r="E430" s="1015">
        <v>10576.13</v>
      </c>
      <c r="F430" s="1013" t="s">
        <v>401</v>
      </c>
      <c r="G430" s="1013" t="s">
        <v>2702</v>
      </c>
      <c r="H430" s="972"/>
      <c r="I430" s="975"/>
      <c r="J430" s="975"/>
      <c r="K430" s="975"/>
      <c r="L430" s="153" t="str">
        <f t="shared" si="18"/>
        <v>6751</v>
      </c>
      <c r="M430" s="154" t="str">
        <f t="shared" si="19"/>
        <v>DEP. DU TRAITEMENT DES DONNEES</v>
      </c>
      <c r="N430" s="155">
        <f>+IF(OR($Q430=Parametres!$G$2,$Q430=Parametres!$G$3),I430,C430)</f>
        <v>6339.34</v>
      </c>
      <c r="O430" s="155">
        <f>+IF(OR($Q430=Parametres!$G$2,$Q430=Parametres!$G$3),J430,D430)</f>
        <v>4236.79</v>
      </c>
      <c r="P430" s="155">
        <f>+IF(OR($Q430=Parametres!$G$2,$Q430=Parametres!$G$3),K430,E430)</f>
        <v>10576.13</v>
      </c>
      <c r="Q430" s="154" t="str">
        <f t="shared" si="30"/>
        <v>7-Dépenses</v>
      </c>
      <c r="R430" s="153" t="str">
        <f t="shared" si="30"/>
        <v>6151</v>
      </c>
      <c r="S430" s="154">
        <f t="shared" si="30"/>
        <v>0</v>
      </c>
      <c r="T430" s="156" t="str">
        <f>+VLOOKUP($L430,Data_Validation!$A:$D,1,0)</f>
        <v>6751</v>
      </c>
      <c r="U430" s="156" t="str">
        <f>+VLOOKUP($L430,Data_Validation!$A:$D,3,0)</f>
        <v>Pièces</v>
      </c>
      <c r="V430" s="156" t="str">
        <f>+VLOOKUP($L430,Data_Validation!$A:$D,4,0)</f>
        <v>Informatique</v>
      </c>
      <c r="W430" s="156" t="str">
        <f>+VLOOKUP($L430,Data_Validation!$A:$E,5,0)</f>
        <v>$</v>
      </c>
      <c r="X430" s="156">
        <f>+VLOOKUP($L430,Data_Validation!$A:$F,6,0)</f>
        <v>0</v>
      </c>
    </row>
    <row r="431" spans="1:24" ht="15.75" hidden="1" customHeight="1">
      <c r="A431" s="1013" t="s">
        <v>1206</v>
      </c>
      <c r="B431" s="1013" t="s">
        <v>2646</v>
      </c>
      <c r="C431" s="1015">
        <v>925</v>
      </c>
      <c r="D431" s="1015">
        <v>462.5</v>
      </c>
      <c r="E431" s="1015">
        <v>1387.5</v>
      </c>
      <c r="F431" s="1013" t="s">
        <v>401</v>
      </c>
      <c r="G431" s="1013" t="s">
        <v>2588</v>
      </c>
      <c r="H431" s="972"/>
      <c r="I431" s="975"/>
      <c r="J431" s="975"/>
      <c r="K431" s="975"/>
      <c r="L431" s="153" t="str">
        <f t="shared" si="18"/>
        <v>6752</v>
      </c>
      <c r="M431" s="154" t="str">
        <f t="shared" si="19"/>
        <v>PAPETERIE</v>
      </c>
      <c r="N431" s="155">
        <f>+IF(OR($Q431=Parametres!$G$2,$Q431=Parametres!$G$3),I431,C431)</f>
        <v>925</v>
      </c>
      <c r="O431" s="155">
        <f>+IF(OR($Q431=Parametres!$G$2,$Q431=Parametres!$G$3),J431,D431)</f>
        <v>462.5</v>
      </c>
      <c r="P431" s="155">
        <f>+IF(OR($Q431=Parametres!$G$2,$Q431=Parametres!$G$3),K431,E431)</f>
        <v>1387.5</v>
      </c>
      <c r="Q431" s="154" t="str">
        <f t="shared" si="30"/>
        <v>7-Dépenses</v>
      </c>
      <c r="R431" s="153" t="str">
        <f t="shared" si="30"/>
        <v>6152</v>
      </c>
      <c r="S431" s="154">
        <f t="shared" si="30"/>
        <v>0</v>
      </c>
      <c r="T431" s="156" t="str">
        <f>+VLOOKUP($L431,Data_Validation!$A:$D,1,0)</f>
        <v>6752</v>
      </c>
      <c r="U431" s="156" t="str">
        <f>+VLOOKUP($L431,Data_Validation!$A:$D,3,0)</f>
        <v>Pièces</v>
      </c>
      <c r="V431" s="156" t="str">
        <f>+VLOOKUP($L431,Data_Validation!$A:$D,4,0)</f>
        <v>Papeterie</v>
      </c>
      <c r="W431" s="156" t="str">
        <f>+VLOOKUP($L431,Data_Validation!$A:$E,5,0)</f>
        <v>$</v>
      </c>
      <c r="X431" s="156">
        <f>+VLOOKUP($L431,Data_Validation!$A:$F,6,0)</f>
        <v>0</v>
      </c>
    </row>
    <row r="432" spans="1:24" ht="15" hidden="1" customHeight="1">
      <c r="A432" s="1013" t="s">
        <v>1154</v>
      </c>
      <c r="B432" s="1013" t="s">
        <v>2630</v>
      </c>
      <c r="C432" s="1015">
        <v>612.88</v>
      </c>
      <c r="D432" s="1015">
        <v>418.82</v>
      </c>
      <c r="E432" s="1015">
        <v>1031.7</v>
      </c>
      <c r="F432" s="1013" t="s">
        <v>401</v>
      </c>
      <c r="G432" s="1013" t="s">
        <v>2592</v>
      </c>
      <c r="H432" s="972"/>
      <c r="I432" s="975"/>
      <c r="J432" s="975"/>
      <c r="K432" s="975"/>
      <c r="L432" s="153" t="str">
        <f t="shared" si="18"/>
        <v>6753</v>
      </c>
      <c r="M432" s="154" t="str">
        <f t="shared" si="19"/>
        <v>TELEPHONE ET TELEX</v>
      </c>
      <c r="N432" s="155">
        <f>+IF(OR($Q432=Parametres!$G$2,$Q432=Parametres!$G$3),I432,C432)</f>
        <v>612.88</v>
      </c>
      <c r="O432" s="155">
        <f>+IF(OR($Q432=Parametres!$G$2,$Q432=Parametres!$G$3),J432,D432)</f>
        <v>418.82</v>
      </c>
      <c r="P432" s="155">
        <f>+IF(OR($Q432=Parametres!$G$2,$Q432=Parametres!$G$3),K432,E432)</f>
        <v>1031.7</v>
      </c>
      <c r="Q432" s="154" t="str">
        <f t="shared" si="30"/>
        <v>7-Dépenses</v>
      </c>
      <c r="R432" s="153" t="str">
        <f t="shared" si="30"/>
        <v>6153</v>
      </c>
      <c r="S432" s="154">
        <f t="shared" si="30"/>
        <v>0</v>
      </c>
      <c r="T432" s="156" t="str">
        <f>+VLOOKUP($L432,Data_Validation!$A:$D,1,0)</f>
        <v>6753</v>
      </c>
      <c r="U432" s="156" t="str">
        <f>+VLOOKUP($L432,Data_Validation!$A:$D,3,0)</f>
        <v>Pièces</v>
      </c>
      <c r="V432" s="156" t="str">
        <f>+VLOOKUP($L432,Data_Validation!$A:$D,4,0)</f>
        <v>Téléphone</v>
      </c>
      <c r="W432" s="156" t="str">
        <f>+VLOOKUP($L432,Data_Validation!$A:$E,5,0)</f>
        <v>$</v>
      </c>
      <c r="X432" s="156">
        <f>+VLOOKUP($L432,Data_Validation!$A:$F,6,0)</f>
        <v>0</v>
      </c>
    </row>
    <row r="433" spans="1:24" ht="15" hidden="1" customHeight="1">
      <c r="A433" s="1013" t="s">
        <v>1237</v>
      </c>
      <c r="B433" s="1013" t="s">
        <v>2704</v>
      </c>
      <c r="C433" s="1015">
        <v>2808.11</v>
      </c>
      <c r="D433" s="1015">
        <v>1174.57</v>
      </c>
      <c r="E433" s="1015">
        <v>3982.68</v>
      </c>
      <c r="F433" s="1013" t="s">
        <v>401</v>
      </c>
      <c r="G433" s="1013" t="s">
        <v>2637</v>
      </c>
      <c r="H433" s="972"/>
      <c r="I433" s="975"/>
      <c r="J433" s="975"/>
      <c r="K433" s="975"/>
      <c r="L433" s="153" t="str">
        <f t="shared" si="18"/>
        <v>6755</v>
      </c>
      <c r="M433" s="154" t="str">
        <f t="shared" si="19"/>
        <v>DEPENSES DIVERS</v>
      </c>
      <c r="N433" s="155">
        <f>+IF(OR($Q433=Parametres!$G$2,$Q433=Parametres!$G$3),I433,C433)</f>
        <v>2808.11</v>
      </c>
      <c r="O433" s="155">
        <f>+IF(OR($Q433=Parametres!$G$2,$Q433=Parametres!$G$3),J433,D433)</f>
        <v>1174.57</v>
      </c>
      <c r="P433" s="155">
        <f>+IF(OR($Q433=Parametres!$G$2,$Q433=Parametres!$G$3),K433,E433)</f>
        <v>3982.68</v>
      </c>
      <c r="Q433" s="154" t="str">
        <f t="shared" si="30"/>
        <v>7-Dépenses</v>
      </c>
      <c r="R433" s="153" t="str">
        <f t="shared" si="30"/>
        <v>6155</v>
      </c>
      <c r="S433" s="154">
        <f t="shared" si="30"/>
        <v>0</v>
      </c>
      <c r="T433" s="156" t="str">
        <f>+VLOOKUP($L433,Data_Validation!$A:$D,1,0)</f>
        <v>6755</v>
      </c>
      <c r="U433" s="156" t="str">
        <f>+VLOOKUP($L433,Data_Validation!$A:$D,3,0)</f>
        <v>Pièces</v>
      </c>
      <c r="V433" s="156" t="str">
        <f>+VLOOKUP($L433,Data_Validation!$A:$D,4,0)</f>
        <v>Divers</v>
      </c>
      <c r="W433" s="156" t="str">
        <f>+VLOOKUP($L433,Data_Validation!$A:$E,5,0)</f>
        <v>$</v>
      </c>
      <c r="X433" s="156">
        <f>+VLOOKUP($L433,Data_Validation!$A:$F,6,0)</f>
        <v>0</v>
      </c>
    </row>
    <row r="434" spans="1:24" ht="15" hidden="1" customHeight="1">
      <c r="A434" s="1013" t="s">
        <v>1294</v>
      </c>
      <c r="B434" s="1013" t="s">
        <v>2475</v>
      </c>
      <c r="C434" s="1015">
        <v>3038.5</v>
      </c>
      <c r="D434" s="1015">
        <v>1519.25</v>
      </c>
      <c r="E434" s="1015">
        <v>4557.75</v>
      </c>
      <c r="F434" s="1013" t="s">
        <v>401</v>
      </c>
      <c r="G434" s="1013" t="s">
        <v>2470</v>
      </c>
      <c r="H434" s="150"/>
      <c r="I434" s="152"/>
      <c r="J434" s="152"/>
      <c r="K434" s="152"/>
      <c r="L434" s="153" t="str">
        <f t="shared" si="18"/>
        <v>6756</v>
      </c>
      <c r="M434" s="154" t="str">
        <f t="shared" si="19"/>
        <v>FRAIS REPRESENTATION - PIECES</v>
      </c>
      <c r="N434" s="155">
        <f>+IF(OR($Q434=Parametres!$G$2,$Q434=Parametres!$G$3),I434,C434)</f>
        <v>3038.5</v>
      </c>
      <c r="O434" s="155">
        <f>+IF(OR($Q434=Parametres!$G$2,$Q434=Parametres!$G$3),J434,D434)</f>
        <v>1519.25</v>
      </c>
      <c r="P434" s="155">
        <f>+IF(OR($Q434=Parametres!$G$2,$Q434=Parametres!$G$3),K434,E434)</f>
        <v>4557.75</v>
      </c>
      <c r="Q434" s="154" t="str">
        <f t="shared" ref="Q434:S449" si="31">+F434</f>
        <v>7-Dépenses</v>
      </c>
      <c r="R434" s="153" t="str">
        <f t="shared" si="31"/>
        <v>6156</v>
      </c>
      <c r="S434" s="154">
        <f t="shared" si="31"/>
        <v>0</v>
      </c>
      <c r="T434" s="156" t="str">
        <f>+VLOOKUP($L434,Data_Validation!$A:$D,1,0)</f>
        <v>6756</v>
      </c>
      <c r="U434" s="156" t="str">
        <f>+VLOOKUP($L434,Data_Validation!$A:$D,3,0)</f>
        <v>Pièces</v>
      </c>
      <c r="V434" s="156" t="str">
        <f>+VLOOKUP($L434,Data_Validation!$A:$D,4,0)</f>
        <v>Frais de déplacement</v>
      </c>
      <c r="W434" s="156" t="str">
        <f>+VLOOKUP($L434,Data_Validation!$A:$E,5,0)</f>
        <v>$</v>
      </c>
      <c r="X434" s="156">
        <f>+VLOOKUP($L434,Data_Validation!$A:$F,6,0)</f>
        <v>0</v>
      </c>
    </row>
    <row r="435" spans="1:24" ht="15.75" hidden="1" customHeight="1">
      <c r="A435" s="1013" t="s">
        <v>1308</v>
      </c>
      <c r="B435" s="1013" t="s">
        <v>2775</v>
      </c>
      <c r="C435" s="1015">
        <v>20462.16</v>
      </c>
      <c r="D435" s="1015">
        <v>11643.14</v>
      </c>
      <c r="E435" s="1015">
        <v>32105.3</v>
      </c>
      <c r="F435" s="1013" t="s">
        <v>401</v>
      </c>
      <c r="G435" s="1013" t="s">
        <v>2662</v>
      </c>
      <c r="H435" s="150"/>
      <c r="I435" s="152"/>
      <c r="J435" s="152"/>
      <c r="K435" s="152"/>
      <c r="L435" s="153" t="str">
        <f t="shared" si="18"/>
        <v>6759</v>
      </c>
      <c r="M435" s="154" t="str">
        <f t="shared" si="19"/>
        <v>SERVICE EXTERIEUR</v>
      </c>
      <c r="N435" s="155">
        <f>+IF(OR($Q435=Parametres!$G$2,$Q435=Parametres!$G$3),I435,C435)</f>
        <v>20462.16</v>
      </c>
      <c r="O435" s="155">
        <f>+IF(OR($Q435=Parametres!$G$2,$Q435=Parametres!$G$3),J435,D435)</f>
        <v>11643.14</v>
      </c>
      <c r="P435" s="155">
        <f>+IF(OR($Q435=Parametres!$G$2,$Q435=Parametres!$G$3),K435,E435)</f>
        <v>32105.3</v>
      </c>
      <c r="Q435" s="154" t="str">
        <f t="shared" si="31"/>
        <v>7-Dépenses</v>
      </c>
      <c r="R435" s="153" t="str">
        <f t="shared" si="31"/>
        <v>6159</v>
      </c>
      <c r="S435" s="154">
        <f t="shared" si="31"/>
        <v>0</v>
      </c>
      <c r="T435" s="156" t="str">
        <f>+VLOOKUP($L435,Data_Validation!$A:$D,1,0)</f>
        <v>6759</v>
      </c>
      <c r="U435" s="156" t="str">
        <f>+VLOOKUP($L435,Data_Validation!$A:$D,3,0)</f>
        <v>Pièces</v>
      </c>
      <c r="V435" s="156" t="str">
        <f>+VLOOKUP($L435,Data_Validation!$A:$D,4,0)</f>
        <v>Services extérieurs</v>
      </c>
      <c r="W435" s="156" t="str">
        <f>+VLOOKUP($L435,Data_Validation!$A:$E,5,0)</f>
        <v>$</v>
      </c>
      <c r="X435" s="156">
        <f>+VLOOKUP($L435,Data_Validation!$A:$F,6,0)</f>
        <v>0</v>
      </c>
    </row>
    <row r="436" spans="1:24" ht="15" hidden="1" customHeight="1">
      <c r="A436" s="1013" t="s">
        <v>1333</v>
      </c>
      <c r="B436" s="1013" t="s">
        <v>2718</v>
      </c>
      <c r="C436" s="1015">
        <v>4500</v>
      </c>
      <c r="D436" s="1015">
        <v>2250</v>
      </c>
      <c r="E436" s="1015">
        <v>6750</v>
      </c>
      <c r="F436" s="1013" t="s">
        <v>401</v>
      </c>
      <c r="G436" s="1013" t="s">
        <v>2653</v>
      </c>
      <c r="H436" s="150"/>
      <c r="I436" s="152"/>
      <c r="J436" s="152"/>
      <c r="K436" s="152"/>
      <c r="L436" s="153" t="str">
        <f t="shared" si="18"/>
        <v>6761</v>
      </c>
      <c r="M436" s="154" t="str">
        <f t="shared" si="19"/>
        <v>DEPRECIATION EQUIP. &amp; FIXTURES</v>
      </c>
      <c r="N436" s="155">
        <f>+IF(OR($Q436=Parametres!$G$2,$Q436=Parametres!$G$3),I436,C436)</f>
        <v>4500</v>
      </c>
      <c r="O436" s="155">
        <f>+IF(OR($Q436=Parametres!$G$2,$Q436=Parametres!$G$3),J436,D436)</f>
        <v>2250</v>
      </c>
      <c r="P436" s="155">
        <f>+IF(OR($Q436=Parametres!$G$2,$Q436=Parametres!$G$3),K436,E436)</f>
        <v>6750</v>
      </c>
      <c r="Q436" s="154" t="str">
        <f t="shared" si="31"/>
        <v>7-Dépenses</v>
      </c>
      <c r="R436" s="153" t="str">
        <f t="shared" si="31"/>
        <v>6161</v>
      </c>
      <c r="S436" s="154">
        <f t="shared" si="31"/>
        <v>0</v>
      </c>
      <c r="T436" s="156" t="str">
        <f>+VLOOKUP($L436,Data_Validation!$A:$D,1,0)</f>
        <v>6761</v>
      </c>
      <c r="U436" s="156" t="str">
        <f>+VLOOKUP($L436,Data_Validation!$A:$D,3,0)</f>
        <v>Pièces</v>
      </c>
      <c r="V436" s="156" t="str">
        <f>+VLOOKUP($L436,Data_Validation!$A:$D,4,0)</f>
        <v>Amortissement</v>
      </c>
      <c r="W436" s="156" t="str">
        <f>+VLOOKUP($L436,Data_Validation!$A:$E,5,0)</f>
        <v>$</v>
      </c>
      <c r="X436" s="156">
        <f>+VLOOKUP($L436,Data_Validation!$A:$F,6,0)</f>
        <v>0</v>
      </c>
    </row>
    <row r="437" spans="1:24" ht="15" hidden="1" customHeight="1">
      <c r="A437" s="1013" t="s">
        <v>936</v>
      </c>
      <c r="B437" s="1013" t="s">
        <v>2476</v>
      </c>
      <c r="C437" s="1015">
        <v>800</v>
      </c>
      <c r="D437" s="1015">
        <v>400</v>
      </c>
      <c r="E437" s="1015">
        <v>1200</v>
      </c>
      <c r="F437" s="1013" t="s">
        <v>401</v>
      </c>
      <c r="G437" s="1013" t="s">
        <v>2463</v>
      </c>
      <c r="H437" s="150"/>
      <c r="I437" s="152"/>
      <c r="J437" s="152"/>
      <c r="K437" s="152"/>
      <c r="L437" s="153" t="str">
        <f t="shared" si="18"/>
        <v>6762</v>
      </c>
      <c r="M437" s="154" t="str">
        <f t="shared" si="19"/>
        <v>LOCATION D'EQUIPEMENTS</v>
      </c>
      <c r="N437" s="155">
        <f>+IF(OR($Q437=Parametres!$G$2,$Q437=Parametres!$G$3),I437,C437)</f>
        <v>800</v>
      </c>
      <c r="O437" s="155">
        <f>+IF(OR($Q437=Parametres!$G$2,$Q437=Parametres!$G$3),J437,D437)</f>
        <v>400</v>
      </c>
      <c r="P437" s="155">
        <f>+IF(OR($Q437=Parametres!$G$2,$Q437=Parametres!$G$3),K437,E437)</f>
        <v>1200</v>
      </c>
      <c r="Q437" s="154" t="str">
        <f t="shared" si="31"/>
        <v>7-Dépenses</v>
      </c>
      <c r="R437" s="153" t="str">
        <f t="shared" si="31"/>
        <v>6162</v>
      </c>
      <c r="S437" s="154">
        <f t="shared" si="31"/>
        <v>0</v>
      </c>
      <c r="T437" s="156" t="str">
        <f>+VLOOKUP($L437,Data_Validation!$A:$D,1,0)</f>
        <v>6762</v>
      </c>
      <c r="U437" s="156" t="str">
        <f>+VLOOKUP($L437,Data_Validation!$A:$D,3,0)</f>
        <v>Pièces</v>
      </c>
      <c r="V437" s="156" t="str">
        <f>+VLOOKUP($L437,Data_Validation!$A:$D,4,0)</f>
        <v>Location équipement</v>
      </c>
      <c r="W437" s="156" t="str">
        <f>+VLOOKUP($L437,Data_Validation!$A:$E,5,0)</f>
        <v>$</v>
      </c>
      <c r="X437" s="156">
        <f>+VLOOKUP($L437,Data_Validation!$A:$F,6,0)</f>
        <v>0</v>
      </c>
    </row>
    <row r="438" spans="1:24" ht="15" hidden="1" customHeight="1">
      <c r="A438" s="1013" t="s">
        <v>1316</v>
      </c>
      <c r="B438" s="1013" t="s">
        <v>2671</v>
      </c>
      <c r="C438" s="1015">
        <v>1835</v>
      </c>
      <c r="D438" s="1015">
        <v>917.5</v>
      </c>
      <c r="E438" s="1015">
        <v>2752.5</v>
      </c>
      <c r="F438" s="1013" t="s">
        <v>401</v>
      </c>
      <c r="G438" s="1013" t="s">
        <v>2604</v>
      </c>
      <c r="H438" s="150"/>
      <c r="I438" s="152"/>
      <c r="J438" s="152"/>
      <c r="K438" s="152"/>
      <c r="L438" s="153" t="str">
        <f t="shared" si="18"/>
        <v>6781</v>
      </c>
      <c r="M438" s="154" t="str">
        <f t="shared" si="19"/>
        <v>CHAUFFAGE,ELECTRICITE,EAU-PIECES</v>
      </c>
      <c r="N438" s="155">
        <f>+IF(OR($Q438=Parametres!$G$2,$Q438=Parametres!$G$3),I438,C438)</f>
        <v>1835</v>
      </c>
      <c r="O438" s="577">
        <f>+IF(OR($Q438=Parametres!$G$2,$Q438=Parametres!$G$3),J438,D438)</f>
        <v>917.5</v>
      </c>
      <c r="P438" s="155">
        <f>+IF(OR($Q438=Parametres!$G$2,$Q438=Parametres!$G$3),K438,E438)</f>
        <v>2752.5</v>
      </c>
      <c r="Q438" s="154" t="str">
        <f t="shared" si="31"/>
        <v>7-Dépenses</v>
      </c>
      <c r="R438" s="153" t="str">
        <f t="shared" si="31"/>
        <v>6181</v>
      </c>
      <c r="S438" s="154">
        <f t="shared" si="31"/>
        <v>0</v>
      </c>
      <c r="T438" s="156" t="str">
        <f>+VLOOKUP($L438,Data_Validation!$A:$D,1,0)</f>
        <v>6781</v>
      </c>
      <c r="U438" s="156" t="str">
        <f>+VLOOKUP($L438,Data_Validation!$A:$D,3,0)</f>
        <v>Pièces</v>
      </c>
      <c r="V438" s="156" t="str">
        <f>+VLOOKUP($L438,Data_Validation!$A:$D,4,0)</f>
        <v>Chauffage, éclairage</v>
      </c>
      <c r="W438" s="156" t="str">
        <f>+VLOOKUP($L438,Data_Validation!$A:$E,5,0)</f>
        <v>$</v>
      </c>
      <c r="X438" s="156">
        <f>+VLOOKUP($L438,Data_Validation!$A:$F,6,0)</f>
        <v>0</v>
      </c>
    </row>
    <row r="439" spans="1:24" ht="15" hidden="1" customHeight="1">
      <c r="A439" s="1013" t="s">
        <v>1457</v>
      </c>
      <c r="B439" s="1013" t="s">
        <v>2760</v>
      </c>
      <c r="C439" s="1015">
        <v>13000.03</v>
      </c>
      <c r="D439" s="1015">
        <v>6500</v>
      </c>
      <c r="E439" s="1015">
        <v>19500.03</v>
      </c>
      <c r="F439" s="1013" t="s">
        <v>401</v>
      </c>
      <c r="G439" s="1013" t="s">
        <v>2709</v>
      </c>
      <c r="H439" s="150"/>
      <c r="I439" s="152"/>
      <c r="J439" s="152"/>
      <c r="K439" s="152"/>
      <c r="L439" s="153" t="str">
        <f t="shared" si="18"/>
        <v>6782</v>
      </c>
      <c r="M439" s="154" t="str">
        <f t="shared" si="19"/>
        <v>LOYER - PIECES</v>
      </c>
      <c r="N439" s="155">
        <f>+IF(OR($Q439=Parametres!$G$2,$Q439=Parametres!$G$3),I439,C439)</f>
        <v>13000.03</v>
      </c>
      <c r="O439" s="155">
        <f>+IF(OR($Q439=Parametres!$G$2,$Q439=Parametres!$G$3),J439,D439)</f>
        <v>6500</v>
      </c>
      <c r="P439" s="155">
        <f>+IF(OR($Q439=Parametres!$G$2,$Q439=Parametres!$G$3),K439,E439)</f>
        <v>19500.03</v>
      </c>
      <c r="Q439" s="154" t="str">
        <f t="shared" si="31"/>
        <v>7-Dépenses</v>
      </c>
      <c r="R439" s="153" t="str">
        <f t="shared" si="31"/>
        <v>6182</v>
      </c>
      <c r="S439" s="154">
        <f t="shared" si="31"/>
        <v>0</v>
      </c>
      <c r="T439" s="156" t="str">
        <f>+VLOOKUP($L439,Data_Validation!$A:$D,1,0)</f>
        <v>6782</v>
      </c>
      <c r="U439" s="156" t="str">
        <f>+VLOOKUP($L439,Data_Validation!$A:$D,3,0)</f>
        <v>Pièces</v>
      </c>
      <c r="V439" s="156" t="str">
        <f>+VLOOKUP($L439,Data_Validation!$A:$D,4,0)</f>
        <v>Loyer</v>
      </c>
      <c r="W439" s="156" t="str">
        <f>+VLOOKUP($L439,Data_Validation!$A:$E,5,0)</f>
        <v>$</v>
      </c>
      <c r="X439" s="156">
        <f>+VLOOKUP($L439,Data_Validation!$A:$F,6,0)</f>
        <v>0</v>
      </c>
    </row>
    <row r="440" spans="1:24" ht="15" hidden="1" customHeight="1">
      <c r="A440" s="1013" t="s">
        <v>1352</v>
      </c>
      <c r="B440" s="1013" t="s">
        <v>2660</v>
      </c>
      <c r="C440" s="1015">
        <v>750</v>
      </c>
      <c r="D440" s="1015">
        <v>375</v>
      </c>
      <c r="E440" s="1015">
        <v>1125</v>
      </c>
      <c r="F440" s="1013" t="s">
        <v>401</v>
      </c>
      <c r="G440" s="1013" t="s">
        <v>2594</v>
      </c>
      <c r="H440" s="150"/>
      <c r="I440" s="152"/>
      <c r="J440" s="152"/>
      <c r="K440" s="152"/>
      <c r="L440" s="153" t="str">
        <f t="shared" si="18"/>
        <v>6786</v>
      </c>
      <c r="M440" s="154" t="str">
        <f t="shared" si="19"/>
        <v>ASSURANCE BATISSE &amp; AMEL.-PIECES</v>
      </c>
      <c r="N440" s="155">
        <f>+IF(OR($Q440=Parametres!$G$2,$Q440=Parametres!$G$3),I440,C440)</f>
        <v>750</v>
      </c>
      <c r="O440" s="572">
        <f>+IF(OR($Q440=Parametres!$G$2,$Q440=Parametres!$G$3),J440,D440)</f>
        <v>375</v>
      </c>
      <c r="P440" s="155">
        <f>+IF(OR($Q440=Parametres!$G$2,$Q440=Parametres!$G$3),K440,E440)</f>
        <v>1125</v>
      </c>
      <c r="Q440" s="154" t="str">
        <f t="shared" si="31"/>
        <v>7-Dépenses</v>
      </c>
      <c r="R440" s="153" t="str">
        <f t="shared" si="31"/>
        <v>6186</v>
      </c>
      <c r="S440" s="154">
        <f t="shared" si="31"/>
        <v>0</v>
      </c>
      <c r="T440" s="156" t="str">
        <f>+VLOOKUP($L440,Data_Validation!$A:$D,1,0)</f>
        <v>6786</v>
      </c>
      <c r="U440" s="156" t="str">
        <f>+VLOOKUP($L440,Data_Validation!$A:$D,3,0)</f>
        <v>Pièces</v>
      </c>
      <c r="V440" s="156" t="str">
        <f>+VLOOKUP($L440,Data_Validation!$A:$D,4,0)</f>
        <v>Assurances</v>
      </c>
      <c r="W440" s="156" t="str">
        <f>+VLOOKUP($L440,Data_Validation!$A:$E,5,0)</f>
        <v>$</v>
      </c>
      <c r="X440" s="156">
        <f>+VLOOKUP($L440,Data_Validation!$A:$F,6,0)</f>
        <v>0</v>
      </c>
    </row>
    <row r="441" spans="1:24" ht="15.75" hidden="1" customHeight="1">
      <c r="A441" s="1013" t="s">
        <v>1344</v>
      </c>
      <c r="B441" s="1013" t="s">
        <v>2686</v>
      </c>
      <c r="C441" s="1015">
        <v>2350</v>
      </c>
      <c r="D441" s="1015">
        <v>1175</v>
      </c>
      <c r="E441" s="1015">
        <v>3525</v>
      </c>
      <c r="F441" s="1013" t="s">
        <v>401</v>
      </c>
      <c r="G441" s="1013" t="s">
        <v>2614</v>
      </c>
      <c r="H441" s="150"/>
      <c r="I441" s="152"/>
      <c r="J441" s="152"/>
      <c r="K441" s="152"/>
      <c r="L441" s="153" t="str">
        <f t="shared" si="18"/>
        <v>6787</v>
      </c>
      <c r="M441" s="154" t="str">
        <f t="shared" si="19"/>
        <v>TAXES FONCIERES - PIECES</v>
      </c>
      <c r="N441" s="155">
        <f>+IF(OR($Q441=Parametres!$G$2,$Q441=Parametres!$G$3),I441,C441)</f>
        <v>2350</v>
      </c>
      <c r="O441" s="155">
        <f>+IF(OR($Q441=Parametres!$G$2,$Q441=Parametres!$G$3),J441,D441)</f>
        <v>1175</v>
      </c>
      <c r="P441" s="155">
        <f>+IF(OR($Q441=Parametres!$G$2,$Q441=Parametres!$G$3),K441,E441)</f>
        <v>3525</v>
      </c>
      <c r="Q441" s="154" t="str">
        <f t="shared" si="31"/>
        <v>7-Dépenses</v>
      </c>
      <c r="R441" s="153" t="str">
        <f t="shared" si="31"/>
        <v>6187</v>
      </c>
      <c r="S441" s="154">
        <f t="shared" si="31"/>
        <v>0</v>
      </c>
      <c r="T441" s="156" t="str">
        <f>+VLOOKUP($L441,Data_Validation!$A:$D,1,0)</f>
        <v>6787</v>
      </c>
      <c r="U441" s="156" t="str">
        <f>+VLOOKUP($L441,Data_Validation!$A:$D,3,0)</f>
        <v>Pièces</v>
      </c>
      <c r="V441" s="156" t="str">
        <f>+VLOOKUP($L441,Data_Validation!$A:$D,4,0)</f>
        <v>Taxes foncières</v>
      </c>
      <c r="W441" s="156" t="str">
        <f>+VLOOKUP($L441,Data_Validation!$A:$E,5,0)</f>
        <v>$</v>
      </c>
      <c r="X441" s="156">
        <f>+VLOOKUP($L441,Data_Validation!$A:$F,6,0)</f>
        <v>0</v>
      </c>
    </row>
    <row r="442" spans="1:24" ht="15" hidden="1" customHeight="1">
      <c r="A442" s="1013" t="s">
        <v>1278</v>
      </c>
      <c r="B442" s="1013" t="s">
        <v>2665</v>
      </c>
      <c r="C442" s="1015">
        <v>1575</v>
      </c>
      <c r="D442" s="1015">
        <v>787.5</v>
      </c>
      <c r="E442" s="1015">
        <v>2362.5</v>
      </c>
      <c r="F442" s="1013" t="s">
        <v>401</v>
      </c>
      <c r="G442" s="1013" t="s">
        <v>2597</v>
      </c>
      <c r="H442" s="150"/>
      <c r="I442" s="152"/>
      <c r="J442" s="152"/>
      <c r="K442" s="152"/>
      <c r="L442" s="153" t="str">
        <f t="shared" si="18"/>
        <v>6793</v>
      </c>
      <c r="M442" s="154" t="str">
        <f t="shared" si="19"/>
        <v>AUTRES TAXES - PIECES</v>
      </c>
      <c r="N442" s="155">
        <f>+IF(OR($Q442=Parametres!$G$2,$Q442=Parametres!$G$3),I442,C442)</f>
        <v>1575</v>
      </c>
      <c r="O442" s="155">
        <f>+IF(OR($Q442=Parametres!$G$2,$Q442=Parametres!$G$3),J442,D442)</f>
        <v>787.5</v>
      </c>
      <c r="P442" s="155">
        <f>+IF(OR($Q442=Parametres!$G$2,$Q442=Parametres!$G$3),K442,E442)</f>
        <v>2362.5</v>
      </c>
      <c r="Q442" s="154" t="str">
        <f t="shared" si="31"/>
        <v>7-Dépenses</v>
      </c>
      <c r="R442" s="153" t="str">
        <f t="shared" si="31"/>
        <v>6193</v>
      </c>
      <c r="S442" s="154">
        <f t="shared" si="31"/>
        <v>0</v>
      </c>
      <c r="T442" s="156" t="str">
        <f>+VLOOKUP($L442,Data_Validation!$A:$D,1,0)</f>
        <v>6793</v>
      </c>
      <c r="U442" s="156" t="str">
        <f>+VLOOKUP($L442,Data_Validation!$A:$D,3,0)</f>
        <v>Pièces</v>
      </c>
      <c r="V442" s="156" t="str">
        <f>+VLOOKUP($L442,Data_Validation!$A:$D,4,0)</f>
        <v>Taxes d`affaires</v>
      </c>
      <c r="W442" s="156" t="str">
        <f>+VLOOKUP($L442,Data_Validation!$A:$E,5,0)</f>
        <v>$</v>
      </c>
      <c r="X442" s="156">
        <f>+VLOOKUP($L442,Data_Validation!$A:$F,6,0)</f>
        <v>0</v>
      </c>
    </row>
    <row r="443" spans="1:24" ht="15" hidden="1" customHeight="1">
      <c r="A443" s="1013" t="s">
        <v>1371</v>
      </c>
      <c r="B443" s="1013" t="s">
        <v>2703</v>
      </c>
      <c r="C443" s="1015">
        <v>4012.5</v>
      </c>
      <c r="D443" s="1015">
        <v>2006.25</v>
      </c>
      <c r="E443" s="1015">
        <v>6018.75</v>
      </c>
      <c r="F443" s="1013" t="s">
        <v>401</v>
      </c>
      <c r="G443" s="1013" t="s">
        <v>2635</v>
      </c>
      <c r="H443" s="150"/>
      <c r="I443" s="152"/>
      <c r="J443" s="152"/>
      <c r="K443" s="152"/>
      <c r="L443" s="153" t="str">
        <f t="shared" si="18"/>
        <v>6794</v>
      </c>
      <c r="M443" s="154" t="str">
        <f t="shared" si="19"/>
        <v>FRAIS PROFESSIONNEL-PIECES</v>
      </c>
      <c r="N443" s="155">
        <f>+IF(OR($Q443=Parametres!$G$2,$Q443=Parametres!$G$3),I443,C443)</f>
        <v>4012.5</v>
      </c>
      <c r="O443" s="155">
        <f>+IF(OR($Q443=Parametres!$G$2,$Q443=Parametres!$G$3),J443,D443)</f>
        <v>2006.25</v>
      </c>
      <c r="P443" s="155">
        <f>+IF(OR($Q443=Parametres!$G$2,$Q443=Parametres!$G$3),K443,E443)</f>
        <v>6018.75</v>
      </c>
      <c r="Q443" s="154" t="str">
        <f t="shared" si="31"/>
        <v>7-Dépenses</v>
      </c>
      <c r="R443" s="153" t="str">
        <f t="shared" si="31"/>
        <v>6194</v>
      </c>
      <c r="S443" s="154">
        <f t="shared" si="31"/>
        <v>0</v>
      </c>
      <c r="T443" s="156" t="str">
        <f>+VLOOKUP($L443,Data_Validation!$A:$D,1,0)</f>
        <v>6794</v>
      </c>
      <c r="U443" s="156" t="str">
        <f>+VLOOKUP($L443,Data_Validation!$A:$D,3,0)</f>
        <v>Pièces</v>
      </c>
      <c r="V443" s="156" t="str">
        <f>+VLOOKUP($L443,Data_Validation!$A:$D,4,0)</f>
        <v>Honoraires</v>
      </c>
      <c r="W443" s="156" t="str">
        <f>+VLOOKUP($L443,Data_Validation!$A:$E,5,0)</f>
        <v>$</v>
      </c>
      <c r="X443" s="156">
        <f>+VLOOKUP($L443,Data_Validation!$A:$F,6,0)</f>
        <v>0</v>
      </c>
    </row>
    <row r="444" spans="1:24" ht="15" hidden="1" customHeight="1">
      <c r="A444" s="1013" t="s">
        <v>2053</v>
      </c>
      <c r="B444" s="1013" t="s">
        <v>2054</v>
      </c>
      <c r="C444" s="1015">
        <v>-180107.1</v>
      </c>
      <c r="D444" s="1015">
        <v>-60872</v>
      </c>
      <c r="E444" s="1015">
        <v>-240979.1</v>
      </c>
      <c r="F444" s="1013" t="s">
        <v>304</v>
      </c>
      <c r="G444" s="1013" t="s">
        <v>2055</v>
      </c>
      <c r="H444" s="150"/>
      <c r="I444" s="152"/>
      <c r="J444" s="152"/>
      <c r="K444" s="152"/>
      <c r="L444" s="153" t="str">
        <f t="shared" si="18"/>
        <v>9149</v>
      </c>
      <c r="M444" s="154" t="str">
        <f t="shared" si="19"/>
        <v>REVENU RESERVE VOLKS</v>
      </c>
      <c r="N444" s="155">
        <f>+IF(OR($Q444=Parametres!$G$2,$Q444=Parametres!$G$3),I444,C444)</f>
        <v>-180107.1</v>
      </c>
      <c r="O444" s="155">
        <f>+IF(OR($Q444=Parametres!$G$2,$Q444=Parametres!$G$3),J444,D444)</f>
        <v>-60872</v>
      </c>
      <c r="P444" s="155">
        <f>+IF(OR($Q444=Parametres!$G$2,$Q444=Parametres!$G$3),K444,E444)</f>
        <v>-240979.1</v>
      </c>
      <c r="Q444" s="154" t="str">
        <f t="shared" si="31"/>
        <v>8-Autres revenus</v>
      </c>
      <c r="R444" s="153" t="str">
        <f t="shared" si="31"/>
        <v>9101</v>
      </c>
      <c r="S444" s="154">
        <f t="shared" si="31"/>
        <v>0</v>
      </c>
      <c r="T444" s="156" t="str">
        <f>+VLOOKUP($L444,Data_Validation!$A:$D,1,0)</f>
        <v>9149</v>
      </c>
      <c r="U444" s="156" t="str">
        <f>+VLOOKUP($L444,Data_Validation!$A:$D,3,0)</f>
        <v>Véhicules neufs</v>
      </c>
      <c r="V444" s="156" t="str">
        <f>+VLOOKUP($L444,Data_Validation!$A:$D,4,0)</f>
        <v>Holdbacks</v>
      </c>
      <c r="W444" s="156" t="str">
        <f>+VLOOKUP($L444,Data_Validation!$A:$E,5,0)</f>
        <v>$</v>
      </c>
      <c r="X444" s="156">
        <f>+VLOOKUP($L444,Data_Validation!$A:$F,6,0)</f>
        <v>0</v>
      </c>
    </row>
    <row r="445" spans="1:24" ht="15" hidden="1" customHeight="1">
      <c r="A445" s="1013" t="s">
        <v>2138</v>
      </c>
      <c r="B445" s="1013" t="s">
        <v>2139</v>
      </c>
      <c r="C445" s="1015">
        <v>-9883.07</v>
      </c>
      <c r="D445" s="1015">
        <v>-6262.24</v>
      </c>
      <c r="E445" s="1015">
        <v>-16145.31</v>
      </c>
      <c r="F445" s="1013" t="s">
        <v>304</v>
      </c>
      <c r="G445" s="1013" t="s">
        <v>2139</v>
      </c>
      <c r="H445" s="150"/>
      <c r="I445" s="152"/>
      <c r="J445" s="152"/>
      <c r="K445" s="152"/>
      <c r="L445" s="153" t="str">
        <f t="shared" si="18"/>
        <v>9152</v>
      </c>
      <c r="M445" s="154" t="str">
        <f t="shared" si="19"/>
        <v>ESCOMPTES SUR ACHAT PIECES</v>
      </c>
      <c r="N445" s="155">
        <f>+IF(OR($Q445=Parametres!$G$2,$Q445=Parametres!$G$3),I445,C445)</f>
        <v>-9883.07</v>
      </c>
      <c r="O445" s="155">
        <f>+IF(OR($Q445=Parametres!$G$2,$Q445=Parametres!$G$3),J445,D445)</f>
        <v>-6262.24</v>
      </c>
      <c r="P445" s="155">
        <f>+IF(OR($Q445=Parametres!$G$2,$Q445=Parametres!$G$3),K445,E445)</f>
        <v>-16145.31</v>
      </c>
      <c r="Q445" s="154" t="str">
        <f t="shared" si="31"/>
        <v>8-Autres revenus</v>
      </c>
      <c r="R445" s="153" t="str">
        <f t="shared" si="31"/>
        <v>9152</v>
      </c>
      <c r="S445" s="154">
        <f t="shared" si="31"/>
        <v>0</v>
      </c>
      <c r="T445" s="156" t="str">
        <f>+VLOOKUP($L445,Data_Validation!$A:$D,1,0)</f>
        <v>9152</v>
      </c>
      <c r="U445" s="156" t="str">
        <f>+VLOOKUP($L445,Data_Validation!$A:$D,3,0)</f>
        <v>Pièces</v>
      </c>
      <c r="V445" s="156" t="str">
        <f>+VLOOKUP($L445,Data_Validation!$A:$D,4,0)</f>
        <v>Escomptes</v>
      </c>
      <c r="W445" s="156" t="str">
        <f>+VLOOKUP($L445,Data_Validation!$A:$E,5,0)</f>
        <v>$</v>
      </c>
      <c r="X445" s="156">
        <f>+VLOOKUP($L445,Data_Validation!$A:$F,6,0)</f>
        <v>0</v>
      </c>
    </row>
    <row r="446" spans="1:24" ht="15.75" hidden="1" customHeight="1">
      <c r="A446" s="1013" t="s">
        <v>2077</v>
      </c>
      <c r="B446" s="1013" t="s">
        <v>2078</v>
      </c>
      <c r="C446" s="1015">
        <v>-15230</v>
      </c>
      <c r="D446" s="1015">
        <v>-10850</v>
      </c>
      <c r="E446" s="1015">
        <v>-26080</v>
      </c>
      <c r="F446" s="1013" t="s">
        <v>304</v>
      </c>
      <c r="G446" s="1013" t="s">
        <v>2079</v>
      </c>
      <c r="H446" s="150"/>
      <c r="I446" s="152"/>
      <c r="J446" s="152"/>
      <c r="K446" s="152"/>
      <c r="L446" s="153" t="str">
        <f t="shared" si="18"/>
        <v>9157</v>
      </c>
      <c r="M446" s="154" t="str">
        <f t="shared" si="19"/>
        <v>PRIMES DE RENDEMENT (ToT)- BONUS EXPERIENCE +</v>
      </c>
      <c r="N446" s="155">
        <f>+IF(OR($Q446=Parametres!$G$2,$Q446=Parametres!$G$3),I446,C446)</f>
        <v>-15230</v>
      </c>
      <c r="O446" s="155">
        <f>+IF(OR($Q446=Parametres!$G$2,$Q446=Parametres!$G$3),J446,D446)</f>
        <v>-10850</v>
      </c>
      <c r="P446" s="155">
        <f>+IF(OR($Q446=Parametres!$G$2,$Q446=Parametres!$G$3),K446,E446)</f>
        <v>-26080</v>
      </c>
      <c r="Q446" s="154" t="str">
        <f t="shared" si="31"/>
        <v>8-Autres revenus</v>
      </c>
      <c r="R446" s="153" t="str">
        <f t="shared" si="31"/>
        <v>915</v>
      </c>
      <c r="S446" s="154">
        <f t="shared" si="31"/>
        <v>0</v>
      </c>
      <c r="T446" s="156" t="str">
        <f>+VLOOKUP($L446,Data_Validation!$A:$D,1,0)</f>
        <v>9157</v>
      </c>
      <c r="U446" s="156" t="str">
        <f>+VLOOKUP($L446,Data_Validation!$A:$D,3,0)</f>
        <v>Véhicules neufs</v>
      </c>
      <c r="V446" s="156" t="str">
        <f>+VLOOKUP($L446,Data_Validation!$A:$D,4,0)</f>
        <v>Programme neuf 1</v>
      </c>
      <c r="W446" s="156" t="str">
        <f>+VLOOKUP($L446,Data_Validation!$A:$E,5,0)</f>
        <v>$</v>
      </c>
      <c r="X446" s="156">
        <f>+VLOOKUP($L446,Data_Validation!$A:$F,6,0)</f>
        <v>0</v>
      </c>
    </row>
    <row r="447" spans="1:24" ht="15.75" hidden="1" customHeight="1">
      <c r="A447" s="1013" t="s">
        <v>2170</v>
      </c>
      <c r="B447" s="1013" t="s">
        <v>2076</v>
      </c>
      <c r="C447" s="1015">
        <v>-18479.689999999999</v>
      </c>
      <c r="D447" s="1015">
        <v>-6664.51</v>
      </c>
      <c r="E447" s="1015">
        <v>-25144.2</v>
      </c>
      <c r="F447" s="1013" t="s">
        <v>304</v>
      </c>
      <c r="G447" s="1013" t="s">
        <v>2076</v>
      </c>
      <c r="H447" s="150"/>
      <c r="I447" s="152"/>
      <c r="J447" s="152"/>
      <c r="K447" s="152"/>
      <c r="L447" s="153" t="str">
        <f t="shared" si="18"/>
        <v>9161</v>
      </c>
      <c r="M447" s="154" t="str">
        <f t="shared" si="19"/>
        <v>REVENU FIN ET ASS NEUF</v>
      </c>
      <c r="N447" s="155">
        <f>+IF(OR($Q447=Parametres!$G$2,$Q447=Parametres!$G$3),I447,C447)</f>
        <v>-18479.689999999999</v>
      </c>
      <c r="O447" s="155">
        <f>+IF(OR($Q447=Parametres!$G$2,$Q447=Parametres!$G$3),J447,D447)</f>
        <v>-6664.51</v>
      </c>
      <c r="P447" s="155">
        <f>+IF(OR($Q447=Parametres!$G$2,$Q447=Parametres!$G$3),K447,E447)</f>
        <v>-25144.2</v>
      </c>
      <c r="Q447" s="154" t="str">
        <f t="shared" si="31"/>
        <v>8-Autres revenus</v>
      </c>
      <c r="R447" s="153" t="str">
        <f t="shared" si="31"/>
        <v>9161</v>
      </c>
      <c r="S447" s="154">
        <f t="shared" si="31"/>
        <v>0</v>
      </c>
      <c r="T447" s="156" t="str">
        <f>+VLOOKUP($L447,Data_Validation!$A:$D,1,0)</f>
        <v>9161</v>
      </c>
      <c r="U447" s="156" t="str">
        <f>+VLOOKUP($L447,Data_Validation!$A:$D,3,0)</f>
        <v>Véhicules neufs</v>
      </c>
      <c r="V447" s="156" t="str">
        <f>+VLOOKUP($L447,Data_Validation!$A:$D,4,0)</f>
        <v>Rev. Finances</v>
      </c>
      <c r="W447" s="156" t="str">
        <f>+VLOOKUP($L447,Data_Validation!$A:$E,5,0)</f>
        <v>$</v>
      </c>
      <c r="X447" s="156" t="str">
        <f>+VLOOKUP($L447,Data_Validation!$A:$F,6,0)</f>
        <v>oui</v>
      </c>
    </row>
    <row r="448" spans="1:24" ht="15" hidden="1" customHeight="1">
      <c r="A448" s="1013" t="s">
        <v>2084</v>
      </c>
      <c r="B448" s="1013" t="s">
        <v>2085</v>
      </c>
      <c r="C448" s="1015">
        <v>-17854.86</v>
      </c>
      <c r="D448" s="1015">
        <v>-19741.900000000001</v>
      </c>
      <c r="E448" s="1015">
        <v>-37596.76</v>
      </c>
      <c r="F448" s="1013" t="s">
        <v>304</v>
      </c>
      <c r="G448" s="1013" t="s">
        <v>2085</v>
      </c>
      <c r="H448" s="150"/>
      <c r="I448" s="152"/>
      <c r="J448" s="152"/>
      <c r="K448" s="152"/>
      <c r="L448" s="153" t="str">
        <f t="shared" si="18"/>
        <v>9163</v>
      </c>
      <c r="M448" s="154" t="str">
        <f t="shared" si="19"/>
        <v>RESERVE FIN ET ASS VEH OCCASION</v>
      </c>
      <c r="N448" s="155">
        <f>+IF(OR($Q448=Parametres!$G$2,$Q448=Parametres!$G$3),I448,C448)</f>
        <v>-17854.86</v>
      </c>
      <c r="O448" s="155">
        <f>+IF(OR($Q448=Parametres!$G$2,$Q448=Parametres!$G$3),J448,D448)</f>
        <v>-19741.900000000001</v>
      </c>
      <c r="P448" s="155">
        <f>+IF(OR($Q448=Parametres!$G$2,$Q448=Parametres!$G$3),K448,E448)</f>
        <v>-37596.76</v>
      </c>
      <c r="Q448" s="154" t="str">
        <f t="shared" si="31"/>
        <v>8-Autres revenus</v>
      </c>
      <c r="R448" s="153" t="str">
        <f t="shared" si="31"/>
        <v>9163</v>
      </c>
      <c r="S448" s="154">
        <f t="shared" si="31"/>
        <v>0</v>
      </c>
      <c r="T448" s="156" t="str">
        <f>+VLOOKUP($L448,Data_Validation!$A:$D,1,0)</f>
        <v>9163</v>
      </c>
      <c r="U448" s="156" t="str">
        <f>+VLOOKUP($L448,Data_Validation!$A:$D,3,0)</f>
        <v>Véhicules usagés</v>
      </c>
      <c r="V448" s="156" t="str">
        <f>+VLOOKUP($L448,Data_Validation!$A:$D,4,0)</f>
        <v>Rev. Finances</v>
      </c>
      <c r="W448" s="156" t="str">
        <f>+VLOOKUP($L448,Data_Validation!$A:$E,5,0)</f>
        <v>$</v>
      </c>
      <c r="X448" s="156" t="str">
        <f>+VLOOKUP($L448,Data_Validation!$A:$F,6,0)</f>
        <v>oui</v>
      </c>
    </row>
    <row r="449" spans="1:24" ht="15" hidden="1" customHeight="1">
      <c r="A449" s="1013" t="s">
        <v>2171</v>
      </c>
      <c r="B449" s="1013" t="s">
        <v>2172</v>
      </c>
      <c r="C449" s="1015">
        <v>-5769.45</v>
      </c>
      <c r="D449" s="1015">
        <v>-1863.83</v>
      </c>
      <c r="E449" s="1015">
        <v>-7633.28</v>
      </c>
      <c r="F449" s="1013" t="s">
        <v>304</v>
      </c>
      <c r="G449" s="1013" t="s">
        <v>2076</v>
      </c>
      <c r="H449" s="150"/>
      <c r="I449" s="157"/>
      <c r="J449" s="157"/>
      <c r="K449" s="157"/>
      <c r="L449" s="153" t="str">
        <f t="shared" si="18"/>
        <v>9165</v>
      </c>
      <c r="M449" s="154" t="str">
        <f t="shared" si="19"/>
        <v>REV. ASSURANCES NEUF</v>
      </c>
      <c r="N449" s="155">
        <f>+IF(OR($Q449=Parametres!$G$2,$Q449=Parametres!$G$3),I449,C449)</f>
        <v>-5769.45</v>
      </c>
      <c r="O449" s="155">
        <f>+IF(OR($Q449=Parametres!$G$2,$Q449=Parametres!$G$3),J449,D449)</f>
        <v>-1863.83</v>
      </c>
      <c r="P449" s="155">
        <f>+IF(OR($Q449=Parametres!$G$2,$Q449=Parametres!$G$3),K449,E449)</f>
        <v>-7633.28</v>
      </c>
      <c r="Q449" s="154" t="str">
        <f t="shared" si="31"/>
        <v>8-Autres revenus</v>
      </c>
      <c r="R449" s="153" t="str">
        <f t="shared" si="31"/>
        <v>9161</v>
      </c>
      <c r="S449" s="154">
        <f t="shared" si="31"/>
        <v>0</v>
      </c>
      <c r="T449" s="156" t="str">
        <f>+VLOOKUP($L449,Data_Validation!$A:$D,1,0)</f>
        <v>9165</v>
      </c>
      <c r="U449" s="156" t="str">
        <f>+VLOOKUP($L449,Data_Validation!$A:$D,3,0)</f>
        <v>Véhicules neufs</v>
      </c>
      <c r="V449" s="156" t="str">
        <f>+VLOOKUP($L449,Data_Validation!$A:$D,4,0)</f>
        <v>Rev. Autres</v>
      </c>
      <c r="W449" s="156" t="str">
        <f>+VLOOKUP($L449,Data_Validation!$A:$E,5,0)</f>
        <v>$</v>
      </c>
      <c r="X449" s="156" t="str">
        <f>+VLOOKUP($L449,Data_Validation!$A:$F,6,0)</f>
        <v>oui</v>
      </c>
    </row>
    <row r="450" spans="1:24" ht="15" hidden="1" customHeight="1">
      <c r="A450" s="1013" t="s">
        <v>2179</v>
      </c>
      <c r="B450" s="1013" t="s">
        <v>2180</v>
      </c>
      <c r="C450" s="1015">
        <v>-828.44</v>
      </c>
      <c r="D450" s="1015">
        <v>0</v>
      </c>
      <c r="E450" s="1015">
        <v>-828.44</v>
      </c>
      <c r="F450" s="1013" t="s">
        <v>304</v>
      </c>
      <c r="G450" s="1013" t="s">
        <v>2085</v>
      </c>
      <c r="H450" s="150"/>
      <c r="I450" s="157"/>
      <c r="J450" s="157"/>
      <c r="K450" s="157"/>
      <c r="L450" s="153" t="str">
        <f t="shared" si="18"/>
        <v>9167</v>
      </c>
      <c r="M450" s="154" t="str">
        <f t="shared" si="19"/>
        <v>REV ASSURANCE USAGE</v>
      </c>
      <c r="N450" s="155">
        <f>+IF(OR($Q450=Parametres!$G$2,$Q450=Parametres!$G$3),I450,C450)</f>
        <v>-828.44</v>
      </c>
      <c r="O450" s="155">
        <f>+IF(OR($Q450=Parametres!$G$2,$Q450=Parametres!$G$3),J450,D450)</f>
        <v>0</v>
      </c>
      <c r="P450" s="155">
        <f>+IF(OR($Q450=Parametres!$G$2,$Q450=Parametres!$G$3),K450,E450)</f>
        <v>-828.44</v>
      </c>
      <c r="Q450" s="154" t="str">
        <f t="shared" ref="Q450:S465" si="32">+F450</f>
        <v>8-Autres revenus</v>
      </c>
      <c r="R450" s="153" t="str">
        <f t="shared" si="32"/>
        <v>9163</v>
      </c>
      <c r="S450" s="154">
        <f t="shared" si="32"/>
        <v>0</v>
      </c>
      <c r="T450" s="156" t="str">
        <f>+VLOOKUP($L450,Data_Validation!$A:$D,1,0)</f>
        <v>9167</v>
      </c>
      <c r="U450" s="156" t="str">
        <f>+VLOOKUP($L450,Data_Validation!$A:$D,3,0)</f>
        <v>Véhicules usagés</v>
      </c>
      <c r="V450" s="156" t="str">
        <f>+VLOOKUP($L450,Data_Validation!$A:$D,4,0)</f>
        <v>Rev. Autres</v>
      </c>
      <c r="W450" s="156" t="str">
        <f>+VLOOKUP($L450,Data_Validation!$A:$E,5,0)</f>
        <v>$</v>
      </c>
      <c r="X450" s="156">
        <f>+VLOOKUP($L450,Data_Validation!$A:$F,6,0)</f>
        <v>0</v>
      </c>
    </row>
    <row r="451" spans="1:24" ht="15" hidden="1" customHeight="1">
      <c r="A451" s="1013" t="s">
        <v>2092</v>
      </c>
      <c r="B451" s="1013" t="s">
        <v>2093</v>
      </c>
      <c r="C451" s="1015">
        <v>-32000.95</v>
      </c>
      <c r="D451" s="1015">
        <v>-16224</v>
      </c>
      <c r="E451" s="1015">
        <v>-48224.95</v>
      </c>
      <c r="F451" s="1013" t="s">
        <v>304</v>
      </c>
      <c r="G451" s="1013" t="s">
        <v>2076</v>
      </c>
      <c r="H451" s="150"/>
      <c r="I451" s="157"/>
      <c r="J451" s="157"/>
      <c r="K451" s="157"/>
      <c r="L451" s="153" t="str">
        <f t="shared" si="18"/>
        <v>9169</v>
      </c>
      <c r="M451" s="154" t="str">
        <f t="shared" si="19"/>
        <v>REV GARANTIE PROLONGEE NEUF</v>
      </c>
      <c r="N451" s="155">
        <f>+IF(OR($Q451=Parametres!$G$2,$Q451=Parametres!$G$3),I451,C451)</f>
        <v>-32000.95</v>
      </c>
      <c r="O451" s="155">
        <f>+IF(OR($Q451=Parametres!$G$2,$Q451=Parametres!$G$3),J451,D451)</f>
        <v>-16224</v>
      </c>
      <c r="P451" s="155">
        <f>+IF(OR($Q451=Parametres!$G$2,$Q451=Parametres!$G$3),K451,E451)</f>
        <v>-48224.95</v>
      </c>
      <c r="Q451" s="154" t="str">
        <f t="shared" si="32"/>
        <v>8-Autres revenus</v>
      </c>
      <c r="R451" s="153" t="str">
        <f t="shared" si="32"/>
        <v>9161</v>
      </c>
      <c r="S451" s="154">
        <f t="shared" si="32"/>
        <v>0</v>
      </c>
      <c r="T451" s="156" t="str">
        <f>+VLOOKUP($L451,Data_Validation!$A:$D,1,0)</f>
        <v>9169</v>
      </c>
      <c r="U451" s="156" t="str">
        <f>+VLOOKUP($L451,Data_Validation!$A:$D,3,0)</f>
        <v>Véhicules neufs</v>
      </c>
      <c r="V451" s="156" t="str">
        <f>+VLOOKUP($L451,Data_Validation!$A:$D,4,0)</f>
        <v>Rev. Protections</v>
      </c>
      <c r="W451" s="156" t="str">
        <f>+VLOOKUP($L451,Data_Validation!$A:$E,5,0)</f>
        <v>$</v>
      </c>
      <c r="X451" s="156" t="str">
        <f>+VLOOKUP($L451,Data_Validation!$A:$F,6,0)</f>
        <v>oui</v>
      </c>
    </row>
    <row r="452" spans="1:24" ht="15.75" hidden="1" customHeight="1">
      <c r="A452" s="1013" t="s">
        <v>2074</v>
      </c>
      <c r="B452" s="1013" t="s">
        <v>2075</v>
      </c>
      <c r="C452" s="1015">
        <v>-31529.48</v>
      </c>
      <c r="D452" s="1015">
        <v>-21499.25</v>
      </c>
      <c r="E452" s="1015">
        <v>-53028.73</v>
      </c>
      <c r="F452" s="1013" t="s">
        <v>304</v>
      </c>
      <c r="G452" s="1013" t="s">
        <v>2076</v>
      </c>
      <c r="H452" s="150"/>
      <c r="I452" s="157"/>
      <c r="J452" s="157"/>
      <c r="K452" s="157"/>
      <c r="L452" s="153" t="str">
        <f t="shared" si="18"/>
        <v>9170</v>
      </c>
      <c r="M452" s="154" t="str">
        <f t="shared" si="19"/>
        <v>PROFIT PROTECTIONS - NEUFS</v>
      </c>
      <c r="N452" s="155">
        <f>+IF(OR($Q452=Parametres!$G$2,$Q452=Parametres!$G$3),I452,C452)</f>
        <v>-31529.48</v>
      </c>
      <c r="O452" s="155">
        <f>+IF(OR($Q452=Parametres!$G$2,$Q452=Parametres!$G$3),J452,D452)</f>
        <v>-21499.25</v>
      </c>
      <c r="P452" s="155">
        <f>+IF(OR($Q452=Parametres!$G$2,$Q452=Parametres!$G$3),K452,E452)</f>
        <v>-53028.73</v>
      </c>
      <c r="Q452" s="154" t="str">
        <f t="shared" si="32"/>
        <v>8-Autres revenus</v>
      </c>
      <c r="R452" s="153" t="str">
        <f t="shared" si="32"/>
        <v>9161</v>
      </c>
      <c r="S452" s="154">
        <f t="shared" si="32"/>
        <v>0</v>
      </c>
      <c r="T452" s="156" t="str">
        <f>+VLOOKUP($L452,Data_Validation!$A:$D,1,0)</f>
        <v>9170</v>
      </c>
      <c r="U452" s="156" t="str">
        <f>+VLOOKUP($L452,Data_Validation!$A:$D,3,0)</f>
        <v>Véhicules neufs</v>
      </c>
      <c r="V452" s="156" t="str">
        <f>+VLOOKUP($L452,Data_Validation!$A:$D,4,0)</f>
        <v>Rev. Protections</v>
      </c>
      <c r="W452" s="156" t="str">
        <f>+VLOOKUP($L452,Data_Validation!$A:$E,5,0)</f>
        <v>$</v>
      </c>
      <c r="X452" s="156" t="str">
        <f>+VLOOKUP($L452,Data_Validation!$A:$F,6,0)</f>
        <v>oui</v>
      </c>
    </row>
    <row r="453" spans="1:24" ht="15" hidden="1" customHeight="1">
      <c r="A453" s="1013" t="s">
        <v>2088</v>
      </c>
      <c r="B453" s="1013" t="s">
        <v>2089</v>
      </c>
      <c r="C453" s="1015">
        <v>-15387.78</v>
      </c>
      <c r="D453" s="1015">
        <v>-16187.78</v>
      </c>
      <c r="E453" s="1015">
        <v>-31575.56</v>
      </c>
      <c r="F453" s="1013" t="s">
        <v>304</v>
      </c>
      <c r="G453" s="1013" t="s">
        <v>2085</v>
      </c>
      <c r="H453" s="150"/>
      <c r="I453" s="157"/>
      <c r="J453" s="157"/>
      <c r="K453" s="157"/>
      <c r="L453" s="153" t="str">
        <f t="shared" si="18"/>
        <v>9171</v>
      </c>
      <c r="M453" s="154" t="str">
        <f t="shared" si="19"/>
        <v>REV GARANTIE PROLONGEE USAGE</v>
      </c>
      <c r="N453" s="155">
        <f>+IF(OR($Q453=Parametres!$G$2,$Q453=Parametres!$G$3),I453,C453)</f>
        <v>-15387.78</v>
      </c>
      <c r="O453" s="155">
        <f>+IF(OR($Q453=Parametres!$G$2,$Q453=Parametres!$G$3),J453,D453)</f>
        <v>-16187.78</v>
      </c>
      <c r="P453" s="155">
        <f>+IF(OR($Q453=Parametres!$G$2,$Q453=Parametres!$G$3),K453,E453)</f>
        <v>-31575.56</v>
      </c>
      <c r="Q453" s="154" t="str">
        <f t="shared" si="32"/>
        <v>8-Autres revenus</v>
      </c>
      <c r="R453" s="153" t="str">
        <f t="shared" si="32"/>
        <v>9163</v>
      </c>
      <c r="S453" s="154">
        <f t="shared" si="32"/>
        <v>0</v>
      </c>
      <c r="T453" s="156" t="str">
        <f>+VLOOKUP($L453,Data_Validation!$A:$D,1,0)</f>
        <v>9171</v>
      </c>
      <c r="U453" s="156" t="str">
        <f>+VLOOKUP($L453,Data_Validation!$A:$D,3,0)</f>
        <v>Véhicules usagés</v>
      </c>
      <c r="V453" s="156" t="str">
        <f>+VLOOKUP($L453,Data_Validation!$A:$D,4,0)</f>
        <v>Rev. Protections</v>
      </c>
      <c r="W453" s="156" t="str">
        <f>+VLOOKUP($L453,Data_Validation!$A:$E,5,0)</f>
        <v>$</v>
      </c>
      <c r="X453" s="156">
        <f>+VLOOKUP($L453,Data_Validation!$A:$F,6,0)</f>
        <v>0</v>
      </c>
    </row>
    <row r="454" spans="1:24" ht="15" hidden="1" customHeight="1">
      <c r="A454" s="1013" t="s">
        <v>2096</v>
      </c>
      <c r="B454" s="1013" t="s">
        <v>2097</v>
      </c>
      <c r="C454" s="1015">
        <v>-7583.56</v>
      </c>
      <c r="D454" s="1015">
        <v>-6214.26</v>
      </c>
      <c r="E454" s="1015">
        <v>-13797.82</v>
      </c>
      <c r="F454" s="1013" t="s">
        <v>304</v>
      </c>
      <c r="G454" s="1013" t="s">
        <v>2085</v>
      </c>
      <c r="H454" s="150"/>
      <c r="I454" s="157"/>
      <c r="J454" s="157"/>
      <c r="K454" s="157"/>
      <c r="L454" s="153" t="str">
        <f t="shared" si="18"/>
        <v>9172</v>
      </c>
      <c r="M454" s="154" t="str">
        <f t="shared" si="19"/>
        <v>PROFIT PROTECTIONS - USAGES</v>
      </c>
      <c r="N454" s="155">
        <f>+IF(OR($Q454=Parametres!$G$2,$Q454=Parametres!$G$3),I454,C454)</f>
        <v>-7583.56</v>
      </c>
      <c r="O454" s="155">
        <f>+IF(OR($Q454=Parametres!$G$2,$Q454=Parametres!$G$3),J454,D454)</f>
        <v>-6214.26</v>
      </c>
      <c r="P454" s="155">
        <f>+IF(OR($Q454=Parametres!$G$2,$Q454=Parametres!$G$3),K454,E454)</f>
        <v>-13797.82</v>
      </c>
      <c r="Q454" s="154" t="str">
        <f t="shared" si="32"/>
        <v>8-Autres revenus</v>
      </c>
      <c r="R454" s="153" t="str">
        <f t="shared" si="32"/>
        <v>9163</v>
      </c>
      <c r="S454" s="154">
        <f t="shared" si="32"/>
        <v>0</v>
      </c>
      <c r="T454" s="156" t="str">
        <f>+VLOOKUP($L454,Data_Validation!$A:$D,1,0)</f>
        <v>9172</v>
      </c>
      <c r="U454" s="156" t="str">
        <f>+VLOOKUP($L454,Data_Validation!$A:$D,3,0)</f>
        <v>Véhicules usagés</v>
      </c>
      <c r="V454" s="156" t="str">
        <f>+VLOOKUP($L454,Data_Validation!$A:$D,4,0)</f>
        <v>Rev. Protections</v>
      </c>
      <c r="W454" s="156" t="str">
        <f>+VLOOKUP($L454,Data_Validation!$A:$E,5,0)</f>
        <v>$</v>
      </c>
      <c r="X454" s="156">
        <f>+VLOOKUP($L454,Data_Validation!$A:$F,6,0)</f>
        <v>0</v>
      </c>
    </row>
    <row r="455" spans="1:24" ht="15" hidden="1" customHeight="1">
      <c r="A455" s="1013" t="s">
        <v>2080</v>
      </c>
      <c r="B455" s="1013" t="s">
        <v>2081</v>
      </c>
      <c r="C455" s="1015">
        <v>-48829.25</v>
      </c>
      <c r="D455" s="1015">
        <v>-33871</v>
      </c>
      <c r="E455" s="1015">
        <v>-82700.25</v>
      </c>
      <c r="F455" s="1013" t="s">
        <v>304</v>
      </c>
      <c r="G455" s="1013" t="s">
        <v>2063</v>
      </c>
      <c r="H455" s="150"/>
      <c r="I455" s="157"/>
      <c r="J455" s="157"/>
      <c r="K455" s="157"/>
      <c r="L455" s="153" t="str">
        <f t="shared" si="18"/>
        <v>9173</v>
      </c>
      <c r="M455" s="154" t="str">
        <f t="shared" si="19"/>
        <v>FRAIS ADMIN. VOLKS</v>
      </c>
      <c r="N455" s="155">
        <f>+IF(OR($Q455=Parametres!$G$2,$Q455=Parametres!$G$3),I455,C455)</f>
        <v>-48829.25</v>
      </c>
      <c r="O455" s="155">
        <f>+IF(OR($Q455=Parametres!$G$2,$Q455=Parametres!$G$3),J455,D455)</f>
        <v>-33871</v>
      </c>
      <c r="P455" s="155">
        <f>+IF(OR($Q455=Parametres!$G$2,$Q455=Parametres!$G$3),K455,E455)</f>
        <v>-82700.25</v>
      </c>
      <c r="Q455" s="154" t="str">
        <f t="shared" si="32"/>
        <v>8-Autres revenus</v>
      </c>
      <c r="R455" s="153" t="str">
        <f t="shared" si="32"/>
        <v>9191</v>
      </c>
      <c r="S455" s="154">
        <f t="shared" si="32"/>
        <v>0</v>
      </c>
      <c r="T455" s="156" t="str">
        <f>+VLOOKUP($L455,Data_Validation!$A:$D,1,0)</f>
        <v>9173</v>
      </c>
      <c r="U455" s="156" t="str">
        <f>+VLOOKUP($L455,Data_Validation!$A:$D,3,0)</f>
        <v>Véhicules neufs</v>
      </c>
      <c r="V455" s="156" t="str">
        <f>+VLOOKUP($L455,Data_Validation!$A:$D,4,0)</f>
        <v>Frais administration</v>
      </c>
      <c r="W455" s="156" t="str">
        <f>+VLOOKUP($L455,Data_Validation!$A:$E,5,0)</f>
        <v>$</v>
      </c>
      <c r="X455" s="156">
        <f>+VLOOKUP($L455,Data_Validation!$A:$F,6,0)</f>
        <v>0</v>
      </c>
    </row>
    <row r="456" spans="1:24" ht="15.75" hidden="1" customHeight="1">
      <c r="A456" s="1013" t="s">
        <v>2062</v>
      </c>
      <c r="B456" s="1013" t="s">
        <v>2063</v>
      </c>
      <c r="C456" s="1015">
        <v>-103921.7</v>
      </c>
      <c r="D456" s="1015">
        <v>-37185.800000000003</v>
      </c>
      <c r="E456" s="1015">
        <v>-141107.5</v>
      </c>
      <c r="F456" s="1013" t="s">
        <v>304</v>
      </c>
      <c r="G456" s="1013" t="s">
        <v>2063</v>
      </c>
      <c r="H456" s="150"/>
      <c r="I456" s="157"/>
      <c r="J456" s="157"/>
      <c r="K456" s="157"/>
      <c r="L456" s="153" t="str">
        <f t="shared" si="18"/>
        <v>9191</v>
      </c>
      <c r="M456" s="154" t="str">
        <f t="shared" si="19"/>
        <v>REVENUS DIVERS</v>
      </c>
      <c r="N456" s="155">
        <f>+IF(OR($Q456=Parametres!$G$2,$Q456=Parametres!$G$3),I456,C456)</f>
        <v>-103921.7</v>
      </c>
      <c r="O456" s="155">
        <f>+IF(OR($Q456=Parametres!$G$2,$Q456=Parametres!$G$3),J456,D456)</f>
        <v>-37185.800000000003</v>
      </c>
      <c r="P456" s="155">
        <f>+IF(OR($Q456=Parametres!$G$2,$Q456=Parametres!$G$3),K456,E456)</f>
        <v>-141107.5</v>
      </c>
      <c r="Q456" s="154" t="str">
        <f t="shared" si="32"/>
        <v>8-Autres revenus</v>
      </c>
      <c r="R456" s="153" t="str">
        <f t="shared" si="32"/>
        <v>9191</v>
      </c>
      <c r="S456" s="154">
        <f t="shared" si="32"/>
        <v>0</v>
      </c>
      <c r="T456" s="156" t="str">
        <f>+VLOOKUP($L456,Data_Validation!$A:$D,1,0)</f>
        <v>9191</v>
      </c>
      <c r="U456" s="156" t="str">
        <f>+VLOOKUP($L456,Data_Validation!$A:$D,3,0)</f>
        <v>TOTAL  DES  REVENUS  ET  DÉPENSES</v>
      </c>
      <c r="V456" s="156" t="str">
        <f>+VLOOKUP($L456,Data_Validation!$A:$D,4,0)</f>
        <v>Revenus autres</v>
      </c>
      <c r="W456" s="156" t="str">
        <f>+VLOOKUP($L456,Data_Validation!$A:$E,5,0)</f>
        <v>$</v>
      </c>
      <c r="X456" s="156">
        <f>+VLOOKUP($L456,Data_Validation!$A:$F,6,0)</f>
        <v>0</v>
      </c>
    </row>
    <row r="457" spans="1:24" ht="15" hidden="1" customHeight="1">
      <c r="A457" s="1013" t="s">
        <v>2650</v>
      </c>
      <c r="B457" s="1013" t="s">
        <v>2176</v>
      </c>
      <c r="C457" s="1015">
        <v>7730.01</v>
      </c>
      <c r="D457" s="1015">
        <v>5219.41</v>
      </c>
      <c r="E457" s="1015">
        <v>12949.42</v>
      </c>
      <c r="F457" s="1013" t="s">
        <v>1235</v>
      </c>
      <c r="G457" s="1013" t="s">
        <v>2176</v>
      </c>
      <c r="H457" s="150"/>
      <c r="I457" s="157"/>
      <c r="J457" s="157"/>
      <c r="K457" s="157"/>
      <c r="L457" s="153" t="str">
        <f t="shared" si="18"/>
        <v>9402</v>
      </c>
      <c r="M457" s="154" t="str">
        <f t="shared" si="19"/>
        <v>DEPENSE D'INTERETS</v>
      </c>
      <c r="N457" s="155">
        <f>+IF(OR($Q457=Parametres!$G$2,$Q457=Parametres!$G$3),I457,C457)</f>
        <v>7730.01</v>
      </c>
      <c r="O457" s="155">
        <f>+IF(OR($Q457=Parametres!$G$2,$Q457=Parametres!$G$3),J457,D457)</f>
        <v>5219.41</v>
      </c>
      <c r="P457" s="155">
        <f>+IF(OR($Q457=Parametres!$G$2,$Q457=Parametres!$G$3),K457,E457)</f>
        <v>12949.42</v>
      </c>
      <c r="Q457" s="154" t="str">
        <f t="shared" si="32"/>
        <v>9-Autres déductions</v>
      </c>
      <c r="R457" s="153" t="str">
        <f t="shared" si="32"/>
        <v>9402</v>
      </c>
      <c r="S457" s="154">
        <f t="shared" si="32"/>
        <v>0</v>
      </c>
      <c r="T457" s="156" t="str">
        <f>+VLOOKUP($L457,Data_Validation!$A:$D,1,0)</f>
        <v>9402</v>
      </c>
      <c r="U457" s="156" t="str">
        <f>+VLOOKUP($L457,Data_Validation!$A:$D,3,0)</f>
        <v>TOTAL  DES  REVENUS  ET  DÉPENSES</v>
      </c>
      <c r="V457" s="156" t="str">
        <f>+VLOOKUP($L457,Data_Validation!$A:$D,4,0)</f>
        <v>Intérêts sur prêt</v>
      </c>
      <c r="W457" s="156" t="str">
        <f>+VLOOKUP($L457,Data_Validation!$A:$E,5,0)</f>
        <v>$</v>
      </c>
      <c r="X457" s="156">
        <f>+VLOOKUP($L457,Data_Validation!$A:$F,6,0)</f>
        <v>0</v>
      </c>
    </row>
    <row r="458" spans="1:24" ht="15" hidden="1" customHeight="1">
      <c r="A458" s="947" t="s">
        <v>1385</v>
      </c>
      <c r="B458" s="947" t="s">
        <v>2782</v>
      </c>
      <c r="C458" s="948">
        <v>9461.69</v>
      </c>
      <c r="D458" s="948">
        <v>5960.74</v>
      </c>
      <c r="E458" s="948">
        <v>15422.43</v>
      </c>
      <c r="F458" s="947" t="s">
        <v>1235</v>
      </c>
      <c r="G458" s="947" t="s">
        <v>2176</v>
      </c>
      <c r="H458" s="150"/>
      <c r="I458" s="157"/>
      <c r="J458" s="157"/>
      <c r="K458" s="157"/>
      <c r="L458" s="153" t="str">
        <f t="shared" si="18"/>
        <v>9406</v>
      </c>
      <c r="M458" s="154" t="str">
        <f t="shared" si="19"/>
        <v>FRAIS BANCAIRES</v>
      </c>
      <c r="N458" s="155">
        <f>+IF(OR($Q458=Parametres!$G$2,$Q458=Parametres!$G$3),I458,C458)</f>
        <v>9461.69</v>
      </c>
      <c r="O458" s="155">
        <f>+IF(OR($Q458=Parametres!$G$2,$Q458=Parametres!$G$3),J458,D458)</f>
        <v>5960.74</v>
      </c>
      <c r="P458" s="155">
        <f>+IF(OR($Q458=Parametres!$G$2,$Q458=Parametres!$G$3),K458,E458)</f>
        <v>15422.43</v>
      </c>
      <c r="Q458" s="154" t="str">
        <f t="shared" si="32"/>
        <v>9-Autres déductions</v>
      </c>
      <c r="R458" s="153" t="str">
        <f t="shared" si="32"/>
        <v>9402</v>
      </c>
      <c r="S458" s="154">
        <f t="shared" si="32"/>
        <v>0</v>
      </c>
      <c r="T458" s="156" t="str">
        <f>+VLOOKUP($L458,Data_Validation!$A:$D,1,0)</f>
        <v>9406</v>
      </c>
      <c r="U458" s="156" t="str">
        <f>+VLOOKUP($L458,Data_Validation!$A:$D,3,0)</f>
        <v>Véhicules neufs</v>
      </c>
      <c r="V458" s="156" t="str">
        <f>+VLOOKUP($L458,Data_Validation!$A:$D,4,0)</f>
        <v>Frais bancaires</v>
      </c>
      <c r="W458" s="156" t="str">
        <f>+VLOOKUP($L458,Data_Validation!$A:$E,5,0)</f>
        <v>$</v>
      </c>
      <c r="X458" s="156">
        <f>+VLOOKUP($L458,Data_Validation!$A:$F,6,0)</f>
        <v>0</v>
      </c>
    </row>
    <row r="459" spans="1:24" ht="15" hidden="1" customHeight="1">
      <c r="A459" s="947"/>
      <c r="B459" s="947"/>
      <c r="C459" s="948"/>
      <c r="D459" s="948"/>
      <c r="E459" s="948"/>
      <c r="F459" s="947"/>
      <c r="G459" s="947"/>
      <c r="H459" s="150"/>
      <c r="I459" s="157"/>
      <c r="J459" s="157"/>
      <c r="K459" s="157"/>
      <c r="L459" s="153">
        <f t="shared" si="18"/>
        <v>0</v>
      </c>
      <c r="M459" s="154">
        <f t="shared" si="19"/>
        <v>0</v>
      </c>
      <c r="N459" s="155">
        <f>+IF(OR($Q459=Parametres!$G$2,$Q459=Parametres!$G$3),I459,C459)</f>
        <v>0</v>
      </c>
      <c r="O459" s="155">
        <f>+IF(OR($Q459=Parametres!$G$2,$Q459=Parametres!$G$3),J459,D459)</f>
        <v>0</v>
      </c>
      <c r="P459" s="155">
        <f>+IF(OR($Q459=Parametres!$G$2,$Q459=Parametres!$G$3),K459,E459)</f>
        <v>0</v>
      </c>
      <c r="Q459" s="154">
        <f t="shared" si="32"/>
        <v>0</v>
      </c>
      <c r="R459" s="153">
        <f t="shared" si="32"/>
        <v>0</v>
      </c>
      <c r="S459" s="154">
        <f t="shared" si="32"/>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hidden="1" customHeight="1">
      <c r="A460" s="947"/>
      <c r="B460" s="947"/>
      <c r="C460" s="948"/>
      <c r="D460" s="948"/>
      <c r="E460" s="948"/>
      <c r="F460" s="947"/>
      <c r="G460" s="947"/>
      <c r="H460" s="150"/>
      <c r="I460" s="157"/>
      <c r="J460" s="157"/>
      <c r="K460" s="157"/>
      <c r="L460" s="153">
        <f t="shared" si="18"/>
        <v>0</v>
      </c>
      <c r="M460" s="154">
        <f t="shared" si="19"/>
        <v>0</v>
      </c>
      <c r="N460" s="155">
        <f>+IF(OR($Q460=Parametres!$G$2,$Q460=Parametres!$G$3),I460,C460)</f>
        <v>0</v>
      </c>
      <c r="O460" s="155">
        <f>+IF(OR($Q460=Parametres!$G$2,$Q460=Parametres!$G$3),J460,D460)</f>
        <v>0</v>
      </c>
      <c r="P460" s="155">
        <f>+IF(OR($Q460=Parametres!$G$2,$Q460=Parametres!$G$3),K460,E460)</f>
        <v>0</v>
      </c>
      <c r="Q460" s="154">
        <f t="shared" si="32"/>
        <v>0</v>
      </c>
      <c r="R460" s="153">
        <f t="shared" si="32"/>
        <v>0</v>
      </c>
      <c r="S460" s="154">
        <f t="shared" si="32"/>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 hidden="1" customHeight="1">
      <c r="A461" s="947"/>
      <c r="B461" s="947"/>
      <c r="C461" s="948"/>
      <c r="D461" s="948"/>
      <c r="E461" s="948"/>
      <c r="F461" s="947"/>
      <c r="G461" s="947"/>
      <c r="H461" s="150"/>
      <c r="I461" s="157"/>
      <c r="J461" s="157"/>
      <c r="K461" s="157"/>
      <c r="L461" s="153">
        <f t="shared" si="18"/>
        <v>0</v>
      </c>
      <c r="M461" s="154">
        <f t="shared" si="19"/>
        <v>0</v>
      </c>
      <c r="N461" s="155">
        <f>+IF(OR($Q461=Parametres!$G$2,$Q461=Parametres!$G$3),I461,C461)</f>
        <v>0</v>
      </c>
      <c r="O461" s="155">
        <f>+IF(OR($Q461=Parametres!$G$2,$Q461=Parametres!$G$3),J461,D461)</f>
        <v>0</v>
      </c>
      <c r="P461" s="155">
        <f>+IF(OR($Q461=Parametres!$G$2,$Q461=Parametres!$G$3),K461,E461)</f>
        <v>0</v>
      </c>
      <c r="Q461" s="154">
        <f t="shared" si="32"/>
        <v>0</v>
      </c>
      <c r="R461" s="153">
        <f t="shared" si="32"/>
        <v>0</v>
      </c>
      <c r="S461" s="154">
        <f t="shared" si="32"/>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75" hidden="1" customHeight="1">
      <c r="A462" s="947"/>
      <c r="B462" s="947"/>
      <c r="C462" s="948"/>
      <c r="D462" s="948"/>
      <c r="E462" s="948"/>
      <c r="F462" s="947"/>
      <c r="G462" s="947"/>
      <c r="H462" s="150"/>
      <c r="I462" s="157"/>
      <c r="J462" s="157"/>
      <c r="K462" s="157"/>
      <c r="L462" s="153">
        <f t="shared" si="18"/>
        <v>0</v>
      </c>
      <c r="M462" s="154">
        <f t="shared" si="19"/>
        <v>0</v>
      </c>
      <c r="N462" s="155">
        <f>+IF(OR($Q462=Parametres!$G$2,$Q462=Parametres!$G$3),I462,C462)</f>
        <v>0</v>
      </c>
      <c r="O462" s="155">
        <f>+IF(OR($Q462=Parametres!$G$2,$Q462=Parametres!$G$3),J462,D462)</f>
        <v>0</v>
      </c>
      <c r="P462" s="155">
        <f>+IF(OR($Q462=Parametres!$G$2,$Q462=Parametres!$G$3),K462,E462)</f>
        <v>0</v>
      </c>
      <c r="Q462" s="154">
        <f t="shared" si="32"/>
        <v>0</v>
      </c>
      <c r="R462" s="153">
        <f t="shared" si="32"/>
        <v>0</v>
      </c>
      <c r="S462" s="154">
        <f t="shared" si="32"/>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hidden="1" customHeight="1">
      <c r="A463" s="947"/>
      <c r="B463" s="947"/>
      <c r="C463" s="948"/>
      <c r="D463" s="948"/>
      <c r="E463" s="948"/>
      <c r="F463" s="947"/>
      <c r="G463" s="947"/>
      <c r="H463" s="150"/>
      <c r="I463" s="157"/>
      <c r="J463" s="157"/>
      <c r="K463" s="157"/>
      <c r="L463" s="153">
        <f t="shared" si="18"/>
        <v>0</v>
      </c>
      <c r="M463" s="154">
        <f t="shared" si="19"/>
        <v>0</v>
      </c>
      <c r="N463" s="155">
        <f>+IF(OR($Q463=Parametres!$G$2,$Q463=Parametres!$G$3),I463,C463)</f>
        <v>0</v>
      </c>
      <c r="O463" s="155">
        <f>+IF(OR($Q463=Parametres!$G$2,$Q463=Parametres!$G$3),J463,D463)</f>
        <v>0</v>
      </c>
      <c r="P463" s="155">
        <f>+IF(OR($Q463=Parametres!$G$2,$Q463=Parametres!$G$3),K463,E463)</f>
        <v>0</v>
      </c>
      <c r="Q463" s="154">
        <f t="shared" si="32"/>
        <v>0</v>
      </c>
      <c r="R463" s="153">
        <f t="shared" si="32"/>
        <v>0</v>
      </c>
      <c r="S463" s="154">
        <f t="shared" si="32"/>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hidden="1" customHeight="1">
      <c r="A464" s="947"/>
      <c r="B464" s="947"/>
      <c r="C464" s="948"/>
      <c r="D464" s="948"/>
      <c r="E464" s="948"/>
      <c r="F464" s="947"/>
      <c r="G464" s="947"/>
      <c r="H464" s="150"/>
      <c r="I464" s="157"/>
      <c r="J464" s="157"/>
      <c r="K464" s="157"/>
      <c r="L464" s="153">
        <f t="shared" si="18"/>
        <v>0</v>
      </c>
      <c r="M464" s="154">
        <f t="shared" si="19"/>
        <v>0</v>
      </c>
      <c r="N464" s="155">
        <f>+IF(OR($Q464=Parametres!$G$2,$Q464=Parametres!$G$3),I464,C464)</f>
        <v>0</v>
      </c>
      <c r="O464" s="155">
        <f>+IF(OR($Q464=Parametres!$G$2,$Q464=Parametres!$G$3),J464,D464)</f>
        <v>0</v>
      </c>
      <c r="P464" s="155">
        <f>+IF(OR($Q464=Parametres!$G$2,$Q464=Parametres!$G$3),K464,E464)</f>
        <v>0</v>
      </c>
      <c r="Q464" s="154">
        <f t="shared" si="32"/>
        <v>0</v>
      </c>
      <c r="R464" s="153">
        <f t="shared" si="32"/>
        <v>0</v>
      </c>
      <c r="S464" s="154">
        <f t="shared" si="32"/>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hidden="1" customHeight="1">
      <c r="A465" s="947"/>
      <c r="B465" s="947"/>
      <c r="C465" s="948"/>
      <c r="D465" s="948"/>
      <c r="E465" s="948"/>
      <c r="F465" s="947"/>
      <c r="G465" s="947"/>
      <c r="H465" s="150"/>
      <c r="I465" s="157"/>
      <c r="J465" s="157"/>
      <c r="K465" s="157"/>
      <c r="L465" s="153">
        <f t="shared" si="18"/>
        <v>0</v>
      </c>
      <c r="M465" s="154">
        <f t="shared" si="19"/>
        <v>0</v>
      </c>
      <c r="N465" s="155">
        <f>+IF(OR($Q465=Parametres!$G$2,$Q465=Parametres!$G$3),I465,C465)</f>
        <v>0</v>
      </c>
      <c r="O465" s="155">
        <f>+IF(OR($Q465=Parametres!$G$2,$Q465=Parametres!$G$3),J465,D465)</f>
        <v>0</v>
      </c>
      <c r="P465" s="155">
        <f>+IF(OR($Q465=Parametres!$G$2,$Q465=Parametres!$G$3),K465,E465)</f>
        <v>0</v>
      </c>
      <c r="Q465" s="154">
        <f t="shared" si="32"/>
        <v>0</v>
      </c>
      <c r="R465" s="153">
        <f t="shared" si="32"/>
        <v>0</v>
      </c>
      <c r="S465" s="154">
        <f t="shared" si="32"/>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 hidden="1" customHeight="1">
      <c r="A466" s="947"/>
      <c r="B466" s="947"/>
      <c r="C466" s="948"/>
      <c r="D466" s="948"/>
      <c r="E466" s="948"/>
      <c r="F466" s="947"/>
      <c r="G466" s="947"/>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hidden="1" customHeight="1">
      <c r="A467" s="947"/>
      <c r="B467" s="947"/>
      <c r="C467" s="948"/>
      <c r="D467" s="948"/>
      <c r="E467" s="948"/>
      <c r="F467" s="947"/>
      <c r="G467" s="947"/>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hidden="1" customHeight="1">
      <c r="A468" s="947"/>
      <c r="B468" s="947"/>
      <c r="C468" s="948"/>
      <c r="D468" s="948"/>
      <c r="E468" s="948"/>
      <c r="F468" s="947"/>
      <c r="G468" s="947"/>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hidden="1" customHeight="1">
      <c r="A469" s="947"/>
      <c r="B469" s="947"/>
      <c r="C469" s="948"/>
      <c r="D469" s="948"/>
      <c r="E469" s="948"/>
      <c r="F469" s="947"/>
      <c r="G469" s="947"/>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hidden="1" customHeight="1">
      <c r="A470" s="947"/>
      <c r="B470" s="947"/>
      <c r="C470" s="948"/>
      <c r="D470" s="948"/>
      <c r="E470" s="948"/>
      <c r="F470" s="947"/>
      <c r="G470" s="947"/>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hidden="1" customHeight="1">
      <c r="A471" s="947"/>
      <c r="B471" s="947"/>
      <c r="C471" s="948"/>
      <c r="D471" s="948"/>
      <c r="E471" s="948"/>
      <c r="F471" s="947"/>
      <c r="G471" s="947"/>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hidden="1" customHeight="1">
      <c r="A472" s="947"/>
      <c r="B472" s="947"/>
      <c r="C472" s="948"/>
      <c r="D472" s="948"/>
      <c r="E472" s="948"/>
      <c r="F472" s="947"/>
      <c r="G472" s="947"/>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hidden="1" customHeight="1">
      <c r="A473" s="947"/>
      <c r="B473" s="947"/>
      <c r="C473" s="948"/>
      <c r="D473" s="948"/>
      <c r="E473" s="948"/>
      <c r="F473" s="947"/>
      <c r="G473" s="947"/>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hidden="1" customHeight="1">
      <c r="A474" s="947"/>
      <c r="B474" s="947"/>
      <c r="C474" s="948"/>
      <c r="D474" s="948"/>
      <c r="E474" s="948"/>
      <c r="F474" s="947"/>
      <c r="G474" s="947"/>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hidden="1" customHeight="1">
      <c r="A475" s="947"/>
      <c r="B475" s="947"/>
      <c r="C475" s="948"/>
      <c r="D475" s="948"/>
      <c r="E475" s="948"/>
      <c r="F475" s="947"/>
      <c r="G475" s="947"/>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hidden="1" customHeight="1">
      <c r="A476" s="947"/>
      <c r="B476" s="947"/>
      <c r="C476" s="948"/>
      <c r="D476" s="948"/>
      <c r="E476" s="948"/>
      <c r="F476" s="947"/>
      <c r="G476" s="947"/>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hidden="1" customHeight="1">
      <c r="A477" s="947"/>
      <c r="B477" s="947"/>
      <c r="C477" s="948"/>
      <c r="D477" s="948"/>
      <c r="E477" s="948"/>
      <c r="F477" s="947"/>
      <c r="G477" s="947"/>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hidden="1" customHeight="1">
      <c r="A478" s="947"/>
      <c r="B478" s="947"/>
      <c r="C478" s="948"/>
      <c r="D478" s="948"/>
      <c r="E478" s="948"/>
      <c r="F478" s="947"/>
      <c r="G478" s="947"/>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hidden="1" customHeight="1">
      <c r="A479" s="947"/>
      <c r="B479" s="947"/>
      <c r="C479" s="948"/>
      <c r="D479" s="948"/>
      <c r="E479" s="948"/>
      <c r="F479" s="947"/>
      <c r="G479" s="947"/>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hidden="1" customHeight="1">
      <c r="A480" s="947"/>
      <c r="B480" s="947"/>
      <c r="C480" s="948"/>
      <c r="D480" s="948"/>
      <c r="E480" s="948"/>
      <c r="F480" s="947"/>
      <c r="G480" s="947"/>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hidden="1" customHeight="1">
      <c r="A481" s="947"/>
      <c r="B481" s="947"/>
      <c r="C481" s="948"/>
      <c r="D481" s="948"/>
      <c r="E481" s="948"/>
      <c r="F481" s="947"/>
      <c r="G481" s="947"/>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hidden="1" customHeight="1">
      <c r="A482" s="947"/>
      <c r="B482" s="947"/>
      <c r="C482" s="948"/>
      <c r="D482" s="948"/>
      <c r="E482" s="948"/>
      <c r="F482" s="947"/>
      <c r="G482" s="947"/>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hidden="1" customHeight="1">
      <c r="A483" s="947"/>
      <c r="B483" s="947"/>
      <c r="C483" s="948"/>
      <c r="D483" s="948"/>
      <c r="E483" s="948"/>
      <c r="F483" s="947"/>
      <c r="G483" s="947"/>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hidden="1" customHeight="1">
      <c r="A484" s="947"/>
      <c r="B484" s="947"/>
      <c r="C484" s="948"/>
      <c r="D484" s="948"/>
      <c r="E484" s="948"/>
      <c r="F484" s="947"/>
      <c r="G484" s="947"/>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hidden="1" customHeight="1">
      <c r="A485" s="947"/>
      <c r="B485" s="947"/>
      <c r="C485" s="948"/>
      <c r="D485" s="948"/>
      <c r="E485" s="948"/>
      <c r="F485" s="947"/>
      <c r="G485" s="947"/>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hidden="1" customHeight="1">
      <c r="A486" s="947"/>
      <c r="B486" s="947"/>
      <c r="C486" s="948"/>
      <c r="D486" s="948"/>
      <c r="E486" s="948"/>
      <c r="F486" s="947"/>
      <c r="G486" s="947"/>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hidden="1" customHeight="1">
      <c r="A487" s="947"/>
      <c r="B487" s="947"/>
      <c r="C487" s="948"/>
      <c r="D487" s="948"/>
      <c r="E487" s="948"/>
      <c r="F487" s="947"/>
      <c r="G487" s="947"/>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hidden="1" customHeight="1">
      <c r="A488" s="947"/>
      <c r="B488" s="947"/>
      <c r="C488" s="948"/>
      <c r="D488" s="948"/>
      <c r="E488" s="948"/>
      <c r="F488" s="947"/>
      <c r="G488" s="947"/>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hidden="1" customHeight="1">
      <c r="A489" s="947"/>
      <c r="B489" s="947"/>
      <c r="C489" s="948"/>
      <c r="D489" s="948"/>
      <c r="E489" s="948"/>
      <c r="F489" s="947"/>
      <c r="G489" s="947"/>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hidden="1" customHeight="1">
      <c r="A490" s="947"/>
      <c r="B490" s="947"/>
      <c r="C490" s="948"/>
      <c r="D490" s="948"/>
      <c r="E490" s="948"/>
      <c r="F490" s="947"/>
      <c r="G490" s="947"/>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hidden="1" customHeight="1">
      <c r="A491" s="947"/>
      <c r="B491" s="947"/>
      <c r="C491" s="948"/>
      <c r="D491" s="948"/>
      <c r="E491" s="948"/>
      <c r="F491" s="947"/>
      <c r="G491" s="947"/>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hidden="1" customHeight="1">
      <c r="A492" s="947"/>
      <c r="B492" s="947"/>
      <c r="C492" s="948"/>
      <c r="D492" s="948"/>
      <c r="E492" s="948"/>
      <c r="F492" s="947"/>
      <c r="G492" s="947"/>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hidden="1" customHeight="1">
      <c r="A493" s="947"/>
      <c r="B493" s="947"/>
      <c r="C493" s="948"/>
      <c r="D493" s="948"/>
      <c r="E493" s="948"/>
      <c r="F493" s="947"/>
      <c r="G493" s="947"/>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hidden="1" customHeight="1">
      <c r="A494" s="947"/>
      <c r="B494" s="947"/>
      <c r="C494" s="948"/>
      <c r="D494" s="948"/>
      <c r="E494" s="948"/>
      <c r="F494" s="947"/>
      <c r="G494" s="947"/>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hidden="1" customHeight="1">
      <c r="A495" s="947"/>
      <c r="B495" s="947"/>
      <c r="C495" s="948"/>
      <c r="D495" s="948"/>
      <c r="E495" s="948"/>
      <c r="F495" s="947"/>
      <c r="G495" s="947"/>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hidden="1" customHeight="1">
      <c r="A496" s="947"/>
      <c r="B496" s="947"/>
      <c r="C496" s="948"/>
      <c r="D496" s="948"/>
      <c r="E496" s="948"/>
      <c r="F496" s="947"/>
      <c r="G496" s="947"/>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hidden="1" customHeight="1">
      <c r="A497" s="947"/>
      <c r="B497" s="947"/>
      <c r="C497" s="948"/>
      <c r="D497" s="948"/>
      <c r="E497" s="948"/>
      <c r="F497" s="947"/>
      <c r="G497" s="947"/>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hidden="1" customHeight="1">
      <c r="A498" s="947"/>
      <c r="B498" s="947"/>
      <c r="C498" s="948"/>
      <c r="D498" s="948"/>
      <c r="E498" s="948"/>
      <c r="F498" s="947"/>
      <c r="G498" s="947"/>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hidden="1" customHeight="1">
      <c r="A499" s="947"/>
      <c r="B499" s="947"/>
      <c r="C499" s="948"/>
      <c r="D499" s="948"/>
      <c r="E499" s="948"/>
      <c r="F499" s="947"/>
      <c r="G499" s="947"/>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hidden="1" customHeight="1">
      <c r="A500" s="947"/>
      <c r="B500" s="947"/>
      <c r="C500" s="948"/>
      <c r="D500" s="948"/>
      <c r="E500" s="948"/>
      <c r="F500" s="947"/>
      <c r="G500" s="947"/>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hidden="1" customHeight="1">
      <c r="A501" s="947"/>
      <c r="B501" s="947"/>
      <c r="C501" s="948"/>
      <c r="D501" s="948"/>
      <c r="E501" s="948"/>
      <c r="F501" s="947"/>
      <c r="G501" s="947"/>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hidden="1" customHeight="1">
      <c r="A502" s="947"/>
      <c r="B502" s="947"/>
      <c r="C502" s="948"/>
      <c r="D502" s="948"/>
      <c r="E502" s="948"/>
      <c r="F502" s="947"/>
      <c r="G502" s="947"/>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hidden="1" customHeight="1">
      <c r="A503" s="947"/>
      <c r="B503" s="947"/>
      <c r="C503" s="948"/>
      <c r="D503" s="948"/>
      <c r="E503" s="948"/>
      <c r="F503" s="947"/>
      <c r="G503" s="947"/>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hidden="1" customHeight="1">
      <c r="A504" s="947"/>
      <c r="B504" s="947"/>
      <c r="C504" s="948"/>
      <c r="D504" s="948"/>
      <c r="E504" s="948"/>
      <c r="F504" s="947"/>
      <c r="G504" s="947"/>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hidden="1" customHeight="1">
      <c r="A505" s="947"/>
      <c r="B505" s="947"/>
      <c r="C505" s="948"/>
      <c r="D505" s="948"/>
      <c r="E505" s="948"/>
      <c r="F505" s="947"/>
      <c r="G505" s="947"/>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hidden="1" customHeight="1">
      <c r="A506" s="947"/>
      <c r="B506" s="947"/>
      <c r="C506" s="948"/>
      <c r="D506" s="948"/>
      <c r="E506" s="948"/>
      <c r="F506" s="947"/>
      <c r="G506" s="947"/>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hidden="1" customHeight="1">
      <c r="A507" s="947"/>
      <c r="B507" s="947"/>
      <c r="C507" s="948"/>
      <c r="D507" s="948"/>
      <c r="E507" s="948"/>
      <c r="F507" s="947"/>
      <c r="G507" s="947"/>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hidden="1" customHeight="1">
      <c r="A508" s="947"/>
      <c r="B508" s="947"/>
      <c r="C508" s="948"/>
      <c r="D508" s="948"/>
      <c r="E508" s="948"/>
      <c r="F508" s="947"/>
      <c r="G508" s="947"/>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hidden="1" customHeight="1">
      <c r="A509" s="947"/>
      <c r="B509" s="947"/>
      <c r="C509" s="948"/>
      <c r="D509" s="948"/>
      <c r="E509" s="948"/>
      <c r="F509" s="947"/>
      <c r="G509" s="947"/>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hidden="1" customHeight="1">
      <c r="A510" s="947"/>
      <c r="B510" s="947"/>
      <c r="C510" s="948"/>
      <c r="D510" s="948"/>
      <c r="E510" s="948"/>
      <c r="F510" s="947"/>
      <c r="G510" s="947"/>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hidden="1"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hidden="1"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hidden="1"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hidden="1"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hidden="1"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hidden="1"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hidden="1"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hidden="1"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hidden="1"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hidden="1"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hidden="1"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hidden="1"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hidden="1"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hidden="1"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hidden="1"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hidden="1"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hidden="1"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hidden="1"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hidden="1"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hidden="1"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hidden="1"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hidden="1"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hidden="1"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hidden="1"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hidden="1"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hidden="1"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hidden="1"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hidden="1"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hidden="1"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hidden="1"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hidden="1"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hidden="1"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hidden="1"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hidden="1"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hidden="1"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hidden="1"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hidden="1"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hidden="1"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hidden="1"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hidden="1"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hidden="1"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hidden="1"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hidden="1"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hidden="1"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hidden="1"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hidden="1"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hidden="1"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hidden="1"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hidden="1"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hidden="1"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hidden="1"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hidden="1"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hidden="1"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hidden="1"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hidden="1"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hidden="1"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hidden="1"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hidden="1"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hidden="1"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hidden="1"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hidden="1"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hidden="1"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hidden="1"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hidden="1"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hidden="1"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hidden="1"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hidden="1"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hidden="1"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hidden="1"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hidden="1"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hidden="1"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hidden="1"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hidden="1"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hidden="1"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hidden="1"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hidden="1"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hidden="1"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hidden="1"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hidden="1"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hidden="1"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hidden="1"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hidden="1"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hidden="1"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hidden="1"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hidden="1"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hidden="1"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hidden="1"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hidden="1"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hidden="1"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hidden="1"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hidden="1"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hidden="1"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hidden="1"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hidden="1"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hidden="1"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hidden="1"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hidden="1"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hidden="1"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hidden="1"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hidden="1"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hidden="1"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hidden="1"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hidden="1"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hidden="1"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hidden="1"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hidden="1"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hidden="1"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hidden="1"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hidden="1"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hidden="1"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hidden="1"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hidden="1"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hidden="1"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hidden="1"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hidden="1"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hidden="1"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hidden="1"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hidden="1"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hidden="1"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hidden="1"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hidden="1"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hidden="1"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hidden="1"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hidden="1"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hidden="1"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hidden="1"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hidden="1"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hidden="1"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hidden="1"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hidden="1"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hidden="1"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hidden="1"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hidden="1"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hidden="1"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hidden="1"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hidden="1"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hidden="1"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hidden="1"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hidden="1"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hidden="1"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hidden="1"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hidden="1"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hidden="1"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hidden="1"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hidden="1"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hidden="1"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hidden="1"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hidden="1"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hidden="1"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hidden="1"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hidden="1"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hidden="1"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hidden="1"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hidden="1"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hidden="1"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hidden="1"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hidden="1"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hidden="1"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hidden="1"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hidden="1"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hidden="1"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hidden="1"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hidden="1"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hidden="1"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hidden="1"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hidden="1"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hidden="1"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hidden="1"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hidden="1"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hidden="1"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hidden="1"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hidden="1"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hidden="1"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hidden="1"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hidden="1"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hidden="1"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hidden="1"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hidden="1"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hidden="1"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hidden="1"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hidden="1"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hidden="1"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hidden="1"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hidden="1"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hidden="1"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hidden="1"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hidden="1"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hidden="1"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hidden="1"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hidden="1"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hidden="1"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hidden="1"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hidden="1"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hidden="1"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hidden="1"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hidden="1"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hidden="1"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hidden="1"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hidden="1"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hidden="1"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hidden="1"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hidden="1"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hidden="1"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hidden="1"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hidden="1"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hidden="1"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hidden="1"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hidden="1"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hidden="1"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hidden="1"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hidden="1"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hidden="1"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hidden="1"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hidden="1"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hidden="1"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hidden="1"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hidden="1"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hidden="1"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hidden="1"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hidden="1"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hidden="1"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hidden="1"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hidden="1"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hidden="1"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hidden="1"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hidden="1"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hidden="1"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hidden="1"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hidden="1"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hidden="1"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hidden="1"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hidden="1"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hidden="1"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hidden="1"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hidden="1"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hidden="1"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hidden="1"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hidden="1"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hidden="1"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hidden="1"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hidden="1"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hidden="1"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hidden="1"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hidden="1"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hidden="1"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hidden="1"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hidden="1"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hidden="1"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hidden="1"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hidden="1"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hidden="1"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hidden="1"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hidden="1"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hidden="1"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hidden="1"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hidden="1"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hidden="1"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hidden="1"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hidden="1"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hidden="1"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hidden="1"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hidden="1"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hidden="1"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hidden="1"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hidden="1"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hidden="1"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hidden="1"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hidden="1"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hidden="1"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hidden="1"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hidden="1"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hidden="1"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hidden="1"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hidden="1"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hidden="1"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hidden="1"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hidden="1"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hidden="1"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hidden="1"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hidden="1"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hidden="1"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hidden="1"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hidden="1"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hidden="1"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hidden="1"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hidden="1"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hidden="1"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hidden="1"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hidden="1"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hidden="1"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hidden="1"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hidden="1"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hidden="1"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hidden="1"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hidden="1"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hidden="1"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hidden="1"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hidden="1"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hidden="1"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hidden="1"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hidden="1"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hidden="1"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hidden="1"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hidden="1"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hidden="1"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hidden="1"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hidden="1"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hidden="1"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hidden="1"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hidden="1"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hidden="1"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hidden="1"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hidden="1"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hidden="1"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hidden="1"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hidden="1"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hidden="1"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hidden="1"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hidden="1"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hidden="1"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hidden="1"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hidden="1"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hidden="1"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hidden="1"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hidden="1"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hidden="1"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hidden="1"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hidden="1"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hidden="1"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hidden="1"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hidden="1"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hidden="1"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hidden="1"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hidden="1"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hidden="1"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hidden="1"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hidden="1"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hidden="1"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hidden="1"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hidden="1"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hidden="1"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hidden="1"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hidden="1"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hidden="1"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hidden="1"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hidden="1"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hidden="1"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hidden="1"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hidden="1"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hidden="1"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hidden="1"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hidden="1"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hidden="1"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hidden="1"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hidden="1"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hidden="1"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hidden="1"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hidden="1"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hidden="1"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hidden="1"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hidden="1"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hidden="1"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hidden="1"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hidden="1"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hidden="1"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hidden="1"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hidden="1"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hidden="1"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hidden="1"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hidden="1"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hidden="1"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hidden="1"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hidden="1"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hidden="1"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hidden="1"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hidden="1"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hidden="1"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hidden="1"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hidden="1"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hidden="1"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hidden="1"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hidden="1"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hidden="1"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hidden="1"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hidden="1"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hidden="1"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hidden="1"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hidden="1"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hidden="1"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hidden="1"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hidden="1"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hidden="1"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hidden="1"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hidden="1"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hidden="1"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hidden="1"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hidden="1"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hidden="1"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hidden="1"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hidden="1"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hidden="1"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hidden="1"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hidden="1"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hidden="1"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hidden="1"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hidden="1"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hidden="1"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hidden="1"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hidden="1"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hidden="1"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hidden="1"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hidden="1"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hidden="1"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hidden="1"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hidden="1"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hidden="1"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hidden="1"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hidden="1"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hidden="1"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hidden="1"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hidden="1"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hidden="1"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hidden="1"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hidden="1"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hidden="1"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hidden="1"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hidden="1"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hidden="1"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hidden="1"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hidden="1"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hidden="1"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hidden="1"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hidden="1"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hidden="1"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hidden="1"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hidden="1"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hidden="1"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hidden="1"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hidden="1"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hidden="1"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hidden="1"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hidden="1"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hidden="1"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hidden="1"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hidden="1"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hidden="1"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hidden="1"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hidden="1"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hidden="1"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hidden="1"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hidden="1"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hidden="1"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hidden="1"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hidden="1"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hidden="1"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hidden="1"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hidden="1"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hidden="1"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hidden="1"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hidden="1"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hidden="1"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hidden="1"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hidden="1"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hidden="1"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hidden="1"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hidden="1"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hidden="1"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hidden="1"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hidden="1"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hidden="1"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hidden="1"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hidden="1"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hidden="1"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hidden="1"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hidden="1"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hidden="1"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hidden="1"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hidden="1"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hidden="1"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hidden="1"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hidden="1"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hidden="1"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hidden="1"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hidden="1"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hidden="1"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hidden="1"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hidden="1"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hidden="1"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hidden="1"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hidden="1"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hidden="1"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hidden="1"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hidden="1"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hidden="1"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hidden="1"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hidden="1"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hidden="1"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hidden="1"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hidden="1"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hidden="1"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hidden="1"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hidden="1"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hidden="1"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hidden="1"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hidden="1"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hidden="1"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hidden="1"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hidden="1"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hidden="1"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hidden="1"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hidden="1"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hidden="1"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hidden="1"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hidden="1"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hidden="1"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hidden="1"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hidden="1"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hidden="1"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hidden="1"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hidden="1"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hidden="1"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hidden="1"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hidden="1"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hidden="1"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hidden="1"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hidden="1"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hidden="1"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hidden="1"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hidden="1"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hidden="1"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hidden="1"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hidden="1"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hidden="1"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hidden="1"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hidden="1"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hidden="1"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hidden="1"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hidden="1"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hidden="1"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hidden="1"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hidden="1"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hidden="1"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hidden="1"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Intérêt de gros"/>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67"/>
  <sheetViews>
    <sheetView topLeftCell="F6" workbookViewId="0">
      <selection activeCell="I31" sqref="I31"/>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7" t="s">
        <v>1637</v>
      </c>
      <c r="B1" s="957" t="s">
        <v>265</v>
      </c>
      <c r="C1" s="957" t="s">
        <v>1640</v>
      </c>
      <c r="D1" s="957" t="s">
        <v>278</v>
      </c>
      <c r="E1" s="1012" t="s">
        <v>279</v>
      </c>
      <c r="F1" s="1012" t="s">
        <v>1919</v>
      </c>
      <c r="G1" s="1012" t="s">
        <v>1927</v>
      </c>
      <c r="I1" s="162" t="s">
        <v>1640</v>
      </c>
      <c r="K1" s="162" t="s">
        <v>278</v>
      </c>
      <c r="N1" s="187"/>
    </row>
    <row r="2" spans="1:14" ht="15" customHeight="1">
      <c r="A2" s="168" t="s">
        <v>2206</v>
      </c>
      <c r="B2" s="169" t="s">
        <v>2205</v>
      </c>
      <c r="C2" s="956"/>
      <c r="D2" s="956"/>
      <c r="E2" s="1008"/>
      <c r="F2" s="1009"/>
      <c r="G2" s="1008" t="str">
        <f>+VLOOKUP(Data_Validation!$A2,BV_Data_An_Cour!$L:$Q,6,0)</f>
        <v>1-Mémo</v>
      </c>
      <c r="H2" s="165"/>
      <c r="I2" s="164" t="s">
        <v>1642</v>
      </c>
      <c r="K2" s="164">
        <f>Print_Mois!C4</f>
        <v>0</v>
      </c>
      <c r="N2" s="187"/>
    </row>
    <row r="3" spans="1:14" ht="15" customHeight="1">
      <c r="A3" s="168" t="s">
        <v>2209</v>
      </c>
      <c r="B3" s="169" t="s">
        <v>2208</v>
      </c>
      <c r="C3" s="956"/>
      <c r="D3" s="956"/>
      <c r="E3" s="1008"/>
      <c r="F3" s="1009"/>
      <c r="G3" s="1008" t="str">
        <f>+VLOOKUP(Data_Validation!$A3,BV_Data_An_Cour!$L:$Q,6,0)</f>
        <v>1-Mémo</v>
      </c>
      <c r="H3" s="188"/>
      <c r="I3" s="164" t="str">
        <f>Print_Mois!K1</f>
        <v>Véhicules neufs</v>
      </c>
      <c r="K3" s="164" t="s">
        <v>66</v>
      </c>
      <c r="N3" s="187"/>
    </row>
    <row r="4" spans="1:14" ht="15" customHeight="1">
      <c r="A4" s="168" t="s">
        <v>2211</v>
      </c>
      <c r="B4" s="169" t="s">
        <v>2210</v>
      </c>
      <c r="C4" s="956"/>
      <c r="D4" s="956"/>
      <c r="E4" s="1008"/>
      <c r="F4" s="1009"/>
      <c r="G4" s="1008" t="e">
        <f>+VLOOKUP(Data_Validation!$A4,BV_Data_An_Cour!$L:$Q,6,0)</f>
        <v>#N/A</v>
      </c>
      <c r="H4" s="188"/>
      <c r="I4" s="164" t="str">
        <f>Print_Mois!K89</f>
        <v>Véhicules usagés</v>
      </c>
      <c r="K4" s="164" t="str">
        <f>Print_Mois!C183</f>
        <v>Ajustement M/O</v>
      </c>
      <c r="M4" s="628" t="s">
        <v>1928</v>
      </c>
      <c r="N4" s="187"/>
    </row>
    <row r="5" spans="1:14" ht="15" customHeight="1">
      <c r="A5" s="168" t="s">
        <v>2213</v>
      </c>
      <c r="B5" s="169" t="s">
        <v>2212</v>
      </c>
      <c r="C5" s="956"/>
      <c r="D5" s="956"/>
      <c r="E5" s="1008"/>
      <c r="F5" s="1009"/>
      <c r="G5" s="1008" t="e">
        <f>+VLOOKUP(Data_Validation!$A5,BV_Data_An_Cour!$L:$Q,6,0)</f>
        <v>#N/A</v>
      </c>
      <c r="H5" s="188"/>
      <c r="I5" s="164" t="str">
        <f>Print_Mois!AE401</f>
        <v>TOTAL  DES  REVENUS  ET  DÉPENSES</v>
      </c>
      <c r="K5" s="164" t="s">
        <v>53</v>
      </c>
      <c r="M5" s="629" t="s">
        <v>1929</v>
      </c>
      <c r="N5" s="187"/>
    </row>
    <row r="6" spans="1:14" ht="15" customHeight="1">
      <c r="A6" s="951" t="s">
        <v>2215</v>
      </c>
      <c r="B6" s="171" t="s">
        <v>2214</v>
      </c>
      <c r="C6" s="956"/>
      <c r="D6" s="956"/>
      <c r="E6" s="1011"/>
      <c r="F6" s="1009"/>
      <c r="G6" s="1008" t="e">
        <f>+VLOOKUP(Data_Validation!$A6,BV_Data_An_Cour!$L:$Q,6,0)</f>
        <v>#N/A</v>
      </c>
      <c r="H6" s="188"/>
      <c r="I6" s="164" t="str">
        <f>Print_Mois!K167</f>
        <v>Service</v>
      </c>
      <c r="K6" s="164" t="s">
        <v>55</v>
      </c>
      <c r="M6" s="629" t="s">
        <v>1948</v>
      </c>
    </row>
    <row r="7" spans="1:14" ht="15" customHeight="1">
      <c r="A7" s="169" t="s">
        <v>2217</v>
      </c>
      <c r="B7" s="169" t="s">
        <v>2216</v>
      </c>
      <c r="C7" s="956"/>
      <c r="D7" s="956"/>
      <c r="E7" s="1011"/>
      <c r="F7" s="1008"/>
      <c r="G7" s="1008" t="e">
        <f>+VLOOKUP(Data_Validation!$A7,BV_Data_An_Cour!$L:$Q,6,0)</f>
        <v>#N/A</v>
      </c>
      <c r="H7" s="188"/>
      <c r="I7" s="164" t="str">
        <f>Print_Mois!K235</f>
        <v>Carrosserie</v>
      </c>
      <c r="K7" s="164" t="str">
        <f>Print_Mois!V490</f>
        <v>Amortissement</v>
      </c>
      <c r="M7" s="629" t="s">
        <v>1949</v>
      </c>
    </row>
    <row r="8" spans="1:14" ht="15" customHeight="1">
      <c r="A8" s="171" t="s">
        <v>2219</v>
      </c>
      <c r="B8" s="171" t="s">
        <v>2218</v>
      </c>
      <c r="C8" s="956"/>
      <c r="D8" s="956"/>
      <c r="E8" s="1008"/>
      <c r="F8" s="1009"/>
      <c r="G8" s="1008" t="e">
        <f>+VLOOKUP(Data_Validation!$A8,BV_Data_An_Cour!$L:$Q,6,0)</f>
        <v>#N/A</v>
      </c>
      <c r="H8" s="188"/>
      <c r="I8" s="164" t="str">
        <f>Print_Mois!K290</f>
        <v>Pièces</v>
      </c>
      <c r="K8" s="164" t="s">
        <v>68</v>
      </c>
      <c r="M8" s="629" t="s">
        <v>155</v>
      </c>
    </row>
    <row r="9" spans="1:14" ht="15" customHeight="1">
      <c r="A9" s="951" t="s">
        <v>2221</v>
      </c>
      <c r="B9" s="171" t="s">
        <v>2220</v>
      </c>
      <c r="C9" s="956"/>
      <c r="D9" s="956"/>
      <c r="E9" s="1008"/>
      <c r="F9" s="1009"/>
      <c r="G9" s="1008" t="e">
        <f>+VLOOKUP(Data_Validation!$A9,BV_Data_An_Cour!$L:$Q,6,0)</f>
        <v>#N/A</v>
      </c>
      <c r="H9" s="188"/>
      <c r="I9" s="164" t="s">
        <v>1646</v>
      </c>
      <c r="K9" s="164" t="str">
        <f>Print_Mois!V456</f>
        <v>Assurances</v>
      </c>
      <c r="M9" s="629" t="s">
        <v>175</v>
      </c>
    </row>
    <row r="10" spans="1:14" ht="15" customHeight="1">
      <c r="A10" s="951" t="s">
        <v>2223</v>
      </c>
      <c r="B10" s="171" t="s">
        <v>2222</v>
      </c>
      <c r="C10" s="956"/>
      <c r="D10" s="956"/>
      <c r="E10" s="1008"/>
      <c r="F10" s="1009"/>
      <c r="G10" s="1008" t="e">
        <f>+VLOOKUP(Data_Validation!$A10,BV_Data_An_Cour!$L:$Q,6,0)</f>
        <v>#N/A</v>
      </c>
      <c r="H10" s="188"/>
      <c r="I10" s="164"/>
      <c r="K10" s="164" t="s">
        <v>1647</v>
      </c>
      <c r="M10" s="629" t="s">
        <v>171</v>
      </c>
      <c r="N10" s="187"/>
    </row>
    <row r="11" spans="1:14" ht="15" customHeight="1">
      <c r="A11" s="168" t="s">
        <v>2225</v>
      </c>
      <c r="B11" s="169" t="s">
        <v>2224</v>
      </c>
      <c r="C11" s="956"/>
      <c r="D11" s="956"/>
      <c r="E11" s="1008"/>
      <c r="F11" s="1009"/>
      <c r="G11" s="1008" t="e">
        <f>+VLOOKUP(Data_Validation!$A11,BV_Data_An_Cour!$L:$Q,6,0)</f>
        <v>#N/A</v>
      </c>
      <c r="H11" s="188"/>
      <c r="I11" s="164"/>
      <c r="K11" s="164" t="s">
        <v>1648</v>
      </c>
      <c r="M11" s="628" t="s">
        <v>1930</v>
      </c>
      <c r="N11" s="187"/>
    </row>
    <row r="12" spans="1:14" ht="15" customHeight="1">
      <c r="A12" s="168" t="s">
        <v>2227</v>
      </c>
      <c r="B12" s="169" t="s">
        <v>2226</v>
      </c>
      <c r="C12" s="956"/>
      <c r="D12" s="956"/>
      <c r="E12" s="1008"/>
      <c r="F12" s="1009"/>
      <c r="G12" s="1008" t="e">
        <f>+VLOOKUP(Data_Validation!$A12,BV_Data_An_Cour!$L:$Q,6,0)</f>
        <v>#N/A</v>
      </c>
      <c r="H12" s="188"/>
      <c r="K12" s="164" t="str">
        <f>Print_Mois!C6</f>
        <v>Autos détail</v>
      </c>
      <c r="M12" s="187" t="s">
        <v>1948</v>
      </c>
    </row>
    <row r="13" spans="1:14" ht="15" customHeight="1">
      <c r="A13" s="168" t="s">
        <v>2229</v>
      </c>
      <c r="B13" s="169" t="s">
        <v>2228</v>
      </c>
      <c r="C13" s="956"/>
      <c r="D13" s="956"/>
      <c r="E13" s="1008"/>
      <c r="F13" s="1009"/>
      <c r="G13" s="1008" t="str">
        <f>+VLOOKUP(Data_Validation!$A13,BV_Data_An_Cour!$L:$Q,6,0)</f>
        <v>1-Mémo</v>
      </c>
      <c r="H13" s="188"/>
      <c r="K13" s="164" t="str">
        <f>Print_Mois!C311</f>
        <v>Autostock</v>
      </c>
      <c r="M13" s="187" t="s">
        <v>1949</v>
      </c>
    </row>
    <row r="14" spans="1:14" ht="15" customHeight="1">
      <c r="A14" s="168" t="s">
        <v>2232</v>
      </c>
      <c r="B14" s="169" t="s">
        <v>2231</v>
      </c>
      <c r="C14" s="956"/>
      <c r="D14" s="956"/>
      <c r="E14" s="1008" t="s">
        <v>1917</v>
      </c>
      <c r="F14" s="1009"/>
      <c r="G14" s="1008" t="str">
        <f>+VLOOKUP(Data_Validation!$A14,BV_Data_An_Cour!$L:$Q,6,0)</f>
        <v>1-Mémo</v>
      </c>
      <c r="H14" s="188"/>
      <c r="K14" s="164" t="s">
        <v>26</v>
      </c>
      <c r="N14" s="187"/>
    </row>
    <row r="15" spans="1:14" ht="15" customHeight="1">
      <c r="A15" s="168" t="s">
        <v>2234</v>
      </c>
      <c r="B15" s="169" t="s">
        <v>2233</v>
      </c>
      <c r="C15" s="956"/>
      <c r="D15" s="956"/>
      <c r="E15" s="1008"/>
      <c r="F15" s="1009"/>
      <c r="G15" s="1008" t="str">
        <f>+VLOOKUP(Data_Validation!$A15,BV_Data_An_Cour!$L:$Q,6,0)</f>
        <v>1-Mémo</v>
      </c>
      <c r="H15" s="188"/>
      <c r="K15" s="164" t="s">
        <v>40</v>
      </c>
      <c r="M15" s="635" t="s">
        <v>1950</v>
      </c>
      <c r="N15" s="187"/>
    </row>
    <row r="16" spans="1:14" ht="15" customHeight="1">
      <c r="A16" s="168" t="s">
        <v>2236</v>
      </c>
      <c r="B16" s="169" t="s">
        <v>2235</v>
      </c>
      <c r="C16" s="956"/>
      <c r="D16" s="956"/>
      <c r="E16" s="1008"/>
      <c r="F16" s="1009"/>
      <c r="G16" s="1008" t="str">
        <f>+VLOOKUP(Data_Validation!$A16,BV_Data_An_Cour!$L:$Q,6,0)</f>
        <v>1-Mémo</v>
      </c>
      <c r="H16" s="188"/>
      <c r="K16" s="164" t="s">
        <v>56</v>
      </c>
      <c r="M16" s="570" t="s">
        <v>1948</v>
      </c>
      <c r="N16" s="187"/>
    </row>
    <row r="17" spans="1:14" ht="15" customHeight="1">
      <c r="A17" s="168" t="s">
        <v>2238</v>
      </c>
      <c r="B17" s="169" t="s">
        <v>2237</v>
      </c>
      <c r="C17" s="956"/>
      <c r="D17" s="956"/>
      <c r="E17" s="1008"/>
      <c r="F17" s="1009"/>
      <c r="G17" s="1008" t="str">
        <f>+VLOOKUP(Data_Validation!$A17,BV_Data_An_Cour!$L:$Q,6,0)</f>
        <v>1-Mémo</v>
      </c>
      <c r="H17" s="188"/>
      <c r="K17" s="164" t="s">
        <v>14</v>
      </c>
      <c r="M17" s="570" t="s">
        <v>1949</v>
      </c>
      <c r="N17" s="187"/>
    </row>
    <row r="18" spans="1:14" ht="15" customHeight="1">
      <c r="A18" s="168" t="s">
        <v>2240</v>
      </c>
      <c r="B18" s="169" t="s">
        <v>2239</v>
      </c>
      <c r="C18" s="956"/>
      <c r="D18" s="956"/>
      <c r="E18" s="1008"/>
      <c r="F18" s="1009"/>
      <c r="G18" s="1008" t="str">
        <f>+VLOOKUP(Data_Validation!$A18,BV_Data_An_Cour!$L:$Q,6,0)</f>
        <v>1-Mémo</v>
      </c>
      <c r="H18" s="188"/>
      <c r="K18" s="164" t="s">
        <v>37</v>
      </c>
      <c r="N18" s="187"/>
    </row>
    <row r="19" spans="1:14" ht="15" customHeight="1">
      <c r="A19" s="168" t="s">
        <v>2243</v>
      </c>
      <c r="B19" s="169" t="s">
        <v>2242</v>
      </c>
      <c r="C19" s="956"/>
      <c r="D19" s="956"/>
      <c r="E19" s="1008"/>
      <c r="F19" s="1009"/>
      <c r="G19" s="1008" t="str">
        <f>+VLOOKUP(Data_Validation!$A19,BV_Data_An_Cour!$L:$Q,6,0)</f>
        <v>1-Mémo</v>
      </c>
      <c r="H19" s="188"/>
      <c r="K19" s="164" t="s">
        <v>65</v>
      </c>
      <c r="N19" s="187"/>
    </row>
    <row r="20" spans="1:14" ht="15" customHeight="1">
      <c r="A20" s="168" t="s">
        <v>2245</v>
      </c>
      <c r="B20" s="169" t="s">
        <v>2244</v>
      </c>
      <c r="C20" s="956"/>
      <c r="D20" s="956"/>
      <c r="E20" s="1008"/>
      <c r="F20" s="1009"/>
      <c r="G20" s="1008" t="str">
        <f>+VLOOKUP(Data_Validation!$A20,BV_Data_An_Cour!$L:$Q,6,0)</f>
        <v>1-Mémo</v>
      </c>
      <c r="H20" s="188"/>
      <c r="K20" s="164" t="s">
        <v>50</v>
      </c>
      <c r="N20" s="187"/>
    </row>
    <row r="21" spans="1:14" ht="15" customHeight="1">
      <c r="A21" s="168" t="s">
        <v>2247</v>
      </c>
      <c r="B21" s="169" t="s">
        <v>2246</v>
      </c>
      <c r="C21" s="956"/>
      <c r="D21" s="956"/>
      <c r="E21" s="1008"/>
      <c r="F21" s="1009"/>
      <c r="G21" s="1008" t="str">
        <f>+VLOOKUP(Data_Validation!$A21,BV_Data_An_Cour!$L:$Q,6,0)</f>
        <v>1-Mémo</v>
      </c>
      <c r="H21" s="188"/>
      <c r="K21" s="164" t="s">
        <v>51</v>
      </c>
      <c r="N21" s="187"/>
    </row>
    <row r="22" spans="1:14" ht="15" customHeight="1">
      <c r="A22" s="168" t="s">
        <v>2249</v>
      </c>
      <c r="B22" s="169" t="s">
        <v>2248</v>
      </c>
      <c r="C22" s="956"/>
      <c r="D22" s="956"/>
      <c r="E22" s="1008"/>
      <c r="F22" s="1009"/>
      <c r="G22" s="1008" t="str">
        <f>+VLOOKUP(Data_Validation!$A22,BV_Data_An_Cour!$L:$Q,6,0)</f>
        <v>1-Mémo</v>
      </c>
      <c r="H22" s="188"/>
      <c r="K22" s="164" t="str">
        <f>Print_Mois!V429</f>
        <v>Bénéfices marginaux</v>
      </c>
      <c r="N22" s="187"/>
    </row>
    <row r="23" spans="1:14" ht="15" customHeight="1">
      <c r="A23" s="168" t="s">
        <v>2251</v>
      </c>
      <c r="B23" s="169" t="s">
        <v>2250</v>
      </c>
      <c r="C23" s="956"/>
      <c r="D23" s="956"/>
      <c r="E23" s="1008"/>
      <c r="F23" s="1009"/>
      <c r="G23" s="1008" t="str">
        <f>+VLOOKUP(Data_Validation!$A23,BV_Data_An_Cour!$L:$Q,6,0)</f>
        <v>1-Mémo</v>
      </c>
      <c r="H23" s="188"/>
      <c r="K23" s="164" t="s">
        <v>69</v>
      </c>
      <c r="N23" s="187"/>
    </row>
    <row r="24" spans="1:14" ht="15" customHeight="1">
      <c r="A24" s="168" t="s">
        <v>2253</v>
      </c>
      <c r="B24" s="169" t="s">
        <v>2252</v>
      </c>
      <c r="C24" s="956"/>
      <c r="D24" s="956"/>
      <c r="E24" s="1008"/>
      <c r="F24" s="1009"/>
      <c r="G24" s="1008" t="str">
        <f>+VLOOKUP(Data_Validation!$A24,BV_Data_An_Cour!$L:$Q,6,0)</f>
        <v>1-Mémo</v>
      </c>
      <c r="H24" s="188"/>
      <c r="K24" s="164" t="s">
        <v>1642</v>
      </c>
      <c r="N24" s="187"/>
    </row>
    <row r="25" spans="1:14" ht="15" customHeight="1">
      <c r="A25" s="168" t="s">
        <v>2255</v>
      </c>
      <c r="B25" s="169" t="s">
        <v>2254</v>
      </c>
      <c r="C25" s="956"/>
      <c r="D25" s="956"/>
      <c r="E25" s="1008"/>
      <c r="F25" s="1009"/>
      <c r="G25" s="1008" t="str">
        <f>+VLOOKUP(Data_Validation!$A25,BV_Data_An_Cour!$L:$Q,6,0)</f>
        <v>1-Mémo</v>
      </c>
      <c r="H25" s="188"/>
      <c r="K25" s="164" t="s">
        <v>191</v>
      </c>
      <c r="N25" s="187"/>
    </row>
    <row r="26" spans="1:14" ht="15" customHeight="1">
      <c r="A26" s="168" t="s">
        <v>2257</v>
      </c>
      <c r="B26" s="169" t="s">
        <v>2256</v>
      </c>
      <c r="C26" s="956"/>
      <c r="D26" s="956"/>
      <c r="E26" s="1008"/>
      <c r="F26" s="1009"/>
      <c r="G26" s="1008" t="str">
        <f>+VLOOKUP(Data_Validation!$A26,BV_Data_An_Cour!$L:$Q,6,0)</f>
        <v>1-Mémo</v>
      </c>
      <c r="H26" s="188"/>
      <c r="K26" s="164" t="s">
        <v>90</v>
      </c>
      <c r="N26" s="187"/>
    </row>
    <row r="27" spans="1:14" ht="15" customHeight="1">
      <c r="A27" s="168" t="s">
        <v>2259</v>
      </c>
      <c r="B27" s="169" t="s">
        <v>2258</v>
      </c>
      <c r="C27" s="956"/>
      <c r="D27" s="956"/>
      <c r="E27" s="1008"/>
      <c r="F27" s="1009"/>
      <c r="G27" s="1008" t="str">
        <f>+VLOOKUP(Data_Validation!$A27,BV_Data_An_Cour!$L:$Q,6,0)</f>
        <v>1-Mémo</v>
      </c>
      <c r="H27" s="188"/>
      <c r="K27" s="164" t="s">
        <v>67</v>
      </c>
      <c r="N27" s="187"/>
    </row>
    <row r="28" spans="1:14" ht="15" customHeight="1">
      <c r="A28" s="168" t="s">
        <v>2261</v>
      </c>
      <c r="B28" s="169" t="s">
        <v>2260</v>
      </c>
      <c r="C28" s="956"/>
      <c r="D28" s="956"/>
      <c r="E28" s="1008"/>
      <c r="F28" s="1009"/>
      <c r="G28" s="1008" t="str">
        <f>+VLOOKUP(Data_Validation!$A28,BV_Data_An_Cour!$L:$Q,6,0)</f>
        <v>1-Mémo</v>
      </c>
      <c r="H28" s="188"/>
      <c r="K28" s="164" t="str">
        <f>Print_Mois!C94</f>
        <v>Certifié</v>
      </c>
      <c r="N28" s="187"/>
    </row>
    <row r="29" spans="1:14" ht="15" customHeight="1">
      <c r="A29" s="168" t="s">
        <v>2263</v>
      </c>
      <c r="B29" s="169" t="s">
        <v>2262</v>
      </c>
      <c r="C29" s="956"/>
      <c r="D29" s="956"/>
      <c r="E29" s="1008"/>
      <c r="F29" s="1009"/>
      <c r="G29" s="1008" t="str">
        <f>+VLOOKUP(Data_Validation!$A29,BV_Data_An_Cour!$L:$Q,6,0)</f>
        <v>1-Mémo</v>
      </c>
      <c r="H29" s="188"/>
      <c r="K29" s="164" t="str">
        <f>Print_Mois!V457</f>
        <v>Chauffage, éclairage</v>
      </c>
      <c r="N29" s="187"/>
    </row>
    <row r="30" spans="1:14" ht="15" customHeight="1">
      <c r="A30" s="168" t="s">
        <v>2265</v>
      </c>
      <c r="B30" s="169" t="s">
        <v>2264</v>
      </c>
      <c r="C30" s="956"/>
      <c r="D30" s="956"/>
      <c r="E30" s="1008"/>
      <c r="F30" s="1009"/>
      <c r="G30" s="1008" t="str">
        <f>+VLOOKUP(Data_Validation!$A30,BV_Data_An_Cour!$L:$Q,6,0)</f>
        <v>1-Mémo</v>
      </c>
      <c r="H30" s="188"/>
      <c r="K30" s="164" t="str">
        <f>Print_Mois!C32</f>
        <v>Comm. F&amp;I</v>
      </c>
    </row>
    <row r="31" spans="1:14" ht="15" customHeight="1">
      <c r="A31" s="168" t="s">
        <v>2268</v>
      </c>
      <c r="B31" s="169" t="s">
        <v>2267</v>
      </c>
      <c r="C31" s="956"/>
      <c r="D31" s="956"/>
      <c r="E31" s="1008"/>
      <c r="F31" s="1009"/>
      <c r="G31" s="1008" t="str">
        <f>+VLOOKUP(Data_Validation!$A31,BV_Data_An_Cour!$L:$Q,6,0)</f>
        <v>1-Mémo</v>
      </c>
      <c r="H31" s="188"/>
      <c r="K31" s="164" t="str">
        <f>Print_Mois!C31</f>
        <v>Comm. vendeurs</v>
      </c>
    </row>
    <row r="32" spans="1:14" ht="15" customHeight="1">
      <c r="A32" s="168" t="s">
        <v>2270</v>
      </c>
      <c r="B32" s="169" t="s">
        <v>2269</v>
      </c>
      <c r="C32" s="956"/>
      <c r="D32" s="956"/>
      <c r="E32" s="1008"/>
      <c r="F32" s="1009"/>
      <c r="G32" s="1008" t="str">
        <f>+VLOOKUP(Data_Validation!$A32,BV_Data_An_Cour!$L:$Q,6,0)</f>
        <v>1-Mémo</v>
      </c>
      <c r="H32" s="188"/>
      <c r="K32" s="164" t="s">
        <v>16</v>
      </c>
    </row>
    <row r="33" spans="1:11" ht="15" customHeight="1">
      <c r="A33" s="168" t="s">
        <v>2272</v>
      </c>
      <c r="B33" s="169" t="s">
        <v>2271</v>
      </c>
      <c r="C33" s="956"/>
      <c r="D33" s="956"/>
      <c r="E33" s="1008"/>
      <c r="F33" s="1009"/>
      <c r="G33" s="1008" t="str">
        <f>+VLOOKUP(Data_Validation!$A33,BV_Data_An_Cour!$L:$Q,6,0)</f>
        <v>1-Mémo</v>
      </c>
      <c r="H33" s="188"/>
      <c r="K33" s="551" t="s">
        <v>1921</v>
      </c>
    </row>
    <row r="34" spans="1:11" ht="15" customHeight="1">
      <c r="A34" s="168" t="s">
        <v>2274</v>
      </c>
      <c r="B34" s="169" t="s">
        <v>2273</v>
      </c>
      <c r="C34" s="956"/>
      <c r="D34" s="956"/>
      <c r="E34" s="1008"/>
      <c r="F34" s="1009"/>
      <c r="G34" s="1008" t="str">
        <f>+VLOOKUP(Data_Validation!$A34,BV_Data_An_Cour!$L:$Q,6,0)</f>
        <v>1-Mémo</v>
      </c>
      <c r="H34" s="188"/>
      <c r="K34" s="164" t="s">
        <v>1661</v>
      </c>
    </row>
    <row r="35" spans="1:11" ht="15" customHeight="1">
      <c r="A35" s="169" t="s">
        <v>2277</v>
      </c>
      <c r="B35" s="169" t="s">
        <v>2276</v>
      </c>
      <c r="C35" s="956"/>
      <c r="D35" s="956"/>
      <c r="E35" s="1008"/>
      <c r="F35" s="1009"/>
      <c r="G35" s="1008" t="str">
        <f>+VLOOKUP(Data_Validation!$A35,BV_Data_An_Cour!$L:$Q,6,0)</f>
        <v>1-Mémo</v>
      </c>
      <c r="H35" s="188"/>
      <c r="K35" s="164" t="str">
        <f>Print_Mois!V430</f>
        <v>Csst</v>
      </c>
    </row>
    <row r="36" spans="1:11" ht="15" customHeight="1">
      <c r="A36" s="168" t="s">
        <v>2280</v>
      </c>
      <c r="B36" s="169" t="s">
        <v>2279</v>
      </c>
      <c r="C36" s="956"/>
      <c r="D36" s="956"/>
      <c r="E36" s="1008"/>
      <c r="F36" s="1009"/>
      <c r="G36" s="1008" t="str">
        <f>+VLOOKUP(Data_Validation!$A36,BV_Data_An_Cour!$L:$Q,6,0)</f>
        <v>1-Mémo</v>
      </c>
      <c r="H36" s="188"/>
      <c r="K36" s="164" t="s">
        <v>38</v>
      </c>
    </row>
    <row r="37" spans="1:11" ht="15" customHeight="1">
      <c r="A37" s="168" t="s">
        <v>2282</v>
      </c>
      <c r="B37" s="169" t="s">
        <v>2281</v>
      </c>
      <c r="C37" s="956"/>
      <c r="D37" s="956"/>
      <c r="E37" s="1008"/>
      <c r="F37" s="1009"/>
      <c r="G37" s="1008" t="str">
        <f>+VLOOKUP(Data_Validation!$A37,BV_Data_An_Cour!$L:$Q,6,0)</f>
        <v>1-Mémo</v>
      </c>
      <c r="H37" s="188"/>
      <c r="K37" s="164" t="str">
        <f>Print_Mois!V428</f>
        <v>Déduction à la source</v>
      </c>
    </row>
    <row r="38" spans="1:11" ht="15" customHeight="1">
      <c r="A38" s="168" t="s">
        <v>2284</v>
      </c>
      <c r="B38" s="169" t="s">
        <v>2283</v>
      </c>
      <c r="C38" s="956"/>
      <c r="D38" s="956"/>
      <c r="E38" s="1008"/>
      <c r="F38" s="1009"/>
      <c r="G38" s="1008" t="str">
        <f>+VLOOKUP(Data_Validation!$A38,BV_Data_An_Cour!$L:$Q,6,0)</f>
        <v>1-Mémo</v>
      </c>
      <c r="H38" s="188"/>
      <c r="K38" s="164" t="s">
        <v>22</v>
      </c>
    </row>
    <row r="39" spans="1:11" ht="15" customHeight="1">
      <c r="A39" s="168" t="s">
        <v>2286</v>
      </c>
      <c r="B39" s="169" t="s">
        <v>2285</v>
      </c>
      <c r="C39" s="956"/>
      <c r="D39" s="956"/>
      <c r="E39" s="1008"/>
      <c r="F39" s="1009"/>
      <c r="G39" s="1008" t="str">
        <f>+VLOOKUP(Data_Validation!$A39,BV_Data_An_Cour!$L:$Q,6,0)</f>
        <v>1-Mémo</v>
      </c>
      <c r="H39" s="188"/>
      <c r="K39" s="164" t="s">
        <v>54</v>
      </c>
    </row>
    <row r="40" spans="1:11" ht="15" customHeight="1">
      <c r="A40" s="168" t="s">
        <v>2288</v>
      </c>
      <c r="B40" s="169" t="s">
        <v>2287</v>
      </c>
      <c r="C40" s="956"/>
      <c r="D40" s="956"/>
      <c r="E40" s="1008"/>
      <c r="F40" s="1009"/>
      <c r="G40" s="1008" t="e">
        <f>+VLOOKUP(Data_Validation!$A40,BV_Data_An_Cour!$L:$Q,6,0)</f>
        <v>#N/A</v>
      </c>
      <c r="H40" s="188"/>
      <c r="K40" s="164" t="str">
        <f>Print_Mois!V445</f>
        <v>Divers</v>
      </c>
    </row>
    <row r="41" spans="1:11" ht="15" customHeight="1">
      <c r="A41" s="168" t="s">
        <v>2290</v>
      </c>
      <c r="B41" s="169" t="s">
        <v>2289</v>
      </c>
      <c r="C41" s="956"/>
      <c r="D41" s="956"/>
      <c r="E41" s="1011"/>
      <c r="F41" s="1011"/>
      <c r="G41" s="1011" t="e">
        <f>+VLOOKUP(Data_Validation!$A41,BV_Data_An_Cour!$L:$Q,6,0)</f>
        <v>#N/A</v>
      </c>
      <c r="H41" s="188"/>
      <c r="K41" s="164" t="s">
        <v>70</v>
      </c>
    </row>
    <row r="42" spans="1:11" ht="15" customHeight="1">
      <c r="A42" s="168" t="s">
        <v>2292</v>
      </c>
      <c r="B42" s="169" t="s">
        <v>2291</v>
      </c>
      <c r="C42" s="956"/>
      <c r="D42" s="956"/>
      <c r="E42" s="1008"/>
      <c r="F42" s="1009"/>
      <c r="G42" s="1008" t="e">
        <f>+VLOOKUP(Data_Validation!$A42,BV_Data_An_Cour!$L:$Q,6,0)</f>
        <v>#N/A</v>
      </c>
      <c r="H42" s="188"/>
      <c r="K42" s="164" t="str">
        <f>Print_Mois!V464</f>
        <v>[...]</v>
      </c>
    </row>
    <row r="43" spans="1:11" ht="15" customHeight="1">
      <c r="A43" s="168" t="s">
        <v>2294</v>
      </c>
      <c r="B43" s="169" t="s">
        <v>2293</v>
      </c>
      <c r="C43" s="956"/>
      <c r="D43" s="956"/>
      <c r="E43" s="1008"/>
      <c r="F43" s="1009"/>
      <c r="G43" s="1008" t="e">
        <f>+VLOOKUP(Data_Validation!$A43,BV_Data_An_Cour!$L:$Q,6,0)</f>
        <v>#N/A</v>
      </c>
      <c r="H43" s="188"/>
      <c r="K43" s="164" t="s">
        <v>30</v>
      </c>
    </row>
    <row r="44" spans="1:11" ht="15" customHeight="1">
      <c r="A44" s="168" t="s">
        <v>2296</v>
      </c>
      <c r="B44" s="169" t="s">
        <v>2295</v>
      </c>
      <c r="C44" s="956"/>
      <c r="D44" s="956"/>
      <c r="E44" s="1008"/>
      <c r="F44" s="1009"/>
      <c r="G44" s="1008" t="e">
        <f>+VLOOKUP(Data_Validation!$A44,BV_Data_An_Cour!$L:$Q,6,0)</f>
        <v>#N/A</v>
      </c>
      <c r="H44" s="188"/>
      <c r="K44" s="164" t="s">
        <v>32</v>
      </c>
    </row>
    <row r="45" spans="1:11" ht="15" customHeight="1">
      <c r="A45" s="168" t="s">
        <v>2298</v>
      </c>
      <c r="B45" s="169" t="s">
        <v>2297</v>
      </c>
      <c r="C45" s="956"/>
      <c r="D45" s="956"/>
      <c r="E45" s="1011"/>
      <c r="F45" s="1011"/>
      <c r="G45" s="1011" t="e">
        <f>+VLOOKUP(Data_Validation!$A45,BV_Data_An_Cour!$L:$Q,6,0)</f>
        <v>#N/A</v>
      </c>
      <c r="H45" s="188"/>
      <c r="K45" s="164" t="s">
        <v>8</v>
      </c>
    </row>
    <row r="46" spans="1:11" ht="15" customHeight="1">
      <c r="A46" s="168" t="s">
        <v>2300</v>
      </c>
      <c r="B46" s="169" t="s">
        <v>2299</v>
      </c>
      <c r="C46" s="956"/>
      <c r="D46" s="956"/>
      <c r="E46" s="1008"/>
      <c r="F46" s="1009"/>
      <c r="G46" s="1008" t="e">
        <f>+VLOOKUP(Data_Validation!$A46,BV_Data_An_Cour!$L:$Q,6,0)</f>
        <v>#N/A</v>
      </c>
      <c r="H46" s="188"/>
      <c r="K46" s="164" t="s">
        <v>62</v>
      </c>
    </row>
    <row r="47" spans="1:11" ht="15" customHeight="1">
      <c r="A47" s="168" t="s">
        <v>2302</v>
      </c>
      <c r="B47" s="169" t="s">
        <v>2301</v>
      </c>
      <c r="C47" s="956"/>
      <c r="D47" s="956"/>
      <c r="E47" s="1011"/>
      <c r="F47" s="1011"/>
      <c r="G47" s="1011" t="e">
        <f>+VLOOKUP(Data_Validation!$A47,BV_Data_An_Cour!$L:$Q,6,0)</f>
        <v>#N/A</v>
      </c>
      <c r="H47" s="188"/>
      <c r="K47" s="164" t="str">
        <f>Print_Mois!C35</f>
        <v>Entretien stock</v>
      </c>
    </row>
    <row r="48" spans="1:11" ht="15" customHeight="1">
      <c r="A48" s="168" t="s">
        <v>342</v>
      </c>
      <c r="B48" s="169" t="s">
        <v>2303</v>
      </c>
      <c r="C48" s="956"/>
      <c r="D48" s="956"/>
      <c r="E48" s="1008"/>
      <c r="F48" s="1009"/>
      <c r="G48" s="1008" t="e">
        <f>+VLOOKUP(Data_Validation!$A48,BV_Data_An_Cour!$L:$Q,6,0)</f>
        <v>#N/A</v>
      </c>
      <c r="H48" s="188"/>
      <c r="K48" s="164" t="s">
        <v>59</v>
      </c>
    </row>
    <row r="49" spans="1:11" ht="15" customHeight="1">
      <c r="A49" s="168" t="s">
        <v>2305</v>
      </c>
      <c r="B49" s="169" t="s">
        <v>2304</v>
      </c>
      <c r="C49" s="956"/>
      <c r="D49" s="956"/>
      <c r="E49" s="1008"/>
      <c r="F49" s="1009"/>
      <c r="G49" s="1008" t="str">
        <f>+VLOOKUP(Data_Validation!$A49,BV_Data_An_Cour!$L:$Q,6,0)</f>
        <v>1-Mémo</v>
      </c>
      <c r="H49" s="188"/>
      <c r="K49" s="164" t="s">
        <v>57</v>
      </c>
    </row>
    <row r="50" spans="1:11" ht="15" customHeight="1">
      <c r="A50" s="168" t="s">
        <v>2308</v>
      </c>
      <c r="B50" s="169" t="s">
        <v>2307</v>
      </c>
      <c r="C50" s="956"/>
      <c r="D50" s="956"/>
      <c r="E50" s="1008"/>
      <c r="F50" s="1009"/>
      <c r="G50" s="1008" t="str">
        <f>+VLOOKUP(Data_Validation!$A50,BV_Data_An_Cour!$L:$Q,6,0)</f>
        <v>1-Mémo</v>
      </c>
      <c r="H50" s="188"/>
      <c r="K50" s="164" t="s">
        <v>60</v>
      </c>
    </row>
    <row r="51" spans="1:11" ht="15" customHeight="1">
      <c r="A51" s="168" t="s">
        <v>2310</v>
      </c>
      <c r="B51" s="169" t="s">
        <v>2309</v>
      </c>
      <c r="C51" s="956"/>
      <c r="D51" s="956"/>
      <c r="E51" s="1008"/>
      <c r="F51" s="1009"/>
      <c r="G51" s="1008" t="e">
        <f>+VLOOKUP(Data_Validation!$A51,BV_Data_An_Cour!$L:$Q,6,0)</f>
        <v>#N/A</v>
      </c>
      <c r="H51" s="188"/>
      <c r="K51" s="164" t="str">
        <f>Print_Mois!C301</f>
        <v>Escomptes</v>
      </c>
    </row>
    <row r="52" spans="1:11" ht="15" customHeight="1">
      <c r="A52" s="168" t="s">
        <v>2312</v>
      </c>
      <c r="B52" s="169" t="s">
        <v>2311</v>
      </c>
      <c r="C52" s="956"/>
      <c r="D52" s="956"/>
      <c r="E52" s="1008"/>
      <c r="F52" s="1009"/>
      <c r="G52" s="1008" t="e">
        <f>+VLOOKUP(Data_Validation!$A52,BV_Data_An_Cour!$L:$Q,6,0)</f>
        <v>#N/A</v>
      </c>
      <c r="H52" s="188"/>
      <c r="K52" s="164" t="str">
        <f>Print_Mois!C15</f>
        <v>Ex-Démos et courtoisies</v>
      </c>
    </row>
    <row r="53" spans="1:11" ht="15" customHeight="1">
      <c r="A53" s="168" t="s">
        <v>2314</v>
      </c>
      <c r="B53" s="169" t="s">
        <v>2313</v>
      </c>
      <c r="C53" s="956"/>
      <c r="D53" s="956"/>
      <c r="E53" s="1008"/>
      <c r="F53" s="1009"/>
      <c r="G53" s="1008" t="e">
        <f>+VLOOKUP(Data_Validation!$A53,BV_Data_An_Cour!$L:$Q,6,0)</f>
        <v>#N/A</v>
      </c>
      <c r="H53" s="188"/>
      <c r="K53" s="164" t="str">
        <f>Print_Mois!C17</f>
        <v>Flottes</v>
      </c>
    </row>
    <row r="54" spans="1:11" ht="15" customHeight="1">
      <c r="A54" s="168" t="s">
        <v>2316</v>
      </c>
      <c r="B54" s="169" t="s">
        <v>2315</v>
      </c>
      <c r="C54" s="956"/>
      <c r="D54" s="956"/>
      <c r="E54" s="1008"/>
      <c r="F54" s="1009"/>
      <c r="G54" s="1008" t="e">
        <f>+VLOOKUP(Data_Validation!$A54,BV_Data_An_Cour!$L:$Q,6,0)</f>
        <v>#N/A</v>
      </c>
      <c r="H54" s="188"/>
      <c r="K54" s="164" t="s">
        <v>1673</v>
      </c>
    </row>
    <row r="55" spans="1:11" ht="15" customHeight="1">
      <c r="A55" s="168" t="s">
        <v>2318</v>
      </c>
      <c r="B55" s="169" t="s">
        <v>2317</v>
      </c>
      <c r="C55" s="956"/>
      <c r="D55" s="956"/>
      <c r="E55" s="1008"/>
      <c r="F55" s="1009"/>
      <c r="G55" s="1008" t="e">
        <f>+VLOOKUP(Data_Validation!$A55,BV_Data_An_Cour!$L:$Q,6,0)</f>
        <v>#N/A</v>
      </c>
      <c r="H55" s="188"/>
      <c r="K55" s="164" t="str">
        <f>Print_Mois!V446</f>
        <v>Formation</v>
      </c>
    </row>
    <row r="56" spans="1:11" ht="15" customHeight="1">
      <c r="A56" s="168" t="s">
        <v>2320</v>
      </c>
      <c r="B56" s="169" t="s">
        <v>2319</v>
      </c>
      <c r="C56" s="956"/>
      <c r="D56" s="956"/>
      <c r="E56" s="1008"/>
      <c r="F56" s="1009"/>
      <c r="G56" s="1008" t="e">
        <f>+VLOOKUP(Data_Validation!$A56,BV_Data_An_Cour!$L:$Q,6,0)</f>
        <v>#N/A</v>
      </c>
      <c r="H56" s="188"/>
      <c r="K56" s="164" t="str">
        <f>Print_Mois!V440</f>
        <v>Fournitures autres</v>
      </c>
    </row>
    <row r="57" spans="1:11" ht="15" customHeight="1">
      <c r="A57" s="168" t="s">
        <v>2322</v>
      </c>
      <c r="B57" s="169" t="s">
        <v>2321</v>
      </c>
      <c r="C57" s="956"/>
      <c r="D57" s="956"/>
      <c r="E57" s="1008"/>
      <c r="F57" s="1009"/>
      <c r="G57" s="1008" t="e">
        <f>+VLOOKUP(Data_Validation!$A57,BV_Data_An_Cour!$L:$Q,6,0)</f>
        <v>#N/A</v>
      </c>
      <c r="H57" s="188"/>
      <c r="K57" s="164" t="s">
        <v>1996</v>
      </c>
    </row>
    <row r="58" spans="1:11" ht="15" customHeight="1">
      <c r="A58" s="168" t="s">
        <v>2324</v>
      </c>
      <c r="B58" s="169" t="s">
        <v>2323</v>
      </c>
      <c r="C58" s="956"/>
      <c r="D58" s="956"/>
      <c r="E58" s="1008"/>
      <c r="F58" s="1009"/>
      <c r="G58" s="1008" t="e">
        <f>+VLOOKUP(Data_Validation!$A58,BV_Data_An_Cour!$L:$Q,6,0)</f>
        <v>#N/A</v>
      </c>
      <c r="H58" s="188"/>
      <c r="K58" s="164" t="str">
        <f>Print_Mois!V479</f>
        <v>Frais administration</v>
      </c>
    </row>
    <row r="59" spans="1:11" ht="15" customHeight="1">
      <c r="A59" s="168" t="s">
        <v>2326</v>
      </c>
      <c r="B59" s="169" t="s">
        <v>2325</v>
      </c>
      <c r="C59" s="956"/>
      <c r="D59" s="956"/>
      <c r="E59" s="1008"/>
      <c r="F59" s="1009"/>
      <c r="G59" s="1008" t="e">
        <f>+VLOOKUP(Data_Validation!$A59,BV_Data_An_Cour!$L:$Q,6,0)</f>
        <v>#N/A</v>
      </c>
      <c r="H59" s="188"/>
      <c r="K59" s="164" t="s">
        <v>134</v>
      </c>
    </row>
    <row r="60" spans="1:11" ht="15" customHeight="1">
      <c r="A60" s="951" t="s">
        <v>2328</v>
      </c>
      <c r="B60" s="171" t="s">
        <v>2327</v>
      </c>
      <c r="C60" s="956"/>
      <c r="D60" s="956"/>
      <c r="E60" s="1008" t="s">
        <v>1917</v>
      </c>
      <c r="F60" s="1008"/>
      <c r="G60" s="1008" t="str">
        <f>+VLOOKUP(Data_Validation!$A60,BV_Data_An_Cour!$L:$Q,6,0)</f>
        <v>1-Mémo</v>
      </c>
      <c r="H60" s="188"/>
      <c r="K60" s="164" t="str">
        <f>Print_Mois!V450</f>
        <v>[...]</v>
      </c>
    </row>
    <row r="61" spans="1:11" ht="15" customHeight="1">
      <c r="A61" s="951" t="s">
        <v>1526</v>
      </c>
      <c r="B61" s="171" t="s">
        <v>2329</v>
      </c>
      <c r="C61" s="956"/>
      <c r="D61" s="956"/>
      <c r="E61" s="1008" t="s">
        <v>1917</v>
      </c>
      <c r="F61" s="1008"/>
      <c r="G61" s="1008" t="str">
        <f>+VLOOKUP(Data_Validation!$A61,BV_Data_An_Cour!$L:$Q,6,0)</f>
        <v>1-Mémo</v>
      </c>
      <c r="H61" s="188"/>
      <c r="K61" s="164" t="str">
        <f>Print_Mois!V437</f>
        <v>Frais de déplacement</v>
      </c>
    </row>
    <row r="62" spans="1:11" ht="15" customHeight="1">
      <c r="A62" s="168" t="s">
        <v>884</v>
      </c>
      <c r="B62" s="169" t="s">
        <v>2330</v>
      </c>
      <c r="C62" s="956"/>
      <c r="D62" s="956"/>
      <c r="E62" s="1008" t="s">
        <v>1917</v>
      </c>
      <c r="F62" s="1008"/>
      <c r="G62" s="1008" t="str">
        <f>+VLOOKUP(Data_Validation!$A62,BV_Data_An_Cour!$L:$Q,6,0)</f>
        <v>1-Mémo</v>
      </c>
      <c r="H62" s="188"/>
      <c r="K62" s="164" t="str">
        <f>Print_Mois!C33</f>
        <v>Frais de livraison</v>
      </c>
    </row>
    <row r="63" spans="1:11" ht="15" customHeight="1">
      <c r="A63" s="168" t="s">
        <v>2332</v>
      </c>
      <c r="B63" s="169" t="s">
        <v>2331</v>
      </c>
      <c r="C63" s="956"/>
      <c r="D63" s="956"/>
      <c r="E63" s="1008" t="s">
        <v>1917</v>
      </c>
      <c r="F63" s="1008"/>
      <c r="G63" s="1008" t="str">
        <f>+VLOOKUP(Data_Validation!$A63,BV_Data_An_Cour!$L:$Q,6,0)</f>
        <v>1-Mémo</v>
      </c>
      <c r="H63" s="188"/>
      <c r="K63" s="164" t="s">
        <v>1682</v>
      </c>
    </row>
    <row r="64" spans="1:11" ht="15" customHeight="1">
      <c r="A64" s="951" t="s">
        <v>2334</v>
      </c>
      <c r="B64" s="171" t="s">
        <v>2333</v>
      </c>
      <c r="C64" s="956"/>
      <c r="D64" s="956"/>
      <c r="E64" s="1008" t="s">
        <v>1917</v>
      </c>
      <c r="F64" s="1008"/>
      <c r="G64" s="1008" t="str">
        <f>+VLOOKUP(Data_Validation!$A64,BV_Data_An_Cour!$L:$Q,6,0)</f>
        <v>1-Mémo</v>
      </c>
      <c r="H64" s="188"/>
      <c r="K64" s="164" t="s">
        <v>43</v>
      </c>
    </row>
    <row r="65" spans="1:11" ht="15" customHeight="1">
      <c r="A65" s="168" t="s">
        <v>2336</v>
      </c>
      <c r="B65" s="169" t="s">
        <v>2335</v>
      </c>
      <c r="C65" s="956"/>
      <c r="D65" s="956"/>
      <c r="E65" s="1008" t="s">
        <v>1917</v>
      </c>
      <c r="F65" s="1008"/>
      <c r="G65" s="1008" t="str">
        <f>+VLOOKUP(Data_Validation!$A65,BV_Data_An_Cour!$L:$Q,6,0)</f>
        <v>1-Mémo</v>
      </c>
      <c r="H65" s="188"/>
      <c r="K65" s="164" t="str">
        <f>Print_Mois!V444</f>
        <v>Frais postaux</v>
      </c>
    </row>
    <row r="66" spans="1:11" ht="15" customHeight="1">
      <c r="A66" s="951" t="s">
        <v>2338</v>
      </c>
      <c r="B66" s="171" t="s">
        <v>2337</v>
      </c>
      <c r="C66" s="956"/>
      <c r="D66" s="956"/>
      <c r="E66" s="1008" t="s">
        <v>1917</v>
      </c>
      <c r="F66" s="1008"/>
      <c r="G66" s="1008" t="str">
        <f>+VLOOKUP(Data_Validation!$A66,BV_Data_An_Cour!$L:$Q,6,0)</f>
        <v>1-Mémo</v>
      </c>
      <c r="H66" s="188"/>
      <c r="K66" s="164" t="s">
        <v>1684</v>
      </c>
    </row>
    <row r="67" spans="1:11" ht="15" customHeight="1">
      <c r="A67" s="951" t="s">
        <v>2340</v>
      </c>
      <c r="B67" s="171" t="s">
        <v>2339</v>
      </c>
      <c r="C67" s="956"/>
      <c r="D67" s="956"/>
      <c r="E67" s="1008" t="s">
        <v>1917</v>
      </c>
      <c r="F67" s="1008"/>
      <c r="G67" s="1008" t="str">
        <f>+VLOOKUP(Data_Validation!$A67,BV_Data_An_Cour!$L:$Q,6,0)</f>
        <v>1-Mémo</v>
      </c>
      <c r="H67" s="188"/>
      <c r="K67" s="164" t="str">
        <f>Print_Mois!V435</f>
        <v>Frais véhicules de cie</v>
      </c>
    </row>
    <row r="68" spans="1:11" ht="15" customHeight="1">
      <c r="A68" s="951" t="s">
        <v>2342</v>
      </c>
      <c r="B68" s="171" t="s">
        <v>2341</v>
      </c>
      <c r="C68" s="956"/>
      <c r="D68" s="956"/>
      <c r="E68" s="1008" t="s">
        <v>1917</v>
      </c>
      <c r="F68" s="1008"/>
      <c r="G68" s="1008" t="str">
        <f>+VLOOKUP(Data_Validation!$A68,BV_Data_An_Cour!$L:$Q,6,0)</f>
        <v>1-Mémo</v>
      </c>
      <c r="H68" s="188"/>
      <c r="K68" s="164" t="s">
        <v>1685</v>
      </c>
    </row>
    <row r="69" spans="1:11" ht="15" customHeight="1">
      <c r="A69" s="171" t="s">
        <v>2344</v>
      </c>
      <c r="B69" s="171" t="s">
        <v>2343</v>
      </c>
      <c r="C69" s="956"/>
      <c r="D69" s="956"/>
      <c r="E69" s="1008" t="s">
        <v>1917</v>
      </c>
      <c r="F69" s="1008"/>
      <c r="G69" s="1008" t="str">
        <f>+VLOOKUP(Data_Validation!$A69,BV_Data_An_Cour!$L:$Q,6,0)</f>
        <v>1-Mémo</v>
      </c>
      <c r="H69" s="188"/>
      <c r="K69" s="164" t="str">
        <f>Print_Mois!V469</f>
        <v>Holdbacks</v>
      </c>
    </row>
    <row r="70" spans="1:11" ht="15" customHeight="1">
      <c r="A70" s="951" t="s">
        <v>2346</v>
      </c>
      <c r="B70" s="171" t="s">
        <v>2345</v>
      </c>
      <c r="C70" s="956"/>
      <c r="D70" s="956"/>
      <c r="E70" s="1008" t="s">
        <v>1917</v>
      </c>
      <c r="F70" s="1008"/>
      <c r="G70" s="1008" t="str">
        <f>+VLOOKUP(Data_Validation!$A70,BV_Data_An_Cour!$L:$Q,6,0)</f>
        <v>1-Mémo</v>
      </c>
      <c r="H70" s="188"/>
      <c r="K70" s="164" t="str">
        <f>Print_Mois!V458</f>
        <v>Honoraires</v>
      </c>
    </row>
    <row r="71" spans="1:11" ht="15" customHeight="1">
      <c r="A71" s="168" t="s">
        <v>2349</v>
      </c>
      <c r="B71" s="169" t="s">
        <v>2348</v>
      </c>
      <c r="C71" s="956"/>
      <c r="D71" s="956"/>
      <c r="E71" s="1008" t="s">
        <v>1917</v>
      </c>
      <c r="F71" s="1008"/>
      <c r="G71" s="1008" t="str">
        <f>+VLOOKUP(Data_Validation!$A71,BV_Data_An_Cour!$L:$Q,6,0)</f>
        <v>1-Mémo</v>
      </c>
      <c r="H71" s="188"/>
      <c r="K71" s="164" t="str">
        <f>Print_Mois!C307</f>
        <v>Huiles et Graisse</v>
      </c>
    </row>
    <row r="72" spans="1:11" ht="15" customHeight="1">
      <c r="A72" s="951" t="s">
        <v>2351</v>
      </c>
      <c r="B72" s="171" t="s">
        <v>2350</v>
      </c>
      <c r="C72" s="956"/>
      <c r="D72" s="956"/>
      <c r="E72" s="1008" t="s">
        <v>1917</v>
      </c>
      <c r="F72" s="1008"/>
      <c r="G72" s="1008" t="str">
        <f>+VLOOKUP(Data_Validation!$A72,BV_Data_An_Cour!$L:$Q,6,0)</f>
        <v>1-Mémo</v>
      </c>
      <c r="H72" s="188"/>
      <c r="K72" s="164" t="s">
        <v>52</v>
      </c>
    </row>
    <row r="73" spans="1:11" ht="15" customHeight="1">
      <c r="A73" s="168" t="s">
        <v>2353</v>
      </c>
      <c r="B73" s="169" t="s">
        <v>2352</v>
      </c>
      <c r="C73" s="956"/>
      <c r="D73" s="956"/>
      <c r="E73" s="1008" t="s">
        <v>1917</v>
      </c>
      <c r="F73" s="1008"/>
      <c r="G73" s="1008" t="str">
        <f>+VLOOKUP(Data_Validation!$A73,BV_Data_An_Cour!$L:$Q,6,0)</f>
        <v>1-Mémo</v>
      </c>
      <c r="H73" s="188"/>
      <c r="K73" s="164" t="s">
        <v>20</v>
      </c>
    </row>
    <row r="74" spans="1:11" ht="15" customHeight="1">
      <c r="A74" s="1016" t="s">
        <v>2865</v>
      </c>
      <c r="B74" s="1016" t="s">
        <v>2864</v>
      </c>
      <c r="C74" s="956"/>
      <c r="D74" s="956"/>
      <c r="E74" s="1008" t="s">
        <v>1917</v>
      </c>
      <c r="F74" s="1009"/>
      <c r="G74" s="1008" t="str">
        <f>+VLOOKUP(Data_Validation!$A74,BV_Data_An_Cour!$L:$Q,6,0)</f>
        <v>1-Mémo</v>
      </c>
      <c r="H74" s="188"/>
      <c r="K74" s="164" t="s">
        <v>48</v>
      </c>
    </row>
    <row r="75" spans="1:11" ht="15" customHeight="1">
      <c r="A75" s="167" t="s">
        <v>2355</v>
      </c>
      <c r="B75" s="166" t="s">
        <v>2354</v>
      </c>
      <c r="C75" s="956"/>
      <c r="D75" s="956"/>
      <c r="E75" s="1008" t="s">
        <v>1917</v>
      </c>
      <c r="F75" s="1008"/>
      <c r="G75" s="1008" t="str">
        <f>+VLOOKUP(Data_Validation!$A75,BV_Data_An_Cour!$L:$Q,6,0)</f>
        <v>1-Mémo</v>
      </c>
      <c r="H75" s="188"/>
      <c r="K75" s="164" t="str">
        <f>Print_Mois!V436</f>
        <v>Informatique</v>
      </c>
    </row>
    <row r="76" spans="1:11" ht="15" customHeight="1">
      <c r="A76" s="167" t="s">
        <v>2358</v>
      </c>
      <c r="B76" s="166" t="s">
        <v>2357</v>
      </c>
      <c r="C76" s="956"/>
      <c r="D76" s="956"/>
      <c r="E76" s="1008" t="s">
        <v>1917</v>
      </c>
      <c r="F76" s="1008"/>
      <c r="G76" s="1008" t="str">
        <f>+VLOOKUP(Data_Validation!$A76,BV_Data_An_Cour!$L:$Q,6,0)</f>
        <v>1-Mémo</v>
      </c>
      <c r="H76" s="188"/>
      <c r="K76" s="164" t="s">
        <v>172</v>
      </c>
    </row>
    <row r="77" spans="1:11" ht="15" customHeight="1">
      <c r="A77" s="169" t="s">
        <v>2360</v>
      </c>
      <c r="B77" s="169" t="s">
        <v>2359</v>
      </c>
      <c r="C77" s="956"/>
      <c r="D77" s="956"/>
      <c r="E77" s="1008" t="s">
        <v>1917</v>
      </c>
      <c r="F77" s="1008"/>
      <c r="G77" s="1008" t="str">
        <f>+VLOOKUP(Data_Validation!$A77,BV_Data_An_Cour!$L:$Q,6,0)</f>
        <v>1-Mémo</v>
      </c>
      <c r="H77" s="188"/>
      <c r="K77" s="164" t="s">
        <v>109</v>
      </c>
    </row>
    <row r="78" spans="1:11" ht="15" customHeight="1">
      <c r="A78" s="167" t="s">
        <v>2362</v>
      </c>
      <c r="B78" s="166" t="s">
        <v>2361</v>
      </c>
      <c r="C78" s="956"/>
      <c r="D78" s="956"/>
      <c r="E78" s="1008" t="s">
        <v>1917</v>
      </c>
      <c r="F78" s="1008"/>
      <c r="G78" s="1008" t="str">
        <f>+VLOOKUP(Data_Validation!$A78,BV_Data_An_Cour!$L:$Q,6,0)</f>
        <v>1-Mémo</v>
      </c>
      <c r="H78" s="188"/>
      <c r="K78" s="164" t="str">
        <f>Print_Mois!V491</f>
        <v>Intérêts sur marge</v>
      </c>
    </row>
    <row r="79" spans="1:11" ht="15" customHeight="1">
      <c r="A79" s="167" t="s">
        <v>2364</v>
      </c>
      <c r="B79" s="166" t="s">
        <v>2363</v>
      </c>
      <c r="C79" s="956"/>
      <c r="D79" s="956"/>
      <c r="E79" s="1008" t="s">
        <v>1917</v>
      </c>
      <c r="F79" s="1008"/>
      <c r="G79" s="1008" t="str">
        <f>+VLOOKUP(Data_Validation!$A79,BV_Data_An_Cour!$L:$Q,6,0)</f>
        <v>1-Mémo</v>
      </c>
      <c r="H79" s="188"/>
      <c r="K79" s="164" t="str">
        <f>Print_Mois!V492</f>
        <v>Intérêts sur prêt</v>
      </c>
    </row>
    <row r="80" spans="1:11" ht="15" customHeight="1">
      <c r="A80" s="169" t="s">
        <v>2366</v>
      </c>
      <c r="B80" s="169" t="s">
        <v>2365</v>
      </c>
      <c r="C80" s="956"/>
      <c r="D80" s="956"/>
      <c r="E80" s="1008" t="s">
        <v>1917</v>
      </c>
      <c r="F80" s="1008"/>
      <c r="G80" s="1008" t="str">
        <f>+VLOOKUP(Data_Validation!$A80,BV_Data_An_Cour!$L:$Q,6,0)</f>
        <v>1-Mémo</v>
      </c>
      <c r="H80" s="188"/>
      <c r="K80" s="164" t="s">
        <v>33</v>
      </c>
    </row>
    <row r="81" spans="1:11" ht="15" customHeight="1">
      <c r="A81" s="167" t="s">
        <v>2369</v>
      </c>
      <c r="B81" s="166" t="s">
        <v>2368</v>
      </c>
      <c r="C81" s="956"/>
      <c r="D81" s="956"/>
      <c r="E81" s="1008" t="s">
        <v>1917</v>
      </c>
      <c r="F81" s="1008"/>
      <c r="G81" s="1008" t="str">
        <f>+VLOOKUP(Data_Validation!$A81,BV_Data_An_Cour!$L:$Q,6,0)</f>
        <v>1-Mémo</v>
      </c>
      <c r="H81" s="188"/>
      <c r="K81" s="164" t="s">
        <v>29</v>
      </c>
    </row>
    <row r="82" spans="1:11" ht="15" customHeight="1">
      <c r="A82" s="168" t="s">
        <v>2371</v>
      </c>
      <c r="B82" s="169" t="s">
        <v>2370</v>
      </c>
      <c r="C82" s="956"/>
      <c r="D82" s="956"/>
      <c r="E82" s="1008" t="s">
        <v>1917</v>
      </c>
      <c r="F82" s="1008"/>
      <c r="G82" s="1008" t="str">
        <f>+VLOOKUP(Data_Validation!$A82,BV_Data_An_Cour!$L:$Q,6,0)</f>
        <v>1-Mémo</v>
      </c>
      <c r="H82" s="188"/>
      <c r="K82" s="164" t="s">
        <v>31</v>
      </c>
    </row>
    <row r="83" spans="1:11" ht="15" customHeight="1">
      <c r="A83" s="167" t="s">
        <v>2373</v>
      </c>
      <c r="B83" s="166" t="s">
        <v>2372</v>
      </c>
      <c r="C83" s="956"/>
      <c r="D83" s="956"/>
      <c r="E83" s="1008" t="s">
        <v>1917</v>
      </c>
      <c r="F83" s="1008"/>
      <c r="G83" s="1008" t="str">
        <f>+VLOOKUP(Data_Validation!$A83,BV_Data_An_Cour!$L:$Q,6,0)</f>
        <v>1-Mémo</v>
      </c>
      <c r="H83" s="188"/>
      <c r="K83" s="164" t="str">
        <f>Print_Mois!V460</f>
        <v>Location équipement</v>
      </c>
    </row>
    <row r="84" spans="1:11" ht="15" customHeight="1">
      <c r="A84" s="168" t="s">
        <v>2375</v>
      </c>
      <c r="B84" s="169" t="s">
        <v>2374</v>
      </c>
      <c r="C84" s="956"/>
      <c r="D84" s="956"/>
      <c r="E84" s="1008" t="s">
        <v>1917</v>
      </c>
      <c r="F84" s="1011"/>
      <c r="G84" s="1011" t="str">
        <f>+VLOOKUP(Data_Validation!$A84,BV_Data_An_Cour!$L:$Q,6,0)</f>
        <v>1-Mémo</v>
      </c>
      <c r="H84" s="188"/>
      <c r="K84" s="164" t="str">
        <f>Print_Mois!V452</f>
        <v>Loyer</v>
      </c>
    </row>
    <row r="85" spans="1:11" ht="15" customHeight="1">
      <c r="A85" s="169" t="s">
        <v>2377</v>
      </c>
      <c r="B85" s="169" t="s">
        <v>2376</v>
      </c>
      <c r="C85" s="956"/>
      <c r="D85" s="956"/>
      <c r="E85" s="1008" t="s">
        <v>1917</v>
      </c>
      <c r="F85" s="1008"/>
      <c r="G85" s="1008" t="str">
        <f>+VLOOKUP(Data_Validation!$A85,BV_Data_An_Cour!$L:$Q,6,0)</f>
        <v>1-Mémo</v>
      </c>
      <c r="H85" s="188"/>
      <c r="K85" s="164" t="str">
        <f>Print_Mois!C243</f>
        <v>M/O Carrosserie</v>
      </c>
    </row>
    <row r="86" spans="1:11" ht="15" customHeight="1">
      <c r="A86" s="166" t="s">
        <v>2379</v>
      </c>
      <c r="B86" s="166" t="s">
        <v>2378</v>
      </c>
      <c r="C86" s="956"/>
      <c r="D86" s="956"/>
      <c r="E86" s="1008" t="s">
        <v>1917</v>
      </c>
      <c r="F86" s="1008"/>
      <c r="G86" s="1008" t="str">
        <f>+VLOOKUP(Data_Validation!$A86,BV_Data_An_Cour!$L:$Q,6,0)</f>
        <v>1-Mémo</v>
      </c>
      <c r="H86" s="188"/>
      <c r="K86" s="164" t="str">
        <f>Print_Mois!C171</f>
        <v>M/O Client</v>
      </c>
    </row>
    <row r="87" spans="1:11" ht="15" customHeight="1">
      <c r="A87" s="168" t="s">
        <v>2381</v>
      </c>
      <c r="B87" s="169" t="s">
        <v>2380</v>
      </c>
      <c r="C87" s="956"/>
      <c r="D87" s="956"/>
      <c r="E87" s="1008" t="s">
        <v>1917</v>
      </c>
      <c r="F87" s="1011"/>
      <c r="G87" s="1011" t="str">
        <f>+VLOOKUP(Data_Validation!$A87,BV_Data_An_Cour!$L:$Q,6,0)</f>
        <v>1-Mémo</v>
      </c>
      <c r="H87" s="188"/>
      <c r="K87" s="164" t="str">
        <f>Print_Mois!C180</f>
        <v>M/O Esthétique</v>
      </c>
    </row>
    <row r="88" spans="1:11" ht="15" customHeight="1">
      <c r="A88" s="167" t="s">
        <v>2383</v>
      </c>
      <c r="B88" s="166" t="s">
        <v>2382</v>
      </c>
      <c r="C88" s="956"/>
      <c r="D88" s="956"/>
      <c r="E88" s="1008" t="s">
        <v>1917</v>
      </c>
      <c r="F88" s="1008"/>
      <c r="G88" s="1008" t="str">
        <f>+VLOOKUP(Data_Validation!$A88,BV_Data_An_Cour!$L:$Q,6,0)</f>
        <v>1-Mémo</v>
      </c>
      <c r="H88" s="188"/>
      <c r="K88" s="164" t="str">
        <f>+Print_Mois!C246</f>
        <v>M/O Esthétique Carr.</v>
      </c>
    </row>
    <row r="89" spans="1:11" ht="15" customHeight="1">
      <c r="A89" s="167" t="s">
        <v>2385</v>
      </c>
      <c r="B89" s="166" t="s">
        <v>2384</v>
      </c>
      <c r="C89" s="956"/>
      <c r="D89" s="956"/>
      <c r="E89" s="1008" t="s">
        <v>1917</v>
      </c>
      <c r="F89" s="1008"/>
      <c r="G89" s="1008" t="str">
        <f>+VLOOKUP(Data_Validation!$A89,BV_Data_An_Cour!$L:$Q,6,0)</f>
        <v>1-Mémo</v>
      </c>
      <c r="H89" s="188"/>
      <c r="K89" s="164" t="str">
        <f>Print_Mois!C174</f>
        <v>M/O Garantie</v>
      </c>
    </row>
    <row r="90" spans="1:11" ht="15" customHeight="1">
      <c r="A90" s="951" t="s">
        <v>2387</v>
      </c>
      <c r="B90" s="171" t="s">
        <v>2386</v>
      </c>
      <c r="C90" s="956"/>
      <c r="D90" s="956"/>
      <c r="E90" s="1008" t="s">
        <v>1917</v>
      </c>
      <c r="F90" s="1009"/>
      <c r="G90" s="1008" t="str">
        <f>+VLOOKUP(Data_Validation!$A90,BV_Data_An_Cour!$L:$Q,6,0)</f>
        <v>1-Mémo</v>
      </c>
      <c r="H90" s="188"/>
      <c r="K90" s="164" t="str">
        <f>Print_Mois!C177</f>
        <v>M/O Interne</v>
      </c>
    </row>
    <row r="91" spans="1:11" ht="15" customHeight="1">
      <c r="A91" s="168" t="s">
        <v>2393</v>
      </c>
      <c r="B91" s="169" t="s">
        <v>2854</v>
      </c>
      <c r="C91" s="956" t="s">
        <v>1642</v>
      </c>
      <c r="D91" s="956" t="s">
        <v>8</v>
      </c>
      <c r="E91" s="1008" t="s">
        <v>1917</v>
      </c>
      <c r="F91" s="1009"/>
      <c r="G91" s="1008" t="str">
        <f>+VLOOKUP(Data_Validation!$A91,BV_Data_An_Cour!$L:$Q,6,0)</f>
        <v>2-Actifs</v>
      </c>
      <c r="H91" s="188"/>
      <c r="K91" s="164" t="s">
        <v>9</v>
      </c>
    </row>
    <row r="92" spans="1:11" ht="15" customHeight="1">
      <c r="A92" s="1016" t="s">
        <v>2899</v>
      </c>
      <c r="B92" s="1016" t="s">
        <v>2898</v>
      </c>
      <c r="C92" s="956" t="s">
        <v>1642</v>
      </c>
      <c r="D92" s="956" t="s">
        <v>8</v>
      </c>
      <c r="E92" s="1008" t="s">
        <v>1917</v>
      </c>
      <c r="F92" s="1009"/>
      <c r="G92" s="1008" t="e">
        <f>+VLOOKUP(Data_Validation!$A92,BV_Data_An_Cour!$L:$Q,6,0)</f>
        <v>#N/A</v>
      </c>
      <c r="H92" s="188"/>
      <c r="K92" s="164" t="s">
        <v>1700</v>
      </c>
    </row>
    <row r="93" spans="1:11" ht="15" customHeight="1">
      <c r="A93" s="1016" t="s">
        <v>2901</v>
      </c>
      <c r="B93" s="1016" t="s">
        <v>2900</v>
      </c>
      <c r="C93" s="956" t="s">
        <v>1642</v>
      </c>
      <c r="D93" s="956" t="s">
        <v>8</v>
      </c>
      <c r="E93" s="1008" t="s">
        <v>1917</v>
      </c>
      <c r="F93" s="1009"/>
      <c r="G93" s="1008" t="e">
        <f>+VLOOKUP(Data_Validation!$A93,BV_Data_An_Cour!$L:$Q,6,0)</f>
        <v>#N/A</v>
      </c>
      <c r="H93" s="188"/>
      <c r="K93" s="164" t="s">
        <v>58</v>
      </c>
    </row>
    <row r="94" spans="1:11" ht="15" customHeight="1">
      <c r="A94" s="1016" t="s">
        <v>2903</v>
      </c>
      <c r="B94" s="1016" t="s">
        <v>2902</v>
      </c>
      <c r="C94" s="956" t="s">
        <v>1642</v>
      </c>
      <c r="D94" s="956" t="s">
        <v>8</v>
      </c>
      <c r="E94" s="1008" t="s">
        <v>1917</v>
      </c>
      <c r="F94" s="1009"/>
      <c r="G94" s="1008" t="e">
        <f>+VLOOKUP(Data_Validation!$A94,BV_Data_An_Cour!$L:$Q,6,0)</f>
        <v>#N/A</v>
      </c>
      <c r="H94" s="188"/>
      <c r="K94" s="164" t="str">
        <f>Print_Mois!C95</f>
        <v>Non Certifié</v>
      </c>
    </row>
    <row r="95" spans="1:11" ht="15" customHeight="1">
      <c r="A95" s="168" t="s">
        <v>2390</v>
      </c>
      <c r="B95" s="169" t="s">
        <v>2389</v>
      </c>
      <c r="C95" s="956" t="s">
        <v>1642</v>
      </c>
      <c r="D95" s="956" t="s">
        <v>8</v>
      </c>
      <c r="E95" s="1008" t="s">
        <v>1917</v>
      </c>
      <c r="F95" s="1009"/>
      <c r="G95" s="1008" t="e">
        <f>+VLOOKUP(Data_Validation!$A95,BV_Data_An_Cour!$L:$Q,6,0)</f>
        <v>#N/A</v>
      </c>
      <c r="H95" s="188"/>
      <c r="K95" s="164" t="str">
        <f>Print_Mois!C296</f>
        <v>P/A Garantie</v>
      </c>
    </row>
    <row r="96" spans="1:11" ht="15" customHeight="1">
      <c r="A96" s="168" t="s">
        <v>2392</v>
      </c>
      <c r="B96" s="169" t="s">
        <v>2391</v>
      </c>
      <c r="C96" s="956" t="s">
        <v>1642</v>
      </c>
      <c r="D96" s="956" t="s">
        <v>8</v>
      </c>
      <c r="E96" s="1008" t="s">
        <v>1917</v>
      </c>
      <c r="F96" s="1009"/>
      <c r="G96" s="1008" t="str">
        <f>+VLOOKUP(Data_Validation!$A96,BV_Data_An_Cour!$L:$Q,6,0)</f>
        <v>2-Actifs</v>
      </c>
      <c r="H96" s="188"/>
      <c r="K96" s="164" t="str">
        <f>Print_Mois!V442</f>
        <v>Papeterie</v>
      </c>
    </row>
    <row r="97" spans="1:11" ht="15" customHeight="1">
      <c r="A97" s="168" t="s">
        <v>2184</v>
      </c>
      <c r="B97" s="169" t="s">
        <v>2183</v>
      </c>
      <c r="C97" s="956" t="s">
        <v>1642</v>
      </c>
      <c r="D97" s="956" t="s">
        <v>12</v>
      </c>
      <c r="E97" s="1008" t="s">
        <v>1917</v>
      </c>
      <c r="F97" s="1009"/>
      <c r="G97" s="1008" t="str">
        <f>+VLOOKUP(Data_Validation!$A97,BV_Data_An_Cour!$L:$Q,6,0)</f>
        <v>2-Actifs</v>
      </c>
      <c r="H97" s="188"/>
      <c r="K97" s="164" t="str">
        <f>Print_Mois!C295</f>
        <v>Pièces Ro Carrosserie</v>
      </c>
    </row>
    <row r="98" spans="1:11" ht="15" customHeight="1">
      <c r="A98" s="168" t="s">
        <v>2017</v>
      </c>
      <c r="B98" s="169" t="s">
        <v>2027</v>
      </c>
      <c r="C98" s="956" t="s">
        <v>1642</v>
      </c>
      <c r="D98" s="956" t="s">
        <v>13</v>
      </c>
      <c r="E98" s="1008" t="s">
        <v>1917</v>
      </c>
      <c r="F98" s="1009"/>
      <c r="G98" s="1008" t="str">
        <f>+VLOOKUP(Data_Validation!$A98,BV_Data_An_Cour!$L:$Q,6,0)</f>
        <v>2-Actifs</v>
      </c>
      <c r="H98" s="188"/>
      <c r="K98" s="164" t="str">
        <f>Print_Mois!C294</f>
        <v>Pièces Ro Clients</v>
      </c>
    </row>
    <row r="99" spans="1:11" ht="15" customHeight="1">
      <c r="A99" s="168" t="s">
        <v>2016</v>
      </c>
      <c r="B99" s="169" t="s">
        <v>2015</v>
      </c>
      <c r="C99" s="956" t="s">
        <v>1642</v>
      </c>
      <c r="D99" s="956" t="s">
        <v>13</v>
      </c>
      <c r="E99" s="1008" t="s">
        <v>1917</v>
      </c>
      <c r="F99" s="1009"/>
      <c r="G99" s="1008" t="str">
        <f>+VLOOKUP(Data_Validation!$A99,BV_Data_An_Cour!$L:$Q,6,0)</f>
        <v>2-Actifs</v>
      </c>
      <c r="H99" s="188"/>
      <c r="K99" s="164" t="s">
        <v>11</v>
      </c>
    </row>
    <row r="100" spans="1:11" ht="15" customHeight="1">
      <c r="A100" s="168" t="s">
        <v>2103</v>
      </c>
      <c r="B100" s="169" t="s">
        <v>2102</v>
      </c>
      <c r="C100" s="956" t="s">
        <v>1642</v>
      </c>
      <c r="D100" s="956" t="s">
        <v>17</v>
      </c>
      <c r="E100" s="1008" t="s">
        <v>1917</v>
      </c>
      <c r="F100" s="1009"/>
      <c r="G100" s="1008" t="str">
        <f>+VLOOKUP(Data_Validation!$A100,BV_Data_An_Cour!$L:$Q,6,0)</f>
        <v>2-Actifs</v>
      </c>
      <c r="H100" s="188"/>
      <c r="K100" s="164" t="str">
        <f>Print_Mois!V470</f>
        <v>Programme neuf 1</v>
      </c>
    </row>
    <row r="101" spans="1:11" ht="15" customHeight="1">
      <c r="A101" s="168" t="s">
        <v>2738</v>
      </c>
      <c r="B101" s="169" t="s">
        <v>2737</v>
      </c>
      <c r="C101" s="956" t="s">
        <v>1642</v>
      </c>
      <c r="D101" s="956" t="s">
        <v>21</v>
      </c>
      <c r="E101" s="1008" t="s">
        <v>1917</v>
      </c>
      <c r="F101" s="1009"/>
      <c r="G101" s="1008" t="str">
        <f>+VLOOKUP(Data_Validation!$A101,BV_Data_An_Cour!$L:$Q,6,0)</f>
        <v>2-Actifs</v>
      </c>
      <c r="H101" s="188"/>
      <c r="K101" s="164" t="str">
        <f>Print_Mois!V471</f>
        <v>Programme neuf 2</v>
      </c>
    </row>
    <row r="102" spans="1:11" ht="15" customHeight="1">
      <c r="A102" s="168" t="s">
        <v>2835</v>
      </c>
      <c r="B102" s="169" t="s">
        <v>2834</v>
      </c>
      <c r="C102" s="956" t="s">
        <v>1642</v>
      </c>
      <c r="D102" s="956" t="s">
        <v>15</v>
      </c>
      <c r="E102" s="1008" t="s">
        <v>1917</v>
      </c>
      <c r="F102" s="1009"/>
      <c r="G102" s="1008" t="str">
        <f>+VLOOKUP(Data_Validation!$A102,BV_Data_An_Cour!$L:$Q,6,0)</f>
        <v>2-Actifs</v>
      </c>
      <c r="H102" s="188"/>
      <c r="K102" s="164" t="str">
        <f>Print_Mois!V472</f>
        <v>Programme neuf 3</v>
      </c>
    </row>
    <row r="103" spans="1:11" ht="15" customHeight="1">
      <c r="A103" s="168" t="s">
        <v>2061</v>
      </c>
      <c r="B103" s="169" t="s">
        <v>2060</v>
      </c>
      <c r="C103" s="956" t="s">
        <v>1642</v>
      </c>
      <c r="D103" s="956" t="s">
        <v>19</v>
      </c>
      <c r="E103" s="1008" t="s">
        <v>1917</v>
      </c>
      <c r="F103" s="1009"/>
      <c r="G103" s="1008" t="str">
        <f>+VLOOKUP(Data_Validation!$A103,BV_Data_An_Cour!$L:$Q,6,0)</f>
        <v>2-Actifs</v>
      </c>
      <c r="H103" s="188"/>
      <c r="K103" s="164" t="s">
        <v>108</v>
      </c>
    </row>
    <row r="104" spans="1:11" ht="15" customHeight="1">
      <c r="A104" s="168" t="s">
        <v>2784</v>
      </c>
      <c r="B104" s="169" t="s">
        <v>2783</v>
      </c>
      <c r="C104" s="956" t="s">
        <v>1642</v>
      </c>
      <c r="D104" s="956" t="s">
        <v>1931</v>
      </c>
      <c r="E104" s="1008" t="s">
        <v>1917</v>
      </c>
      <c r="F104" s="1009"/>
      <c r="G104" s="1008" t="str">
        <f>+VLOOKUP(Data_Validation!$A104,BV_Data_An_Cour!$L:$Q,6,0)</f>
        <v>2-Actifs</v>
      </c>
      <c r="H104" s="188"/>
      <c r="K104" s="164" t="s">
        <v>121</v>
      </c>
    </row>
    <row r="105" spans="1:11" ht="15" customHeight="1">
      <c r="A105" s="168" t="s">
        <v>2021</v>
      </c>
      <c r="B105" s="169" t="s">
        <v>2020</v>
      </c>
      <c r="C105" s="956" t="s">
        <v>1642</v>
      </c>
      <c r="D105" s="956" t="s">
        <v>15</v>
      </c>
      <c r="E105" s="1008" t="s">
        <v>1917</v>
      </c>
      <c r="F105" s="1009"/>
      <c r="G105" s="1008" t="str">
        <f>+VLOOKUP(Data_Validation!$A105,BV_Data_An_Cour!$L:$Q,6,0)</f>
        <v>2-Actifs</v>
      </c>
      <c r="H105" s="188"/>
      <c r="K105" s="164" t="str">
        <f>Print_Mois!C19</f>
        <v>Rachat bail</v>
      </c>
    </row>
    <row r="106" spans="1:11" ht="15" customHeight="1">
      <c r="A106" s="1016" t="s">
        <v>2905</v>
      </c>
      <c r="B106" s="1016" t="s">
        <v>2904</v>
      </c>
      <c r="C106" s="956" t="s">
        <v>1642</v>
      </c>
      <c r="D106" s="956" t="s">
        <v>25</v>
      </c>
      <c r="E106" s="1008" t="s">
        <v>1917</v>
      </c>
      <c r="F106" s="1009"/>
      <c r="G106" s="1008" t="e">
        <f>+VLOOKUP(Data_Validation!$A106,BV_Data_An_Cour!$L:$Q,6,0)</f>
        <v>#N/A</v>
      </c>
      <c r="H106" s="188"/>
      <c r="K106" s="164" t="s">
        <v>25</v>
      </c>
    </row>
    <row r="107" spans="1:11" ht="15" customHeight="1">
      <c r="A107" s="168" t="s">
        <v>2622</v>
      </c>
      <c r="B107" s="169" t="s">
        <v>2621</v>
      </c>
      <c r="C107" s="956" t="s">
        <v>1642</v>
      </c>
      <c r="D107" s="956" t="s">
        <v>1931</v>
      </c>
      <c r="E107" s="1008" t="s">
        <v>1917</v>
      </c>
      <c r="F107" s="1009"/>
      <c r="G107" s="1008" t="e">
        <f>+VLOOKUP(Data_Validation!$A107,BV_Data_An_Cour!$L:$Q,6,0)</f>
        <v>#N/A</v>
      </c>
      <c r="H107" s="188"/>
      <c r="K107" s="164" t="s">
        <v>21</v>
      </c>
    </row>
    <row r="108" spans="1:11" ht="15" customHeight="1">
      <c r="A108" s="168" t="s">
        <v>2823</v>
      </c>
      <c r="B108" s="169" t="s">
        <v>2822</v>
      </c>
      <c r="C108" s="956" t="s">
        <v>1642</v>
      </c>
      <c r="D108" s="956" t="s">
        <v>1931</v>
      </c>
      <c r="E108" s="1008" t="s">
        <v>1917</v>
      </c>
      <c r="F108" s="1009"/>
      <c r="G108" s="1008" t="str">
        <f>+VLOOKUP(Data_Validation!$A108,BV_Data_An_Cour!$L:$Q,6,0)</f>
        <v>2-Actifs</v>
      </c>
      <c r="H108" s="188"/>
      <c r="K108" s="164" t="s">
        <v>12</v>
      </c>
    </row>
    <row r="109" spans="1:11" ht="15" customHeight="1">
      <c r="A109" s="168" t="s">
        <v>2867</v>
      </c>
      <c r="B109" s="169" t="s">
        <v>2866</v>
      </c>
      <c r="C109" s="956" t="s">
        <v>1642</v>
      </c>
      <c r="D109" s="956" t="s">
        <v>17</v>
      </c>
      <c r="E109" s="1008" t="s">
        <v>1917</v>
      </c>
      <c r="F109" s="1009"/>
      <c r="G109" s="1010" t="str">
        <f>+VLOOKUP(Data_Validation!$A109,BV_Data_An_Cour!$L:$Q,6,0)</f>
        <v>2-Actifs</v>
      </c>
      <c r="H109" s="188"/>
      <c r="K109" s="164" t="s">
        <v>19</v>
      </c>
    </row>
    <row r="110" spans="1:11" ht="15" customHeight="1">
      <c r="A110" s="168" t="s">
        <v>2110</v>
      </c>
      <c r="B110" s="169" t="s">
        <v>2109</v>
      </c>
      <c r="C110" s="956" t="s">
        <v>1642</v>
      </c>
      <c r="D110" s="956" t="s">
        <v>29</v>
      </c>
      <c r="E110" s="1008" t="s">
        <v>1917</v>
      </c>
      <c r="F110" s="1009"/>
      <c r="G110" s="1008" t="str">
        <f>+VLOOKUP(Data_Validation!$A110,BV_Data_An_Cour!$L:$Q,6,0)</f>
        <v>2-Actifs</v>
      </c>
      <c r="H110" s="188"/>
      <c r="K110" s="164" t="s">
        <v>15</v>
      </c>
    </row>
    <row r="111" spans="1:11" ht="15" customHeight="1">
      <c r="A111" s="168" t="s">
        <v>2119</v>
      </c>
      <c r="B111" s="169" t="s">
        <v>2118</v>
      </c>
      <c r="C111" s="956" t="s">
        <v>1642</v>
      </c>
      <c r="D111" s="956" t="s">
        <v>29</v>
      </c>
      <c r="E111" s="1008" t="s">
        <v>1917</v>
      </c>
      <c r="F111" s="1009"/>
      <c r="G111" s="1008" t="str">
        <f>+VLOOKUP(Data_Validation!$A111,BV_Data_An_Cour!$L:$Q,6,0)</f>
        <v>2-Actifs</v>
      </c>
      <c r="H111" s="188"/>
      <c r="K111" s="164" t="s">
        <v>17</v>
      </c>
    </row>
    <row r="112" spans="1:11" ht="15" customHeight="1">
      <c r="A112" s="168" t="s">
        <v>2762</v>
      </c>
      <c r="B112" s="169" t="s">
        <v>2761</v>
      </c>
      <c r="C112" s="956" t="s">
        <v>1642</v>
      </c>
      <c r="D112" s="956" t="s">
        <v>31</v>
      </c>
      <c r="E112" s="1008" t="s">
        <v>1917</v>
      </c>
      <c r="F112" s="1009"/>
      <c r="G112" s="1008" t="str">
        <f>+VLOOKUP(Data_Validation!$A112,BV_Data_An_Cour!$L:$Q,6,0)</f>
        <v>2-Actifs</v>
      </c>
      <c r="H112" s="188"/>
      <c r="K112" s="164" t="s">
        <v>13</v>
      </c>
    </row>
    <row r="113" spans="1:11" ht="15" customHeight="1">
      <c r="A113" s="168" t="s">
        <v>2481</v>
      </c>
      <c r="B113" s="169" t="s">
        <v>2826</v>
      </c>
      <c r="C113" s="956" t="s">
        <v>1642</v>
      </c>
      <c r="D113" s="956" t="s">
        <v>31</v>
      </c>
      <c r="E113" s="1008" t="s">
        <v>1917</v>
      </c>
      <c r="F113" s="1009"/>
      <c r="G113" s="1008" t="str">
        <f>+VLOOKUP(Data_Validation!$A113,BV_Data_An_Cour!$L:$Q,6,0)</f>
        <v>2-Actifs</v>
      </c>
      <c r="H113" s="188"/>
      <c r="K113" s="164" t="s">
        <v>184</v>
      </c>
    </row>
    <row r="114" spans="1:11" ht="15" customHeight="1">
      <c r="A114" s="168" t="s">
        <v>2869</v>
      </c>
      <c r="B114" s="169" t="s">
        <v>2868</v>
      </c>
      <c r="C114" s="956" t="s">
        <v>1642</v>
      </c>
      <c r="D114" s="956" t="s">
        <v>29</v>
      </c>
      <c r="E114" s="1008" t="s">
        <v>1917</v>
      </c>
      <c r="F114" s="1009"/>
      <c r="G114" s="1010" t="str">
        <f>+VLOOKUP(Data_Validation!$A114,BV_Data_An_Cour!$L:$Q,6,0)</f>
        <v>2-Actifs</v>
      </c>
      <c r="H114" s="188"/>
      <c r="K114" s="164" t="str">
        <f>Print_Mois!V459</f>
        <v>Réparation équipement</v>
      </c>
    </row>
    <row r="115" spans="1:11" ht="15" customHeight="1">
      <c r="A115" s="168" t="s">
        <v>2871</v>
      </c>
      <c r="B115" s="169" t="s">
        <v>2870</v>
      </c>
      <c r="C115" s="956" t="s">
        <v>1642</v>
      </c>
      <c r="D115" s="956" t="s">
        <v>29</v>
      </c>
      <c r="E115" s="1008" t="s">
        <v>1917</v>
      </c>
      <c r="F115" s="1009"/>
      <c r="G115" s="1010" t="str">
        <f>+VLOOKUP(Data_Validation!$A115,BV_Data_An_Cour!$L:$Q,6,0)</f>
        <v>2-Actifs</v>
      </c>
      <c r="H115" s="188"/>
      <c r="K115" s="164" t="s">
        <v>1712</v>
      </c>
    </row>
    <row r="116" spans="1:11" ht="15" customHeight="1">
      <c r="A116" s="168" t="s">
        <v>2033</v>
      </c>
      <c r="B116" s="169" t="s">
        <v>2032</v>
      </c>
      <c r="C116" s="956" t="s">
        <v>1642</v>
      </c>
      <c r="D116" s="956" t="s">
        <v>33</v>
      </c>
      <c r="E116" s="1008" t="s">
        <v>1917</v>
      </c>
      <c r="F116" s="1009"/>
      <c r="G116" s="1008" t="str">
        <f>+VLOOKUP(Data_Validation!$A116,BV_Data_An_Cour!$L:$Q,6,0)</f>
        <v>2-Actifs</v>
      </c>
      <c r="H116" s="188"/>
      <c r="K116" s="164" t="str">
        <f>Print_Mois!C23</f>
        <v>Rev. Autres</v>
      </c>
    </row>
    <row r="117" spans="1:11" ht="15" customHeight="1">
      <c r="A117" s="168" t="s">
        <v>2874</v>
      </c>
      <c r="B117" s="169" t="s">
        <v>2873</v>
      </c>
      <c r="C117" s="956" t="s">
        <v>1642</v>
      </c>
      <c r="D117" s="956" t="s">
        <v>33</v>
      </c>
      <c r="E117" s="1008" t="s">
        <v>1917</v>
      </c>
      <c r="F117" s="1009"/>
      <c r="G117" s="1010" t="str">
        <f>+VLOOKUP(Data_Validation!$A117,BV_Data_An_Cour!$L:$Q,6,0)</f>
        <v>2-Actifs</v>
      </c>
      <c r="H117" s="188"/>
      <c r="K117" s="164" t="str">
        <f>Print_Mois!C21</f>
        <v>Rev. Finances</v>
      </c>
    </row>
    <row r="118" spans="1:11" ht="15" customHeight="1">
      <c r="A118" s="168" t="s">
        <v>2825</v>
      </c>
      <c r="B118" s="169" t="s">
        <v>2824</v>
      </c>
      <c r="C118" s="956" t="s">
        <v>1642</v>
      </c>
      <c r="D118" s="956" t="s">
        <v>33</v>
      </c>
      <c r="E118" s="1008" t="s">
        <v>1917</v>
      </c>
      <c r="F118" s="1009"/>
      <c r="G118" s="1008" t="str">
        <f>+VLOOKUP(Data_Validation!$A118,BV_Data_An_Cour!$L:$Q,6,0)</f>
        <v>2-Actifs</v>
      </c>
      <c r="H118" s="188"/>
      <c r="K118" s="164" t="str">
        <f>Print_Mois!C22</f>
        <v>Rev. Protections</v>
      </c>
    </row>
    <row r="119" spans="1:11" ht="15" customHeight="1">
      <c r="A119" s="168" t="s">
        <v>2741</v>
      </c>
      <c r="B119" s="169" t="s">
        <v>2740</v>
      </c>
      <c r="C119" s="956" t="s">
        <v>1642</v>
      </c>
      <c r="D119" s="956" t="s">
        <v>33</v>
      </c>
      <c r="E119" s="1008" t="s">
        <v>1917</v>
      </c>
      <c r="F119" s="1009"/>
      <c r="G119" s="1008" t="str">
        <f>+VLOOKUP(Data_Validation!$A119,BV_Data_An_Cour!$L:$Q,6,0)</f>
        <v>2-Actifs</v>
      </c>
      <c r="H119" s="188"/>
      <c r="K119" s="164" t="str">
        <f>Print_Mois!V468</f>
        <v>Revenus autres</v>
      </c>
    </row>
    <row r="120" spans="1:11" ht="15" customHeight="1">
      <c r="A120" s="168" t="s">
        <v>2590</v>
      </c>
      <c r="B120" s="169" t="s">
        <v>2589</v>
      </c>
      <c r="C120" s="956" t="s">
        <v>1642</v>
      </c>
      <c r="D120" s="956" t="s">
        <v>39</v>
      </c>
      <c r="E120" s="1008" t="s">
        <v>1917</v>
      </c>
      <c r="F120" s="1009"/>
      <c r="G120" s="1008" t="str">
        <f>+VLOOKUP(Data_Validation!$A120,BV_Data_An_Cour!$L:$Q,6,0)</f>
        <v>2-Actifs</v>
      </c>
      <c r="H120" s="188"/>
      <c r="K120" s="164" t="s">
        <v>36</v>
      </c>
    </row>
    <row r="121" spans="1:11" ht="15" customHeight="1">
      <c r="A121" s="168" t="s">
        <v>2764</v>
      </c>
      <c r="B121" s="169" t="s">
        <v>2763</v>
      </c>
      <c r="C121" s="956" t="s">
        <v>1642</v>
      </c>
      <c r="D121" s="956" t="s">
        <v>41</v>
      </c>
      <c r="E121" s="1008" t="s">
        <v>1917</v>
      </c>
      <c r="F121" s="1009"/>
      <c r="G121" s="1008" t="str">
        <f>+VLOOKUP(Data_Validation!$A121,BV_Data_An_Cour!$L:$Q,6,0)</f>
        <v>2-Actifs</v>
      </c>
      <c r="H121" s="188"/>
      <c r="K121" s="164" t="str">
        <f>Print_Mois!V422</f>
        <v>Salaires autres</v>
      </c>
    </row>
    <row r="122" spans="1:11" ht="15" customHeight="1">
      <c r="A122" s="168" t="s">
        <v>2141</v>
      </c>
      <c r="B122" s="169" t="s">
        <v>2140</v>
      </c>
      <c r="C122" s="956" t="s">
        <v>1642</v>
      </c>
      <c r="D122" s="956" t="s">
        <v>33</v>
      </c>
      <c r="E122" s="1008" t="s">
        <v>1917</v>
      </c>
      <c r="F122" s="1009"/>
      <c r="G122" s="1008" t="str">
        <f>+VLOOKUP(Data_Validation!$A122,BV_Data_An_Cour!$L:$Q,6,0)</f>
        <v>2-Actifs</v>
      </c>
      <c r="H122" s="188"/>
      <c r="K122" s="164" t="str">
        <f>Print_Mois!V420</f>
        <v>Salaires cadres</v>
      </c>
    </row>
    <row r="123" spans="1:11" ht="15" customHeight="1">
      <c r="A123" s="168">
        <v>1496</v>
      </c>
      <c r="B123" s="169" t="s">
        <v>2863</v>
      </c>
      <c r="C123" s="956" t="s">
        <v>1642</v>
      </c>
      <c r="D123" s="956" t="s">
        <v>33</v>
      </c>
      <c r="E123" s="1008" t="s">
        <v>1917</v>
      </c>
      <c r="F123" s="1009"/>
      <c r="G123" s="1010" t="e">
        <f>+VLOOKUP(Data_Validation!$A123,BV_Data_An_Cour!$L:$Q,6,0)</f>
        <v>#N/A</v>
      </c>
      <c r="H123" s="188"/>
      <c r="K123" s="164" t="str">
        <f>Print_Mois!C43</f>
        <v>Salaires commis</v>
      </c>
    </row>
    <row r="124" spans="1:11" ht="15" customHeight="1">
      <c r="A124" s="168" t="s">
        <v>2692</v>
      </c>
      <c r="B124" s="169" t="s">
        <v>2691</v>
      </c>
      <c r="C124" s="956" t="s">
        <v>1642</v>
      </c>
      <c r="D124" s="956" t="s">
        <v>33</v>
      </c>
      <c r="E124" s="1008" t="s">
        <v>1917</v>
      </c>
      <c r="F124" s="1009"/>
      <c r="G124" s="1008" t="str">
        <f>+VLOOKUP(Data_Validation!$A124,BV_Data_An_Cour!$L:$Q,6,0)</f>
        <v>2-Actifs</v>
      </c>
      <c r="H124" s="188"/>
      <c r="K124" s="164" t="str">
        <f>Print_Mois!V421</f>
        <v>Salaires commis</v>
      </c>
    </row>
    <row r="125" spans="1:11" ht="15" customHeight="1">
      <c r="A125" s="168" t="s">
        <v>2105</v>
      </c>
      <c r="B125" s="169" t="s">
        <v>2104</v>
      </c>
      <c r="C125" s="956" t="s">
        <v>1642</v>
      </c>
      <c r="D125" s="956" t="s">
        <v>43</v>
      </c>
      <c r="E125" s="1008" t="s">
        <v>1917</v>
      </c>
      <c r="F125" s="1009"/>
      <c r="G125" s="1008" t="str">
        <f>+VLOOKUP(Data_Validation!$A125,BV_Data_An_Cour!$L:$Q,6,0)</f>
        <v>2-Actifs</v>
      </c>
      <c r="H125" s="188"/>
      <c r="K125" s="164" t="str">
        <f>Print_Mois!V427</f>
        <v>Salaires en absences</v>
      </c>
    </row>
    <row r="126" spans="1:11" ht="15" customHeight="1">
      <c r="A126" s="168" t="s">
        <v>2131</v>
      </c>
      <c r="B126" s="169" t="s">
        <v>2130</v>
      </c>
      <c r="C126" s="956" t="s">
        <v>1642</v>
      </c>
      <c r="D126" s="956" t="s">
        <v>43</v>
      </c>
      <c r="E126" s="1008" t="s">
        <v>1917</v>
      </c>
      <c r="F126" s="1009"/>
      <c r="G126" s="1008" t="e">
        <f>+VLOOKUP(Data_Validation!$A126,BV_Data_An_Cour!$L:$Q,6,0)</f>
        <v>#N/A</v>
      </c>
      <c r="H126" s="188"/>
      <c r="K126" s="164" t="str">
        <f>Print_Mois!V419</f>
        <v>Salaires propriétaire</v>
      </c>
    </row>
    <row r="127" spans="1:11" ht="15" customHeight="1">
      <c r="A127" s="166" t="s">
        <v>2807</v>
      </c>
      <c r="B127" s="166" t="s">
        <v>2806</v>
      </c>
      <c r="C127" s="956" t="s">
        <v>1642</v>
      </c>
      <c r="D127" s="956" t="s">
        <v>43</v>
      </c>
      <c r="E127" s="1008" t="s">
        <v>1917</v>
      </c>
      <c r="F127" s="1009"/>
      <c r="G127" s="1008" t="str">
        <f>+VLOOKUP(Data_Validation!$A127,BV_Data_An_Cour!$L:$Q,6,0)</f>
        <v>2-Actifs</v>
      </c>
      <c r="H127" s="188"/>
      <c r="K127" s="164" t="str">
        <f>Print_Mois!V423</f>
        <v>Salaires spécialistes</v>
      </c>
    </row>
    <row r="128" spans="1:11" ht="15" customHeight="1">
      <c r="A128" s="166" t="s">
        <v>2395</v>
      </c>
      <c r="B128" s="166" t="s">
        <v>2394</v>
      </c>
      <c r="C128" s="956" t="s">
        <v>1642</v>
      </c>
      <c r="D128" s="956" t="s">
        <v>43</v>
      </c>
      <c r="E128" s="1008" t="s">
        <v>1917</v>
      </c>
      <c r="F128" s="1009"/>
      <c r="G128" s="1008" t="e">
        <f>+VLOOKUP(Data_Validation!$A128,BV_Data_An_Cour!$L:$Q,6,0)</f>
        <v>#N/A</v>
      </c>
      <c r="H128" s="188"/>
      <c r="K128" s="164" t="str">
        <f>Print_Mois!C34</f>
        <v>Service gratuit 1</v>
      </c>
    </row>
    <row r="129" spans="1:29" ht="15" customHeight="1">
      <c r="A129" s="166" t="s">
        <v>2643</v>
      </c>
      <c r="B129" s="166" t="s">
        <v>2642</v>
      </c>
      <c r="C129" s="956" t="s">
        <v>1642</v>
      </c>
      <c r="D129" s="956" t="s">
        <v>43</v>
      </c>
      <c r="E129" s="1008" t="s">
        <v>1917</v>
      </c>
      <c r="F129" s="1009"/>
      <c r="G129" s="1008" t="str">
        <f>+VLOOKUP(Data_Validation!$A129,BV_Data_An_Cour!$L:$Q,6,0)</f>
        <v>2-Actifs</v>
      </c>
      <c r="H129" s="188"/>
      <c r="K129" s="164" t="str">
        <f>Print_Mois!V434</f>
        <v>Service gratuit 2</v>
      </c>
    </row>
    <row r="130" spans="1:29" ht="15" customHeight="1">
      <c r="A130" s="168" t="s">
        <v>2153</v>
      </c>
      <c r="B130" s="169" t="s">
        <v>2152</v>
      </c>
      <c r="C130" s="956" t="s">
        <v>1642</v>
      </c>
      <c r="D130" s="956" t="s">
        <v>43</v>
      </c>
      <c r="E130" s="1008" t="s">
        <v>1917</v>
      </c>
      <c r="F130" s="1009"/>
      <c r="G130" s="1008" t="str">
        <f>+VLOOKUP(Data_Validation!$A130,BV_Data_An_Cour!$L:$Q,6,0)</f>
        <v>2-Actifs</v>
      </c>
      <c r="H130" s="188"/>
      <c r="I130" s="2"/>
      <c r="J130" s="2"/>
      <c r="K130" s="164" t="str">
        <f>Print_Mois!V438</f>
        <v>Services extérieurs</v>
      </c>
      <c r="L130" s="2"/>
      <c r="M130" s="2"/>
      <c r="P130" s="2"/>
      <c r="Q130" s="2"/>
      <c r="R130" s="2"/>
      <c r="S130" s="2"/>
      <c r="T130" s="2"/>
      <c r="U130" s="2"/>
      <c r="V130" s="2"/>
      <c r="W130" s="2"/>
      <c r="X130" s="2"/>
      <c r="Y130" s="2"/>
      <c r="Z130" s="2"/>
      <c r="AA130" s="2"/>
      <c r="AB130" s="2"/>
      <c r="AC130" s="2"/>
    </row>
    <row r="131" spans="1:29" ht="15" customHeight="1">
      <c r="A131" s="168" t="s">
        <v>2397</v>
      </c>
      <c r="B131" s="169" t="s">
        <v>2396</v>
      </c>
      <c r="C131" s="956" t="s">
        <v>1642</v>
      </c>
      <c r="D131" s="956" t="s">
        <v>43</v>
      </c>
      <c r="E131" s="1008" t="s">
        <v>1917</v>
      </c>
      <c r="F131" s="1009"/>
      <c r="G131" s="1008" t="e">
        <f>+VLOOKUP(Data_Validation!$A131,BV_Data_An_Cour!$L:$Q,6,0)</f>
        <v>#N/A</v>
      </c>
      <c r="H131" s="188"/>
      <c r="K131" s="164" t="s">
        <v>41</v>
      </c>
    </row>
    <row r="132" spans="1:29" ht="15" customHeight="1">
      <c r="A132" s="168">
        <v>1524</v>
      </c>
      <c r="B132" s="169" t="s">
        <v>2857</v>
      </c>
      <c r="C132" s="956" t="s">
        <v>1642</v>
      </c>
      <c r="D132" s="956" t="s">
        <v>43</v>
      </c>
      <c r="E132" s="1008" t="s">
        <v>1917</v>
      </c>
      <c r="F132" s="1009"/>
      <c r="G132" s="1010" t="e">
        <f>+VLOOKUP(Data_Validation!$A132,BV_Data_An_Cour!$L:$Q,6,0)</f>
        <v>#N/A</v>
      </c>
      <c r="H132" s="188"/>
      <c r="K132" s="164" t="str">
        <f>Print_Mois!C187</f>
        <v>Sous-traitement</v>
      </c>
    </row>
    <row r="133" spans="1:29" ht="15" customHeight="1">
      <c r="A133" s="168" t="s">
        <v>2125</v>
      </c>
      <c r="B133" s="169" t="s">
        <v>2124</v>
      </c>
      <c r="C133" s="956" t="s">
        <v>1642</v>
      </c>
      <c r="D133" s="956" t="s">
        <v>40</v>
      </c>
      <c r="E133" s="1008" t="s">
        <v>1917</v>
      </c>
      <c r="F133" s="1009"/>
      <c r="G133" s="1008" t="e">
        <f>+VLOOKUP(Data_Validation!$A133,BV_Data_An_Cour!$L:$Q,6,0)</f>
        <v>#N/A</v>
      </c>
      <c r="H133" s="188"/>
      <c r="K133" s="164" t="s">
        <v>121</v>
      </c>
    </row>
    <row r="134" spans="1:29" ht="15" customHeight="1">
      <c r="A134" s="168" t="s">
        <v>2606</v>
      </c>
      <c r="B134" s="169" t="s">
        <v>2605</v>
      </c>
      <c r="C134" s="956" t="s">
        <v>1642</v>
      </c>
      <c r="D134" s="956" t="s">
        <v>43</v>
      </c>
      <c r="E134" s="1008" t="s">
        <v>1917</v>
      </c>
      <c r="F134" s="1009"/>
      <c r="G134" s="1008" t="e">
        <f>+VLOOKUP(Data_Validation!$A134,BV_Data_An_Cour!$L:$Q,6,0)</f>
        <v>#N/A</v>
      </c>
      <c r="H134" s="188"/>
      <c r="K134" s="164" t="s">
        <v>91</v>
      </c>
    </row>
    <row r="135" spans="1:29" ht="15" customHeight="1">
      <c r="A135" s="168" t="s">
        <v>2182</v>
      </c>
      <c r="B135" s="169" t="s">
        <v>2181</v>
      </c>
      <c r="C135" s="956" t="s">
        <v>1642</v>
      </c>
      <c r="D135" s="956" t="s">
        <v>43</v>
      </c>
      <c r="E135" s="1008" t="s">
        <v>1917</v>
      </c>
      <c r="F135" s="1009"/>
      <c r="G135" s="1008" t="str">
        <f>+VLOOKUP(Data_Validation!$A135,BV_Data_An_Cour!$L:$Q,6,0)</f>
        <v>2-Actifs</v>
      </c>
      <c r="H135" s="188"/>
      <c r="K135" s="164" t="s">
        <v>237</v>
      </c>
    </row>
    <row r="136" spans="1:29" ht="15" customHeight="1">
      <c r="A136" s="168" t="s">
        <v>2200</v>
      </c>
      <c r="B136" s="169" t="s">
        <v>2199</v>
      </c>
      <c r="C136" s="956" t="s">
        <v>1642</v>
      </c>
      <c r="D136" s="956" t="s">
        <v>43</v>
      </c>
      <c r="E136" s="1008" t="s">
        <v>1917</v>
      </c>
      <c r="F136" s="1009"/>
      <c r="G136" s="1008" t="str">
        <f>+VLOOKUP(Data_Validation!$A136,BV_Data_An_Cour!$L:$Q,6,0)</f>
        <v>2-Actifs</v>
      </c>
      <c r="H136" s="188"/>
      <c r="K136" s="164" t="s">
        <v>239</v>
      </c>
    </row>
    <row r="137" spans="1:29" ht="15" customHeight="1">
      <c r="A137" s="168" t="s">
        <v>2399</v>
      </c>
      <c r="B137" s="169" t="s">
        <v>2398</v>
      </c>
      <c r="C137" s="956" t="s">
        <v>1642</v>
      </c>
      <c r="D137" s="956" t="s">
        <v>43</v>
      </c>
      <c r="E137" s="1008" t="s">
        <v>1917</v>
      </c>
      <c r="F137" s="1009"/>
      <c r="G137" s="1008" t="e">
        <f>+VLOOKUP(Data_Validation!$A137,BV_Data_An_Cour!$L:$Q,6,0)</f>
        <v>#N/A</v>
      </c>
      <c r="H137" s="188"/>
      <c r="K137" s="164" t="str">
        <f>Print_Mois!V455</f>
        <v>Taxe sur le capital</v>
      </c>
    </row>
    <row r="138" spans="1:29" ht="15" customHeight="1">
      <c r="A138" s="168" t="s">
        <v>2683</v>
      </c>
      <c r="B138" s="169" t="s">
        <v>2682</v>
      </c>
      <c r="C138" s="956" t="s">
        <v>1642</v>
      </c>
      <c r="D138" s="956" t="s">
        <v>43</v>
      </c>
      <c r="E138" s="1008" t="s">
        <v>1917</v>
      </c>
      <c r="F138" s="1009"/>
      <c r="G138" s="1008" t="e">
        <f>+VLOOKUP(Data_Validation!$A138,BV_Data_An_Cour!$L:$Q,6,0)</f>
        <v>#N/A</v>
      </c>
      <c r="H138" s="188"/>
      <c r="K138" s="164" t="s">
        <v>18</v>
      </c>
    </row>
    <row r="139" spans="1:29" ht="15" customHeight="1">
      <c r="A139" s="168" t="s">
        <v>2786</v>
      </c>
      <c r="B139" s="169" t="s">
        <v>2785</v>
      </c>
      <c r="C139" s="956" t="s">
        <v>1642</v>
      </c>
      <c r="D139" s="956" t="s">
        <v>43</v>
      </c>
      <c r="E139" s="1008" t="s">
        <v>1917</v>
      </c>
      <c r="F139" s="1009"/>
      <c r="G139" s="1008" t="str">
        <f>+VLOOKUP(Data_Validation!$A139,BV_Data_An_Cour!$L:$Q,6,0)</f>
        <v>2-Actifs</v>
      </c>
      <c r="H139" s="188"/>
      <c r="K139" s="164" t="str">
        <f>Print_Mois!V443</f>
        <v>Téléphone</v>
      </c>
    </row>
    <row r="140" spans="1:29" ht="15" customHeight="1">
      <c r="A140" s="168" t="s">
        <v>2202</v>
      </c>
      <c r="B140" s="169" t="s">
        <v>2201</v>
      </c>
      <c r="C140" s="956" t="s">
        <v>1642</v>
      </c>
      <c r="D140" s="956" t="s">
        <v>40</v>
      </c>
      <c r="E140" s="1008" t="s">
        <v>1917</v>
      </c>
      <c r="F140" s="1009"/>
      <c r="G140" s="1008" t="str">
        <f>+VLOOKUP(Data_Validation!$A140,BV_Data_An_Cour!$L:$Q,6,0)</f>
        <v>2-Actifs</v>
      </c>
      <c r="H140" s="188"/>
      <c r="K140" s="164" t="s">
        <v>39</v>
      </c>
    </row>
    <row r="141" spans="1:29" ht="15" customHeight="1">
      <c r="A141" s="168" t="s">
        <v>2187</v>
      </c>
      <c r="B141" s="169" t="s">
        <v>2186</v>
      </c>
      <c r="C141" s="956" t="s">
        <v>1642</v>
      </c>
      <c r="D141" s="956" t="s">
        <v>40</v>
      </c>
      <c r="E141" s="1008" t="s">
        <v>1917</v>
      </c>
      <c r="F141" s="1009"/>
      <c r="G141" s="1008" t="str">
        <f>+VLOOKUP(Data_Validation!$A141,BV_Data_An_Cour!$L:$Q,6,0)</f>
        <v>2-Actifs</v>
      </c>
      <c r="H141" s="188"/>
      <c r="K141" s="164" t="s">
        <v>128</v>
      </c>
    </row>
    <row r="142" spans="1:29" ht="15" customHeight="1">
      <c r="A142" s="168" t="s">
        <v>2123</v>
      </c>
      <c r="B142" s="169" t="s">
        <v>2122</v>
      </c>
      <c r="C142" s="956" t="s">
        <v>1642</v>
      </c>
      <c r="D142" s="956" t="s">
        <v>43</v>
      </c>
      <c r="E142" s="1008" t="s">
        <v>1917</v>
      </c>
      <c r="F142" s="1009"/>
      <c r="G142" s="1008" t="str">
        <f>+VLOOKUP(Data_Validation!$A142,BV_Data_An_Cour!$L:$Q,6,0)</f>
        <v>2-Actifs</v>
      </c>
      <c r="H142" s="188"/>
      <c r="K142" s="164" t="str">
        <f>Print_Mois!C99</f>
        <v>Ventes au Gros</v>
      </c>
    </row>
    <row r="143" spans="1:29" ht="15" customHeight="1">
      <c r="A143" s="168" t="s">
        <v>2117</v>
      </c>
      <c r="B143" s="169" t="s">
        <v>2116</v>
      </c>
      <c r="C143" s="956" t="s">
        <v>1642</v>
      </c>
      <c r="D143" s="956" t="s">
        <v>43</v>
      </c>
      <c r="E143" s="1008" t="s">
        <v>1917</v>
      </c>
      <c r="F143" s="1009"/>
      <c r="G143" s="1008" t="str">
        <f>+VLOOKUP(Data_Validation!$A143,BV_Data_An_Cour!$L:$Q,6,0)</f>
        <v>2-Actifs</v>
      </c>
      <c r="H143" s="188"/>
      <c r="K143" s="164" t="str">
        <f>Print_Mois!C299</f>
        <v>Ventes de Gros</v>
      </c>
    </row>
    <row r="144" spans="1:29" ht="15" customHeight="1">
      <c r="A144" s="168" t="s">
        <v>2143</v>
      </c>
      <c r="B144" s="169" t="s">
        <v>2142</v>
      </c>
      <c r="C144" s="956" t="s">
        <v>1642</v>
      </c>
      <c r="D144" s="956" t="s">
        <v>43</v>
      </c>
      <c r="E144" s="1008" t="s">
        <v>1917</v>
      </c>
      <c r="F144" s="1009"/>
      <c r="G144" s="1008" t="e">
        <f>+VLOOKUP(Data_Validation!$A144,BV_Data_An_Cour!$L:$Q,6,0)</f>
        <v>#N/A</v>
      </c>
      <c r="H144" s="188"/>
      <c r="K144" s="164" t="s">
        <v>181</v>
      </c>
    </row>
    <row r="145" spans="1:11" ht="15" customHeight="1">
      <c r="A145" s="168" t="s">
        <v>2178</v>
      </c>
      <c r="B145" s="169" t="s">
        <v>2177</v>
      </c>
      <c r="C145" s="956" t="s">
        <v>1642</v>
      </c>
      <c r="D145" s="956" t="s">
        <v>43</v>
      </c>
      <c r="E145" s="1008" t="s">
        <v>1917</v>
      </c>
      <c r="F145" s="1009"/>
      <c r="G145" s="1008" t="str">
        <f>+VLOOKUP(Data_Validation!$A145,BV_Data_An_Cour!$L:$Q,6,0)</f>
        <v>2-Actifs</v>
      </c>
      <c r="H145" s="188"/>
      <c r="K145" s="164" t="str">
        <f>Print_Mois!C297</f>
        <v>Ventes Internes</v>
      </c>
    </row>
    <row r="146" spans="1:11" ht="15" customHeight="1">
      <c r="A146" s="168" t="s">
        <v>2804</v>
      </c>
      <c r="B146" s="169" t="s">
        <v>2803</v>
      </c>
      <c r="C146" s="956" t="s">
        <v>1642</v>
      </c>
      <c r="D146" s="956" t="s">
        <v>43</v>
      </c>
      <c r="E146" s="1008" t="s">
        <v>1917</v>
      </c>
      <c r="F146" s="1009"/>
      <c r="G146" s="1008" t="str">
        <f>+VLOOKUP(Data_Validation!$A146,BV_Data_An_Cour!$L:$Q,6,0)</f>
        <v>2-Actifs</v>
      </c>
      <c r="H146" s="188"/>
      <c r="K146" s="164" t="str">
        <f>Print_Mois!C306</f>
        <v>Ventes Pneus</v>
      </c>
    </row>
    <row r="147" spans="1:11" ht="15" customHeight="1">
      <c r="A147" s="168" t="s">
        <v>2129</v>
      </c>
      <c r="B147" s="169" t="s">
        <v>478</v>
      </c>
      <c r="C147" s="956" t="s">
        <v>1642</v>
      </c>
      <c r="D147" s="956" t="s">
        <v>43</v>
      </c>
      <c r="E147" s="1008" t="s">
        <v>1917</v>
      </c>
      <c r="F147" s="1009"/>
      <c r="G147" s="1008" t="e">
        <f>+VLOOKUP(Data_Validation!$A147,BV_Data_An_Cour!$L:$Q,6,0)</f>
        <v>#N/A</v>
      </c>
      <c r="H147" s="188"/>
    </row>
    <row r="148" spans="1:11" ht="15" customHeight="1">
      <c r="A148" s="168" t="s">
        <v>2577</v>
      </c>
      <c r="B148" s="169" t="s">
        <v>2576</v>
      </c>
      <c r="C148" s="956" t="s">
        <v>1642</v>
      </c>
      <c r="D148" s="956" t="s">
        <v>43</v>
      </c>
      <c r="E148" s="1008" t="s">
        <v>1917</v>
      </c>
      <c r="F148" s="1009"/>
      <c r="G148" s="1008" t="e">
        <f>+VLOOKUP(Data_Validation!$A148,BV_Data_An_Cour!$L:$Q,6,0)</f>
        <v>#N/A</v>
      </c>
      <c r="H148" s="188"/>
    </row>
    <row r="149" spans="1:11" ht="15" customHeight="1">
      <c r="A149" s="168" t="s">
        <v>2575</v>
      </c>
      <c r="B149" s="169" t="s">
        <v>2574</v>
      </c>
      <c r="C149" s="956" t="s">
        <v>1642</v>
      </c>
      <c r="D149" s="956" t="s">
        <v>43</v>
      </c>
      <c r="E149" s="1008" t="s">
        <v>1917</v>
      </c>
      <c r="F149" s="1009"/>
      <c r="G149" s="1008" t="e">
        <f>+VLOOKUP(Data_Validation!$A149,BV_Data_An_Cour!$L:$Q,6,0)</f>
        <v>#N/A</v>
      </c>
      <c r="H149" s="188"/>
    </row>
    <row r="150" spans="1:11" ht="15" customHeight="1">
      <c r="A150" s="168" t="s">
        <v>2401</v>
      </c>
      <c r="B150" s="169" t="s">
        <v>2400</v>
      </c>
      <c r="C150" s="956" t="s">
        <v>1642</v>
      </c>
      <c r="D150" s="956" t="s">
        <v>53</v>
      </c>
      <c r="E150" s="1008" t="s">
        <v>1917</v>
      </c>
      <c r="F150" s="1009"/>
      <c r="G150" s="1008" t="str">
        <f>+VLOOKUP(Data_Validation!$A150,BV_Data_An_Cour!$L:$Q,6,0)</f>
        <v>2-Actifs</v>
      </c>
      <c r="H150" s="188"/>
    </row>
    <row r="151" spans="1:11" ht="15" customHeight="1">
      <c r="A151" s="168" t="s">
        <v>2157</v>
      </c>
      <c r="B151" s="169" t="s">
        <v>2156</v>
      </c>
      <c r="C151" s="956" t="s">
        <v>1642</v>
      </c>
      <c r="D151" s="956" t="s">
        <v>53</v>
      </c>
      <c r="E151" s="1008" t="s">
        <v>1917</v>
      </c>
      <c r="F151" s="1009"/>
      <c r="G151" s="1008" t="str">
        <f>+VLOOKUP(Data_Validation!$A151,BV_Data_An_Cour!$L:$Q,6,0)</f>
        <v>2-Actifs</v>
      </c>
      <c r="H151" s="188"/>
    </row>
    <row r="152" spans="1:11" ht="15" customHeight="1">
      <c r="A152" s="168" t="s">
        <v>2403</v>
      </c>
      <c r="B152" s="169" t="s">
        <v>2402</v>
      </c>
      <c r="C152" s="956" t="s">
        <v>1642</v>
      </c>
      <c r="D152" s="956" t="s">
        <v>57</v>
      </c>
      <c r="E152" s="1008" t="s">
        <v>1917</v>
      </c>
      <c r="F152" s="1009"/>
      <c r="G152" s="1008" t="str">
        <f>+VLOOKUP(Data_Validation!$A152,BV_Data_An_Cour!$L:$Q,6,0)</f>
        <v>2-Actifs</v>
      </c>
      <c r="H152" s="188"/>
    </row>
    <row r="153" spans="1:11" ht="15" customHeight="1">
      <c r="A153" s="168" t="s">
        <v>2127</v>
      </c>
      <c r="B153" s="169" t="s">
        <v>2126</v>
      </c>
      <c r="C153" s="956" t="s">
        <v>1642</v>
      </c>
      <c r="D153" s="956" t="s">
        <v>57</v>
      </c>
      <c r="E153" s="1008" t="s">
        <v>1917</v>
      </c>
      <c r="F153" s="1009"/>
      <c r="G153" s="1008" t="str">
        <f>+VLOOKUP(Data_Validation!$A153,BV_Data_An_Cour!$L:$Q,6,0)</f>
        <v>2-Actifs</v>
      </c>
      <c r="H153" s="165"/>
    </row>
    <row r="154" spans="1:11" ht="15" customHeight="1">
      <c r="A154" s="168" t="s">
        <v>2405</v>
      </c>
      <c r="B154" s="169" t="s">
        <v>2404</v>
      </c>
      <c r="C154" s="956" t="s">
        <v>1642</v>
      </c>
      <c r="D154" s="956" t="s">
        <v>57</v>
      </c>
      <c r="E154" s="1008" t="s">
        <v>1917</v>
      </c>
      <c r="F154" s="1009"/>
      <c r="G154" s="1008" t="str">
        <f>+VLOOKUP(Data_Validation!$A154,BV_Data_An_Cour!$L:$Q,6,0)</f>
        <v>2-Actifs</v>
      </c>
      <c r="H154" s="165"/>
    </row>
    <row r="155" spans="1:11" ht="15" customHeight="1">
      <c r="A155" s="168" t="s">
        <v>2198</v>
      </c>
      <c r="B155" s="169" t="s">
        <v>2197</v>
      </c>
      <c r="C155" s="956" t="s">
        <v>1642</v>
      </c>
      <c r="D155" s="956" t="s">
        <v>57</v>
      </c>
      <c r="E155" s="1008" t="s">
        <v>1917</v>
      </c>
      <c r="F155" s="1009"/>
      <c r="G155" s="1008" t="str">
        <f>+VLOOKUP(Data_Validation!$A155,BV_Data_An_Cour!$L:$Q,6,0)</f>
        <v>2-Actifs</v>
      </c>
      <c r="H155" s="165"/>
    </row>
    <row r="156" spans="1:11" ht="15" customHeight="1">
      <c r="A156" s="168" t="s">
        <v>2407</v>
      </c>
      <c r="B156" s="169" t="s">
        <v>2406</v>
      </c>
      <c r="C156" s="956" t="s">
        <v>1642</v>
      </c>
      <c r="D156" s="956" t="s">
        <v>60</v>
      </c>
      <c r="E156" s="1008" t="s">
        <v>1917</v>
      </c>
      <c r="F156" s="1009"/>
      <c r="G156" s="1008" t="str">
        <f>+VLOOKUP(Data_Validation!$A156,BV_Data_An_Cour!$L:$Q,6,0)</f>
        <v>2-Actifs</v>
      </c>
      <c r="H156" s="165"/>
    </row>
    <row r="157" spans="1:11" ht="15" customHeight="1">
      <c r="A157" s="168" t="s">
        <v>2571</v>
      </c>
      <c r="B157" s="169" t="s">
        <v>2570</v>
      </c>
      <c r="C157" s="956" t="s">
        <v>1642</v>
      </c>
      <c r="D157" s="956" t="s">
        <v>60</v>
      </c>
      <c r="E157" s="1008" t="s">
        <v>1917</v>
      </c>
      <c r="F157" s="1009"/>
      <c r="G157" s="1008" t="str">
        <f>+VLOOKUP(Data_Validation!$A157,BV_Data_An_Cour!$L:$Q,6,0)</f>
        <v>2-Actifs</v>
      </c>
      <c r="H157" s="165"/>
    </row>
    <row r="158" spans="1:11" ht="15" customHeight="1">
      <c r="A158" s="168" t="s">
        <v>2409</v>
      </c>
      <c r="B158" s="169" t="s">
        <v>2408</v>
      </c>
      <c r="C158" s="956" t="s">
        <v>1642</v>
      </c>
      <c r="D158" s="956" t="s">
        <v>58</v>
      </c>
      <c r="E158" s="1008" t="s">
        <v>1917</v>
      </c>
      <c r="F158" s="1009"/>
      <c r="G158" s="1008" t="str">
        <f>+VLOOKUP(Data_Validation!$A158,BV_Data_An_Cour!$L:$Q,6,0)</f>
        <v>2-Actifs</v>
      </c>
      <c r="H158" s="165"/>
    </row>
    <row r="159" spans="1:11" ht="15" customHeight="1">
      <c r="A159" s="168" t="s">
        <v>2164</v>
      </c>
      <c r="B159" s="169" t="s">
        <v>2163</v>
      </c>
      <c r="C159" s="956" t="s">
        <v>1642</v>
      </c>
      <c r="D159" s="956" t="s">
        <v>58</v>
      </c>
      <c r="E159" s="1008" t="s">
        <v>1917</v>
      </c>
      <c r="F159" s="1009"/>
      <c r="G159" s="1008" t="str">
        <f>+VLOOKUP(Data_Validation!$A159,BV_Data_An_Cour!$L:$Q,6,0)</f>
        <v>2-Actifs</v>
      </c>
      <c r="H159" s="165"/>
    </row>
    <row r="160" spans="1:11" ht="15" customHeight="1">
      <c r="A160" s="168" t="s">
        <v>2411</v>
      </c>
      <c r="B160" s="169" t="s">
        <v>2410</v>
      </c>
      <c r="C160" s="956" t="s">
        <v>1642</v>
      </c>
      <c r="D160" s="956" t="s">
        <v>57</v>
      </c>
      <c r="E160" s="1008" t="s">
        <v>1917</v>
      </c>
      <c r="F160" s="1009"/>
      <c r="G160" s="1008" t="str">
        <f>+VLOOKUP(Data_Validation!$A160,BV_Data_An_Cour!$L:$Q,6,0)</f>
        <v>2-Actifs</v>
      </c>
      <c r="H160" s="165"/>
    </row>
    <row r="161" spans="1:11" ht="15" customHeight="1">
      <c r="A161" s="168" t="s">
        <v>2413</v>
      </c>
      <c r="B161" s="169" t="s">
        <v>2412</v>
      </c>
      <c r="C161" s="956" t="s">
        <v>1642</v>
      </c>
      <c r="D161" s="956" t="s">
        <v>57</v>
      </c>
      <c r="E161" s="1008" t="s">
        <v>1917</v>
      </c>
      <c r="F161" s="1009"/>
      <c r="G161" s="1008" t="str">
        <f>+VLOOKUP(Data_Validation!$A161,BV_Data_An_Cour!$L:$Q,6,0)</f>
        <v>2-Actifs</v>
      </c>
      <c r="H161" s="165"/>
    </row>
    <row r="162" spans="1:11" ht="15" customHeight="1">
      <c r="A162" s="168" t="s">
        <v>2569</v>
      </c>
      <c r="B162" s="169" t="s">
        <v>2568</v>
      </c>
      <c r="C162" s="956" t="s">
        <v>1642</v>
      </c>
      <c r="D162" s="956" t="s">
        <v>59</v>
      </c>
      <c r="E162" s="1008" t="s">
        <v>1917</v>
      </c>
      <c r="F162" s="1009"/>
      <c r="G162" s="1008" t="str">
        <f>+VLOOKUP(Data_Validation!$A162,BV_Data_An_Cour!$L:$Q,6,0)</f>
        <v>2-Actifs</v>
      </c>
      <c r="H162" s="165"/>
    </row>
    <row r="163" spans="1:11" ht="15" customHeight="1">
      <c r="A163" s="168" t="s">
        <v>2155</v>
      </c>
      <c r="B163" s="169" t="s">
        <v>2154</v>
      </c>
      <c r="C163" s="956" t="s">
        <v>1642</v>
      </c>
      <c r="D163" s="956" t="s">
        <v>59</v>
      </c>
      <c r="E163" s="1008" t="s">
        <v>1917</v>
      </c>
      <c r="F163" s="1009"/>
      <c r="G163" s="1008" t="str">
        <f>+VLOOKUP(Data_Validation!$A163,BV_Data_An_Cour!$L:$Q,6,0)</f>
        <v>2-Actifs</v>
      </c>
      <c r="H163" s="165"/>
    </row>
    <row r="164" spans="1:11" ht="15" customHeight="1">
      <c r="A164" s="168" t="s">
        <v>2414</v>
      </c>
      <c r="B164" s="169" t="s">
        <v>822</v>
      </c>
      <c r="C164" s="956" t="s">
        <v>1642</v>
      </c>
      <c r="D164" s="956" t="s">
        <v>62</v>
      </c>
      <c r="E164" s="1008" t="s">
        <v>1917</v>
      </c>
      <c r="F164" s="1009"/>
      <c r="G164" s="1008" t="str">
        <f>+VLOOKUP(Data_Validation!$A164,BV_Data_An_Cour!$L:$Q,6,0)</f>
        <v>2-Actifs</v>
      </c>
      <c r="H164" s="165"/>
    </row>
    <row r="165" spans="1:11" ht="15" customHeight="1">
      <c r="A165" s="168" t="s">
        <v>2196</v>
      </c>
      <c r="B165" s="169" t="s">
        <v>2195</v>
      </c>
      <c r="C165" s="956" t="s">
        <v>1642</v>
      </c>
      <c r="D165" s="956" t="s">
        <v>62</v>
      </c>
      <c r="E165" s="1008" t="s">
        <v>1917</v>
      </c>
      <c r="F165" s="1009"/>
      <c r="G165" s="1008" t="str">
        <f>+VLOOKUP(Data_Validation!$A165,BV_Data_An_Cour!$L:$Q,6,0)</f>
        <v>2-Actifs</v>
      </c>
      <c r="H165" s="165"/>
      <c r="K165" s="2"/>
    </row>
    <row r="166" spans="1:11" ht="15" customHeight="1">
      <c r="A166" s="168" t="s">
        <v>2416</v>
      </c>
      <c r="B166" s="169" t="s">
        <v>2415</v>
      </c>
      <c r="C166" s="956" t="s">
        <v>1642</v>
      </c>
      <c r="D166" s="956" t="s">
        <v>65</v>
      </c>
      <c r="E166" s="1008" t="s">
        <v>1917</v>
      </c>
      <c r="F166" s="1009"/>
      <c r="G166" s="1008" t="str">
        <f>+VLOOKUP(Data_Validation!$A166,BV_Data_An_Cour!$L:$Q,6,0)</f>
        <v>2-Actifs</v>
      </c>
      <c r="H166" s="165"/>
    </row>
    <row r="167" spans="1:11" ht="15" customHeight="1">
      <c r="A167" s="168" t="s">
        <v>2753</v>
      </c>
      <c r="B167" s="169" t="s">
        <v>2752</v>
      </c>
      <c r="C167" s="956" t="s">
        <v>1642</v>
      </c>
      <c r="D167" s="956" t="s">
        <v>25</v>
      </c>
      <c r="E167" s="1008" t="s">
        <v>1917</v>
      </c>
      <c r="F167" s="1009"/>
      <c r="G167" s="1008" t="str">
        <f>+VLOOKUP(Data_Validation!$A167,BV_Data_An_Cour!$L:$Q,6,0)</f>
        <v>2-Actifs</v>
      </c>
      <c r="H167" s="165"/>
    </row>
    <row r="168" spans="1:11" ht="15" customHeight="1">
      <c r="A168" s="168" t="s">
        <v>2847</v>
      </c>
      <c r="B168" s="169" t="s">
        <v>2846</v>
      </c>
      <c r="C168" s="956" t="s">
        <v>1642</v>
      </c>
      <c r="D168" s="956" t="s">
        <v>30</v>
      </c>
      <c r="E168" s="1008" t="s">
        <v>1917</v>
      </c>
      <c r="F168" s="1009"/>
      <c r="G168" s="1008" t="str">
        <f>+VLOOKUP(Data_Validation!$A168,BV_Data_An_Cour!$L:$Q,6,0)</f>
        <v>3-Passifs</v>
      </c>
      <c r="H168" s="165"/>
    </row>
    <row r="169" spans="1:11" ht="15" customHeight="1">
      <c r="A169" s="168" t="s">
        <v>2037</v>
      </c>
      <c r="B169" s="169" t="s">
        <v>2036</v>
      </c>
      <c r="C169" s="956" t="s">
        <v>1642</v>
      </c>
      <c r="D169" s="956" t="s">
        <v>32</v>
      </c>
      <c r="E169" s="1008" t="s">
        <v>1917</v>
      </c>
      <c r="F169" s="1009"/>
      <c r="G169" s="1008" t="str">
        <f>+VLOOKUP(Data_Validation!$A169,BV_Data_An_Cour!$L:$Q,6,0)</f>
        <v>3-Passifs</v>
      </c>
      <c r="H169" s="165"/>
    </row>
    <row r="170" spans="1:11" ht="15" customHeight="1">
      <c r="A170" s="168" t="s">
        <v>2418</v>
      </c>
      <c r="B170" s="169" t="s">
        <v>2417</v>
      </c>
      <c r="C170" s="956" t="s">
        <v>1642</v>
      </c>
      <c r="D170" s="956" t="s">
        <v>11</v>
      </c>
      <c r="E170" s="1008" t="s">
        <v>1917</v>
      </c>
      <c r="F170" s="1009"/>
      <c r="G170" s="1008" t="str">
        <f>+VLOOKUP(Data_Validation!$A170,BV_Data_An_Cour!$L:$Q,6,0)</f>
        <v>3-Passifs</v>
      </c>
      <c r="H170" s="165"/>
    </row>
    <row r="171" spans="1:11" ht="15" customHeight="1">
      <c r="A171" s="169" t="s">
        <v>2204</v>
      </c>
      <c r="B171" s="169" t="s">
        <v>2203</v>
      </c>
      <c r="C171" s="956" t="s">
        <v>1642</v>
      </c>
      <c r="D171" s="956" t="s">
        <v>18</v>
      </c>
      <c r="E171" s="1008" t="s">
        <v>1917</v>
      </c>
      <c r="F171" s="1008"/>
      <c r="G171" s="1008" t="str">
        <f>+VLOOKUP(Data_Validation!$A171,BV_Data_An_Cour!$L:$Q,6,0)</f>
        <v>3-Passifs</v>
      </c>
      <c r="H171" s="165"/>
    </row>
    <row r="172" spans="1:11" ht="15" customHeight="1">
      <c r="A172" s="169" t="s">
        <v>2057</v>
      </c>
      <c r="B172" s="169" t="s">
        <v>2056</v>
      </c>
      <c r="C172" s="956" t="s">
        <v>1642</v>
      </c>
      <c r="D172" s="956" t="s">
        <v>18</v>
      </c>
      <c r="E172" s="1008" t="s">
        <v>1917</v>
      </c>
      <c r="F172" s="1008"/>
      <c r="G172" s="1008" t="str">
        <f>+VLOOKUP(Data_Validation!$A172,BV_Data_An_Cour!$L:$Q,6,0)</f>
        <v>3-Passifs</v>
      </c>
      <c r="H172" s="165"/>
    </row>
    <row r="173" spans="1:11" ht="15" customHeight="1">
      <c r="A173" s="169" t="s">
        <v>2797</v>
      </c>
      <c r="B173" s="169" t="s">
        <v>2796</v>
      </c>
      <c r="C173" s="956" t="s">
        <v>1642</v>
      </c>
      <c r="D173" s="956" t="s">
        <v>18</v>
      </c>
      <c r="E173" s="1008" t="s">
        <v>1917</v>
      </c>
      <c r="F173" s="1008"/>
      <c r="G173" s="1008" t="str">
        <f>+VLOOKUP(Data_Validation!$A173,BV_Data_An_Cour!$L:$Q,6,0)</f>
        <v>3-Passifs</v>
      </c>
      <c r="H173" s="165"/>
    </row>
    <row r="174" spans="1:11" ht="15" customHeight="1">
      <c r="A174" s="169" t="s">
        <v>2066</v>
      </c>
      <c r="B174" s="169" t="s">
        <v>2813</v>
      </c>
      <c r="C174" s="956" t="s">
        <v>1642</v>
      </c>
      <c r="D174" s="956" t="s">
        <v>18</v>
      </c>
      <c r="E174" s="1008" t="s">
        <v>1917</v>
      </c>
      <c r="F174" s="1008"/>
      <c r="G174" s="1008" t="str">
        <f>+VLOOKUP(Data_Validation!$A174,BV_Data_An_Cour!$L:$Q,6,0)</f>
        <v>3-Passifs</v>
      </c>
      <c r="H174" s="165"/>
    </row>
    <row r="175" spans="1:11" ht="15" customHeight="1">
      <c r="A175" s="169" t="s">
        <v>2065</v>
      </c>
      <c r="B175" s="169" t="s">
        <v>2064</v>
      </c>
      <c r="C175" s="956" t="s">
        <v>1642</v>
      </c>
      <c r="D175" s="956" t="s">
        <v>18</v>
      </c>
      <c r="E175" s="1008" t="s">
        <v>1917</v>
      </c>
      <c r="F175" s="1008"/>
      <c r="G175" s="1008" t="str">
        <f>+VLOOKUP(Data_Validation!$A175,BV_Data_An_Cour!$L:$Q,6,0)</f>
        <v>3-Passifs</v>
      </c>
      <c r="H175" s="165"/>
    </row>
    <row r="176" spans="1:11" ht="15" customHeight="1">
      <c r="A176" s="169" t="s">
        <v>2617</v>
      </c>
      <c r="B176" s="169" t="s">
        <v>2616</v>
      </c>
      <c r="C176" s="956" t="s">
        <v>1642</v>
      </c>
      <c r="D176" s="956" t="s">
        <v>18</v>
      </c>
      <c r="E176" s="1008" t="s">
        <v>1917</v>
      </c>
      <c r="F176" s="1008"/>
      <c r="G176" s="1008" t="str">
        <f>+VLOOKUP(Data_Validation!$A176,BV_Data_An_Cour!$L:$Q,6,0)</f>
        <v>3-Passifs</v>
      </c>
      <c r="H176" s="165"/>
    </row>
    <row r="177" spans="1:8" ht="15" customHeight="1">
      <c r="A177" s="169" t="s">
        <v>2819</v>
      </c>
      <c r="B177" s="169" t="s">
        <v>2818</v>
      </c>
      <c r="C177" s="956" t="s">
        <v>1642</v>
      </c>
      <c r="D177" s="956" t="s">
        <v>26</v>
      </c>
      <c r="E177" s="1008" t="s">
        <v>1917</v>
      </c>
      <c r="F177" s="1008"/>
      <c r="G177" s="1008" t="str">
        <f>+VLOOKUP(Data_Validation!$A177,BV_Data_An_Cour!$L:$Q,6,0)</f>
        <v>3-Passifs</v>
      </c>
      <c r="H177" s="165"/>
    </row>
    <row r="178" spans="1:8" ht="15" customHeight="1">
      <c r="A178" s="169" t="s">
        <v>2134</v>
      </c>
      <c r="B178" s="169" t="s">
        <v>2173</v>
      </c>
      <c r="C178" s="956" t="s">
        <v>1642</v>
      </c>
      <c r="D178" s="956" t="s">
        <v>26</v>
      </c>
      <c r="E178" s="1008" t="s">
        <v>1917</v>
      </c>
      <c r="F178" s="1008"/>
      <c r="G178" s="1008" t="str">
        <f>+VLOOKUP(Data_Validation!$A178,BV_Data_An_Cour!$L:$Q,6,0)</f>
        <v>3-Passifs</v>
      </c>
      <c r="H178" s="165"/>
    </row>
    <row r="179" spans="1:8" ht="15" customHeight="1">
      <c r="A179" s="168" t="s">
        <v>2773</v>
      </c>
      <c r="B179" s="169" t="s">
        <v>2772</v>
      </c>
      <c r="C179" s="956" t="s">
        <v>1642</v>
      </c>
      <c r="D179" s="956" t="s">
        <v>26</v>
      </c>
      <c r="E179" s="1008" t="s">
        <v>1917</v>
      </c>
      <c r="F179" s="1009"/>
      <c r="G179" s="1008" t="str">
        <f>+VLOOKUP(Data_Validation!$A179,BV_Data_An_Cour!$L:$Q,6,0)</f>
        <v>3-Passifs</v>
      </c>
      <c r="H179" s="165"/>
    </row>
    <row r="180" spans="1:8" ht="15" customHeight="1">
      <c r="A180" s="168" t="s">
        <v>2747</v>
      </c>
      <c r="B180" s="169" t="s">
        <v>2746</v>
      </c>
      <c r="C180" s="956" t="s">
        <v>1642</v>
      </c>
      <c r="D180" s="956" t="s">
        <v>26</v>
      </c>
      <c r="E180" s="1008" t="s">
        <v>1917</v>
      </c>
      <c r="F180" s="1009"/>
      <c r="G180" s="1008" t="str">
        <f>+VLOOKUP(Data_Validation!$A180,BV_Data_An_Cour!$L:$Q,6,0)</f>
        <v>3-Passifs</v>
      </c>
      <c r="H180" s="165"/>
    </row>
    <row r="181" spans="1:8" ht="15" customHeight="1">
      <c r="A181" s="168" t="s">
        <v>2010</v>
      </c>
      <c r="B181" s="169" t="s">
        <v>2009</v>
      </c>
      <c r="C181" s="956" t="s">
        <v>1642</v>
      </c>
      <c r="D181" s="956" t="s">
        <v>16</v>
      </c>
      <c r="E181" s="1008" t="s">
        <v>1917</v>
      </c>
      <c r="F181" s="1009"/>
      <c r="G181" s="1008" t="str">
        <f>+VLOOKUP(Data_Validation!$A181,BV_Data_An_Cour!$L:$Q,6,0)</f>
        <v>3-Passifs</v>
      </c>
      <c r="H181" s="165"/>
    </row>
    <row r="182" spans="1:8" ht="15" customHeight="1">
      <c r="A182" s="168" t="s">
        <v>2050</v>
      </c>
      <c r="B182" s="169" t="s">
        <v>2049</v>
      </c>
      <c r="C182" s="956" t="s">
        <v>1642</v>
      </c>
      <c r="D182" s="956" t="s">
        <v>26</v>
      </c>
      <c r="E182" s="1008" t="s">
        <v>1917</v>
      </c>
      <c r="F182" s="1009"/>
      <c r="G182" s="1008" t="str">
        <f>+VLOOKUP(Data_Validation!$A182,BV_Data_An_Cour!$L:$Q,6,0)</f>
        <v>3-Passifs</v>
      </c>
      <c r="H182" s="165"/>
    </row>
    <row r="183" spans="1:8" ht="15" customHeight="1">
      <c r="A183" s="168" t="s">
        <v>2133</v>
      </c>
      <c r="B183" s="169" t="s">
        <v>2132</v>
      </c>
      <c r="C183" s="956" t="s">
        <v>1642</v>
      </c>
      <c r="D183" s="956" t="s">
        <v>40</v>
      </c>
      <c r="E183" s="1008" t="s">
        <v>1917</v>
      </c>
      <c r="F183" s="1009"/>
      <c r="G183" s="1008" t="str">
        <f>+VLOOKUP(Data_Validation!$A183,BV_Data_An_Cour!$L:$Q,6,0)</f>
        <v>3-Passifs</v>
      </c>
      <c r="H183" s="165"/>
    </row>
    <row r="184" spans="1:8" ht="15" customHeight="1">
      <c r="A184" s="168" t="s">
        <v>2420</v>
      </c>
      <c r="B184" s="169" t="s">
        <v>2419</v>
      </c>
      <c r="C184" s="956" t="s">
        <v>1642</v>
      </c>
      <c r="D184" s="956" t="s">
        <v>40</v>
      </c>
      <c r="E184" s="1008" t="s">
        <v>1917</v>
      </c>
      <c r="F184" s="1009"/>
      <c r="G184" s="1008" t="str">
        <f>+VLOOKUP(Data_Validation!$A184,BV_Data_An_Cour!$L:$Q,6,0)</f>
        <v>3-Passifs</v>
      </c>
      <c r="H184" s="165"/>
    </row>
    <row r="185" spans="1:8" ht="15" customHeight="1">
      <c r="A185" s="168" t="s">
        <v>2147</v>
      </c>
      <c r="B185" s="169" t="s">
        <v>2146</v>
      </c>
      <c r="C185" s="956" t="s">
        <v>1642</v>
      </c>
      <c r="D185" s="956" t="s">
        <v>40</v>
      </c>
      <c r="E185" s="1008" t="s">
        <v>1917</v>
      </c>
      <c r="F185" s="1009"/>
      <c r="G185" s="1008" t="str">
        <f>+VLOOKUP(Data_Validation!$A185,BV_Data_An_Cour!$L:$Q,6,0)</f>
        <v>3-Passifs</v>
      </c>
      <c r="H185" s="165"/>
    </row>
    <row r="186" spans="1:8" ht="15" customHeight="1">
      <c r="A186" s="168" t="s">
        <v>2162</v>
      </c>
      <c r="B186" s="169" t="s">
        <v>2710</v>
      </c>
      <c r="C186" s="956" t="s">
        <v>1642</v>
      </c>
      <c r="D186" s="956" t="s">
        <v>38</v>
      </c>
      <c r="E186" s="1008" t="s">
        <v>1917</v>
      </c>
      <c r="F186" s="1009"/>
      <c r="G186" s="1008" t="str">
        <f>+VLOOKUP(Data_Validation!$A186,BV_Data_An_Cour!$L:$Q,6,0)</f>
        <v>3-Passifs</v>
      </c>
      <c r="H186" s="165"/>
    </row>
    <row r="187" spans="1:8" ht="15" customHeight="1">
      <c r="A187" s="168" t="s">
        <v>2161</v>
      </c>
      <c r="B187" s="169" t="s">
        <v>2160</v>
      </c>
      <c r="C187" s="956" t="s">
        <v>1642</v>
      </c>
      <c r="D187" s="956" t="s">
        <v>38</v>
      </c>
      <c r="E187" s="1008" t="s">
        <v>1917</v>
      </c>
      <c r="F187" s="1009"/>
      <c r="G187" s="1008" t="str">
        <f>+VLOOKUP(Data_Validation!$A187,BV_Data_An_Cour!$L:$Q,6,0)</f>
        <v>3-Passifs</v>
      </c>
      <c r="H187" s="165"/>
    </row>
    <row r="188" spans="1:8" ht="15" customHeight="1">
      <c r="A188" s="168" t="s">
        <v>2750</v>
      </c>
      <c r="B188" s="169" t="s">
        <v>2749</v>
      </c>
      <c r="C188" s="956" t="s">
        <v>1642</v>
      </c>
      <c r="D188" s="956" t="s">
        <v>38</v>
      </c>
      <c r="E188" s="1008" t="s">
        <v>1917</v>
      </c>
      <c r="F188" s="1009"/>
      <c r="G188" s="1008" t="str">
        <f>+VLOOKUP(Data_Validation!$A188,BV_Data_An_Cour!$L:$Q,6,0)</f>
        <v>3-Passifs</v>
      </c>
      <c r="H188" s="165"/>
    </row>
    <row r="189" spans="1:8" ht="15" customHeight="1">
      <c r="A189" s="168" t="s">
        <v>2583</v>
      </c>
      <c r="B189" s="169" t="s">
        <v>2582</v>
      </c>
      <c r="C189" s="956" t="s">
        <v>1642</v>
      </c>
      <c r="D189" s="956" t="s">
        <v>38</v>
      </c>
      <c r="E189" s="1008" t="s">
        <v>1917</v>
      </c>
      <c r="F189" s="1009"/>
      <c r="G189" s="1008" t="str">
        <f>+VLOOKUP(Data_Validation!$A189,BV_Data_An_Cour!$L:$Q,6,0)</f>
        <v>3-Passifs</v>
      </c>
      <c r="H189" s="165"/>
    </row>
    <row r="190" spans="1:8" ht="15" customHeight="1">
      <c r="A190" s="168" t="s">
        <v>2185</v>
      </c>
      <c r="B190" s="169" t="s">
        <v>536</v>
      </c>
      <c r="C190" s="956" t="s">
        <v>1642</v>
      </c>
      <c r="D190" s="956" t="s">
        <v>38</v>
      </c>
      <c r="E190" s="1008" t="s">
        <v>1917</v>
      </c>
      <c r="F190" s="1009"/>
      <c r="G190" s="1008" t="str">
        <f>+VLOOKUP(Data_Validation!$A190,BV_Data_An_Cour!$L:$Q,6,0)</f>
        <v>3-Passifs</v>
      </c>
      <c r="H190" s="165"/>
    </row>
    <row r="191" spans="1:8" ht="15" customHeight="1">
      <c r="A191" s="168" t="s">
        <v>2194</v>
      </c>
      <c r="B191" s="169" t="s">
        <v>2193</v>
      </c>
      <c r="C191" s="956" t="s">
        <v>1642</v>
      </c>
      <c r="D191" s="956" t="s">
        <v>22</v>
      </c>
      <c r="E191" s="1008" t="s">
        <v>1917</v>
      </c>
      <c r="F191" s="1009"/>
      <c r="G191" s="1008" t="str">
        <f>+VLOOKUP(Data_Validation!$A191,BV_Data_An_Cour!$L:$Q,6,0)</f>
        <v>3-Passifs</v>
      </c>
      <c r="H191" s="165"/>
    </row>
    <row r="192" spans="1:8" ht="15" customHeight="1">
      <c r="A192" s="168" t="s">
        <v>2601</v>
      </c>
      <c r="B192" s="169" t="s">
        <v>2600</v>
      </c>
      <c r="C192" s="956" t="s">
        <v>1642</v>
      </c>
      <c r="D192" s="956" t="s">
        <v>36</v>
      </c>
      <c r="E192" s="1008" t="s">
        <v>1917</v>
      </c>
      <c r="F192" s="1009"/>
      <c r="G192" s="1008" t="str">
        <f>+VLOOKUP(Data_Validation!$A192,BV_Data_An_Cour!$L:$Q,6,0)</f>
        <v>3-Passifs</v>
      </c>
      <c r="H192" s="165"/>
    </row>
    <row r="193" spans="1:8" ht="15" customHeight="1">
      <c r="A193" s="168" t="s">
        <v>2059</v>
      </c>
      <c r="B193" s="169" t="s">
        <v>2058</v>
      </c>
      <c r="C193" s="956" t="s">
        <v>1642</v>
      </c>
      <c r="D193" s="956" t="s">
        <v>36</v>
      </c>
      <c r="E193" s="1008" t="s">
        <v>1917</v>
      </c>
      <c r="F193" s="1009"/>
      <c r="G193" s="1008" t="str">
        <f>+VLOOKUP(Data_Validation!$A193,BV_Data_An_Cour!$L:$Q,6,0)</f>
        <v>3-Passifs</v>
      </c>
      <c r="H193" s="165"/>
    </row>
    <row r="194" spans="1:8" ht="15" customHeight="1">
      <c r="A194" s="168" t="s">
        <v>2099</v>
      </c>
      <c r="B194" s="169" t="s">
        <v>2098</v>
      </c>
      <c r="C194" s="956" t="s">
        <v>1642</v>
      </c>
      <c r="D194" s="956" t="s">
        <v>36</v>
      </c>
      <c r="E194" s="1008" t="s">
        <v>1917</v>
      </c>
      <c r="F194" s="1009"/>
      <c r="G194" s="1008" t="str">
        <f>+VLOOKUP(Data_Validation!$A194,BV_Data_An_Cour!$L:$Q,6,0)</f>
        <v>3-Passifs</v>
      </c>
      <c r="H194" s="165"/>
    </row>
    <row r="195" spans="1:8" ht="15" customHeight="1">
      <c r="A195" s="168" t="s">
        <v>2422</v>
      </c>
      <c r="B195" s="169" t="s">
        <v>2421</v>
      </c>
      <c r="C195" s="956" t="s">
        <v>1642</v>
      </c>
      <c r="D195" s="956" t="s">
        <v>36</v>
      </c>
      <c r="E195" s="1008" t="s">
        <v>1917</v>
      </c>
      <c r="F195" s="1009"/>
      <c r="G195" s="1008" t="str">
        <f>+VLOOKUP(Data_Validation!$A195,BV_Data_An_Cour!$L:$Q,6,0)</f>
        <v>3-Passifs</v>
      </c>
      <c r="H195" s="165"/>
    </row>
    <row r="196" spans="1:8" ht="15" customHeight="1">
      <c r="A196" s="168" t="s">
        <v>2095</v>
      </c>
      <c r="B196" s="169" t="s">
        <v>2094</v>
      </c>
      <c r="C196" s="956" t="s">
        <v>1642</v>
      </c>
      <c r="D196" s="956" t="s">
        <v>36</v>
      </c>
      <c r="E196" s="1008" t="s">
        <v>1917</v>
      </c>
      <c r="F196" s="1009"/>
      <c r="G196" s="1008" t="str">
        <f>+VLOOKUP(Data_Validation!$A196,BV_Data_An_Cour!$L:$Q,6,0)</f>
        <v>3-Passifs</v>
      </c>
      <c r="H196" s="165"/>
    </row>
    <row r="197" spans="1:8" ht="15" customHeight="1">
      <c r="A197" s="168" t="s">
        <v>2189</v>
      </c>
      <c r="B197" s="169" t="s">
        <v>2188</v>
      </c>
      <c r="C197" s="956" t="s">
        <v>1642</v>
      </c>
      <c r="D197" s="956" t="s">
        <v>36</v>
      </c>
      <c r="E197" s="1008" t="s">
        <v>1917</v>
      </c>
      <c r="F197" s="1009"/>
      <c r="G197" s="1008" t="str">
        <f>+VLOOKUP(Data_Validation!$A197,BV_Data_An_Cour!$L:$Q,6,0)</f>
        <v>3-Passifs</v>
      </c>
      <c r="H197" s="165"/>
    </row>
    <row r="198" spans="1:8" ht="15" customHeight="1">
      <c r="A198" s="168" t="s">
        <v>2690</v>
      </c>
      <c r="B198" s="169" t="s">
        <v>2689</v>
      </c>
      <c r="C198" s="956" t="s">
        <v>1642</v>
      </c>
      <c r="D198" s="956" t="s">
        <v>54</v>
      </c>
      <c r="E198" s="1008" t="s">
        <v>1917</v>
      </c>
      <c r="F198" s="1009"/>
      <c r="G198" s="1008" t="str">
        <f>+VLOOKUP(Data_Validation!$A198,BV_Data_An_Cour!$L:$Q,6,0)</f>
        <v>3-Passifs</v>
      </c>
      <c r="H198" s="165"/>
    </row>
    <row r="199" spans="1:8" ht="15" customHeight="1">
      <c r="A199" s="168" t="s">
        <v>2190</v>
      </c>
      <c r="B199" s="169" t="s">
        <v>827</v>
      </c>
      <c r="C199" s="956" t="s">
        <v>1642</v>
      </c>
      <c r="D199" s="956" t="s">
        <v>40</v>
      </c>
      <c r="E199" s="1008" t="s">
        <v>1917</v>
      </c>
      <c r="F199" s="1009"/>
      <c r="G199" s="1008" t="str">
        <f>+VLOOKUP(Data_Validation!$A199,BV_Data_An_Cour!$L:$Q,6,0)</f>
        <v>3-Passifs</v>
      </c>
      <c r="H199" s="165"/>
    </row>
    <row r="200" spans="1:8" ht="15" customHeight="1">
      <c r="A200" s="168" t="s">
        <v>2424</v>
      </c>
      <c r="B200" s="169" t="s">
        <v>2423</v>
      </c>
      <c r="C200" s="956" t="s">
        <v>1642</v>
      </c>
      <c r="D200" s="956" t="s">
        <v>67</v>
      </c>
      <c r="E200" s="1008" t="s">
        <v>1917</v>
      </c>
      <c r="F200" s="1009"/>
      <c r="G200" s="1008" t="str">
        <f>+VLOOKUP(Data_Validation!$A200,BV_Data_An_Cour!$L:$Q,6,0)</f>
        <v>4-Valeur nette</v>
      </c>
    </row>
    <row r="201" spans="1:8" ht="15" customHeight="1">
      <c r="A201" s="168" t="s">
        <v>2426</v>
      </c>
      <c r="B201" s="169" t="s">
        <v>2425</v>
      </c>
      <c r="C201" s="956" t="s">
        <v>1642</v>
      </c>
      <c r="D201" s="956" t="s">
        <v>68</v>
      </c>
      <c r="E201" s="1008" t="s">
        <v>1917</v>
      </c>
      <c r="F201" s="1009"/>
      <c r="G201" s="1008" t="str">
        <f>+VLOOKUP(Data_Validation!$A201,BV_Data_An_Cour!$L:$Q,6,0)</f>
        <v>4-Valeur nette</v>
      </c>
      <c r="H201" s="165"/>
    </row>
    <row r="202" spans="1:8" ht="15" customHeight="1">
      <c r="A202" s="168" t="s">
        <v>2428</v>
      </c>
      <c r="B202" s="169" t="s">
        <v>2427</v>
      </c>
      <c r="C202" s="956" t="s">
        <v>1642</v>
      </c>
      <c r="D202" s="956" t="s">
        <v>67</v>
      </c>
      <c r="E202" s="1008"/>
      <c r="F202" s="1009"/>
      <c r="G202" s="1008" t="str">
        <f>+VLOOKUP(Data_Validation!$A202,BV_Data_An_Cour!$L:$Q,6,0)</f>
        <v>4-Valeur nette</v>
      </c>
      <c r="H202" s="165"/>
    </row>
    <row r="203" spans="1:8" ht="15" customHeight="1">
      <c r="A203" s="168" t="s">
        <v>2430</v>
      </c>
      <c r="B203" s="169" t="s">
        <v>2429</v>
      </c>
      <c r="C203" s="956" t="s">
        <v>1642</v>
      </c>
      <c r="D203" s="956" t="s">
        <v>69</v>
      </c>
      <c r="E203" s="1008" t="s">
        <v>1917</v>
      </c>
      <c r="F203" s="1009"/>
      <c r="G203" s="1008" t="str">
        <f>+VLOOKUP(Data_Validation!$A203,BV_Data_An_Cour!$L:$Q,6,0)</f>
        <v>4-Valeur nette</v>
      </c>
      <c r="H203" s="165"/>
    </row>
    <row r="204" spans="1:8" ht="15" customHeight="1">
      <c r="A204" s="168" t="s">
        <v>2026</v>
      </c>
      <c r="B204" s="169" t="s">
        <v>2025</v>
      </c>
      <c r="C204" s="956" t="s">
        <v>75</v>
      </c>
      <c r="D204" s="956" t="s">
        <v>96</v>
      </c>
      <c r="E204" s="1008" t="s">
        <v>1917</v>
      </c>
      <c r="F204" s="1009" t="s">
        <v>1920</v>
      </c>
      <c r="G204" s="1008" t="str">
        <f>+VLOOKUP(Data_Validation!$A204,BV_Data_An_Cour!$L:$Q,6,0)</f>
        <v>5-Ventes</v>
      </c>
      <c r="H204" s="165"/>
    </row>
    <row r="205" spans="1:8" ht="15" customHeight="1">
      <c r="A205" s="168" t="s">
        <v>2432</v>
      </c>
      <c r="B205" s="169" t="s">
        <v>2431</v>
      </c>
      <c r="C205" s="956" t="s">
        <v>75</v>
      </c>
      <c r="D205" s="956" t="s">
        <v>89</v>
      </c>
      <c r="E205" s="1008" t="s">
        <v>1917</v>
      </c>
      <c r="F205" s="1009" t="s">
        <v>1920</v>
      </c>
      <c r="G205" s="1008" t="e">
        <f>+VLOOKUP(Data_Validation!$A205,BV_Data_An_Cour!$L:$Q,6,0)</f>
        <v>#N/A</v>
      </c>
      <c r="H205" s="165"/>
    </row>
    <row r="206" spans="1:8" ht="15" customHeight="1">
      <c r="A206" s="168" t="s">
        <v>2434</v>
      </c>
      <c r="B206" s="169" t="s">
        <v>2433</v>
      </c>
      <c r="C206" s="956" t="s">
        <v>75</v>
      </c>
      <c r="D206" s="956" t="s">
        <v>89</v>
      </c>
      <c r="E206" s="1008" t="s">
        <v>1917</v>
      </c>
      <c r="F206" s="1009" t="s">
        <v>1920</v>
      </c>
      <c r="G206" s="1008" t="e">
        <f>+VLOOKUP(Data_Validation!$A206,BV_Data_An_Cour!$L:$Q,6,0)</f>
        <v>#N/A</v>
      </c>
      <c r="H206" s="165"/>
    </row>
    <row r="207" spans="1:8" ht="15" customHeight="1">
      <c r="A207" s="168" t="s">
        <v>2019</v>
      </c>
      <c r="B207" s="169" t="s">
        <v>2018</v>
      </c>
      <c r="C207" s="956" t="s">
        <v>75</v>
      </c>
      <c r="D207" s="956" t="s">
        <v>89</v>
      </c>
      <c r="E207" s="1008" t="s">
        <v>1917</v>
      </c>
      <c r="F207" s="1009" t="s">
        <v>1920</v>
      </c>
      <c r="G207" s="1008" t="str">
        <f>+VLOOKUP(Data_Validation!$A207,BV_Data_An_Cour!$L:$Q,6,0)</f>
        <v>5-Ventes</v>
      </c>
      <c r="H207" s="165"/>
    </row>
    <row r="208" spans="1:8" ht="15" customHeight="1">
      <c r="A208" s="168" t="s">
        <v>2436</v>
      </c>
      <c r="B208" s="169" t="s">
        <v>2435</v>
      </c>
      <c r="C208" s="956" t="s">
        <v>75</v>
      </c>
      <c r="D208" s="956" t="s">
        <v>89</v>
      </c>
      <c r="E208" s="1008" t="s">
        <v>1917</v>
      </c>
      <c r="F208" s="1009" t="s">
        <v>1920</v>
      </c>
      <c r="G208" s="1008" t="e">
        <f>+VLOOKUP(Data_Validation!$A208,BV_Data_An_Cour!$L:$Q,6,0)</f>
        <v>#N/A</v>
      </c>
      <c r="H208" s="165"/>
    </row>
    <row r="209" spans="1:8" ht="15" customHeight="1">
      <c r="A209" s="168" t="s">
        <v>2014</v>
      </c>
      <c r="B209" s="169" t="s">
        <v>2013</v>
      </c>
      <c r="C209" s="956" t="s">
        <v>75</v>
      </c>
      <c r="D209" s="956" t="s">
        <v>89</v>
      </c>
      <c r="E209" s="1008" t="s">
        <v>1917</v>
      </c>
      <c r="F209" s="1009" t="s">
        <v>1920</v>
      </c>
      <c r="G209" s="1008" t="str">
        <f>+VLOOKUP(Data_Validation!$A209,BV_Data_An_Cour!$L:$Q,6,0)</f>
        <v>5-Ventes</v>
      </c>
      <c r="H209" s="165"/>
    </row>
    <row r="210" spans="1:8" ht="15" customHeight="1">
      <c r="A210" s="168" t="s">
        <v>2438</v>
      </c>
      <c r="B210" s="169" t="s">
        <v>2437</v>
      </c>
      <c r="C210" s="956" t="s">
        <v>75</v>
      </c>
      <c r="D210" s="956" t="s">
        <v>89</v>
      </c>
      <c r="E210" s="1008" t="s">
        <v>1917</v>
      </c>
      <c r="F210" s="1009" t="s">
        <v>1920</v>
      </c>
      <c r="G210" s="1008" t="e">
        <f>+VLOOKUP(Data_Validation!$A210,BV_Data_An_Cour!$L:$Q,6,0)</f>
        <v>#N/A</v>
      </c>
      <c r="H210" s="165"/>
    </row>
    <row r="211" spans="1:8" ht="15" customHeight="1">
      <c r="A211" s="168" t="s">
        <v>2440</v>
      </c>
      <c r="B211" s="169" t="s">
        <v>2439</v>
      </c>
      <c r="C211" s="956" t="s">
        <v>75</v>
      </c>
      <c r="D211" s="956" t="s">
        <v>89</v>
      </c>
      <c r="E211" s="1008" t="s">
        <v>1917</v>
      </c>
      <c r="F211" s="1009" t="s">
        <v>1920</v>
      </c>
      <c r="G211" s="1008" t="e">
        <f>+VLOOKUP(Data_Validation!$A211,BV_Data_An_Cour!$L:$Q,6,0)</f>
        <v>#N/A</v>
      </c>
      <c r="H211" s="165"/>
    </row>
    <row r="212" spans="1:8" ht="15" customHeight="1">
      <c r="A212" s="169" t="s">
        <v>2003</v>
      </c>
      <c r="B212" s="169" t="s">
        <v>2002</v>
      </c>
      <c r="C212" s="956" t="s">
        <v>75</v>
      </c>
      <c r="D212" s="956" t="s">
        <v>90</v>
      </c>
      <c r="E212" s="1008" t="s">
        <v>1917</v>
      </c>
      <c r="F212" s="1009" t="s">
        <v>1920</v>
      </c>
      <c r="G212" s="1008" t="str">
        <f>+VLOOKUP(Data_Validation!$A212,BV_Data_An_Cour!$L:$Q,6,0)</f>
        <v>5-Ventes</v>
      </c>
      <c r="H212" s="165"/>
    </row>
    <row r="213" spans="1:8" ht="15" customHeight="1">
      <c r="A213" s="168" t="s">
        <v>2031</v>
      </c>
      <c r="B213" s="169" t="s">
        <v>2030</v>
      </c>
      <c r="C213" s="956" t="s">
        <v>75</v>
      </c>
      <c r="D213" s="956" t="s">
        <v>89</v>
      </c>
      <c r="E213" s="1008" t="s">
        <v>1917</v>
      </c>
      <c r="F213" s="1009" t="s">
        <v>1920</v>
      </c>
      <c r="G213" s="1008" t="str">
        <f>+VLOOKUP(Data_Validation!$A213,BV_Data_An_Cour!$L:$Q,6,0)</f>
        <v>5-Ventes</v>
      </c>
      <c r="H213" s="165"/>
    </row>
    <row r="214" spans="1:8" ht="15" customHeight="1">
      <c r="A214" s="168" t="s">
        <v>1999</v>
      </c>
      <c r="B214" s="169" t="s">
        <v>1998</v>
      </c>
      <c r="C214" s="956" t="s">
        <v>75</v>
      </c>
      <c r="D214" s="956" t="s">
        <v>90</v>
      </c>
      <c r="E214" s="1008" t="s">
        <v>1917</v>
      </c>
      <c r="F214" s="1009" t="s">
        <v>1920</v>
      </c>
      <c r="G214" s="1008" t="str">
        <f>+VLOOKUP(Data_Validation!$A214,BV_Data_An_Cour!$L:$Q,6,0)</f>
        <v>5-Ventes</v>
      </c>
      <c r="H214" s="165"/>
    </row>
    <row r="215" spans="1:8" ht="15" customHeight="1">
      <c r="A215" s="168" t="s">
        <v>2029</v>
      </c>
      <c r="B215" s="169" t="s">
        <v>2028</v>
      </c>
      <c r="C215" s="956" t="s">
        <v>75</v>
      </c>
      <c r="D215" s="956" t="s">
        <v>89</v>
      </c>
      <c r="E215" s="1008" t="s">
        <v>1917</v>
      </c>
      <c r="F215" s="1009" t="s">
        <v>1920</v>
      </c>
      <c r="G215" s="1008" t="str">
        <f>+VLOOKUP(Data_Validation!$A215,BV_Data_An_Cour!$L:$Q,6,0)</f>
        <v>5-Ventes</v>
      </c>
    </row>
    <row r="216" spans="1:8" ht="15" customHeight="1">
      <c r="A216" s="168" t="s">
        <v>2442</v>
      </c>
      <c r="B216" s="169" t="s">
        <v>2441</v>
      </c>
      <c r="C216" s="956" t="s">
        <v>75</v>
      </c>
      <c r="D216" s="956" t="s">
        <v>95</v>
      </c>
      <c r="E216" s="1008" t="s">
        <v>1917</v>
      </c>
      <c r="F216" s="1009" t="s">
        <v>1920</v>
      </c>
      <c r="G216" s="1008" t="str">
        <f>+VLOOKUP(Data_Validation!$A216,BV_Data_An_Cour!$L:$Q,6,0)</f>
        <v>5-Ventes</v>
      </c>
      <c r="H216" s="165"/>
    </row>
    <row r="217" spans="1:8" ht="15" customHeight="1">
      <c r="A217" s="168" t="s">
        <v>2005</v>
      </c>
      <c r="B217" s="169" t="s">
        <v>2004</v>
      </c>
      <c r="C217" s="956" t="s">
        <v>75</v>
      </c>
      <c r="D217" s="956" t="s">
        <v>94</v>
      </c>
      <c r="E217" s="1008" t="s">
        <v>1917</v>
      </c>
      <c r="F217" s="1009" t="s">
        <v>1920</v>
      </c>
      <c r="G217" s="1008" t="str">
        <f>+VLOOKUP(Data_Validation!$A217,BV_Data_An_Cour!$L:$Q,6,0)</f>
        <v>5-Ventes</v>
      </c>
      <c r="H217" s="165"/>
    </row>
    <row r="218" spans="1:8" ht="15" customHeight="1">
      <c r="A218" s="168" t="s">
        <v>2001</v>
      </c>
      <c r="B218" s="169" t="s">
        <v>2000</v>
      </c>
      <c r="C218" s="956" t="s">
        <v>144</v>
      </c>
      <c r="D218" s="956" t="s">
        <v>146</v>
      </c>
      <c r="E218" s="1008" t="s">
        <v>1917</v>
      </c>
      <c r="F218" s="1009" t="s">
        <v>1920</v>
      </c>
      <c r="G218" s="1008" t="str">
        <f>+VLOOKUP(Data_Validation!$A218,BV_Data_An_Cour!$L:$Q,6,0)</f>
        <v>5-Ventes</v>
      </c>
      <c r="H218" s="165"/>
    </row>
    <row r="219" spans="1:8" ht="15" customHeight="1">
      <c r="A219" s="168" t="s">
        <v>2444</v>
      </c>
      <c r="B219" s="169" t="s">
        <v>2443</v>
      </c>
      <c r="C219" s="956" t="s">
        <v>144</v>
      </c>
      <c r="D219" s="956" t="s">
        <v>147</v>
      </c>
      <c r="E219" s="1008" t="s">
        <v>1917</v>
      </c>
      <c r="F219" s="1009" t="s">
        <v>1920</v>
      </c>
      <c r="G219" s="1008" t="e">
        <f>+VLOOKUP(Data_Validation!$A219,BV_Data_An_Cour!$L:$Q,6,0)</f>
        <v>#N/A</v>
      </c>
      <c r="H219" s="165"/>
    </row>
    <row r="220" spans="1:8" ht="15" customHeight="1">
      <c r="A220" s="168" t="s">
        <v>2039</v>
      </c>
      <c r="B220" s="169" t="s">
        <v>2038</v>
      </c>
      <c r="C220" s="956" t="s">
        <v>144</v>
      </c>
      <c r="D220" s="956" t="s">
        <v>147</v>
      </c>
      <c r="E220" s="1008" t="s">
        <v>1917</v>
      </c>
      <c r="F220" s="1009" t="s">
        <v>1920</v>
      </c>
      <c r="G220" s="1008" t="str">
        <f>+VLOOKUP(Data_Validation!$A220,BV_Data_An_Cour!$L:$Q,6,0)</f>
        <v>5-Ventes</v>
      </c>
      <c r="H220" s="165"/>
    </row>
    <row r="221" spans="1:8" ht="15" customHeight="1">
      <c r="A221" s="168" t="s">
        <v>2007</v>
      </c>
      <c r="B221" s="169" t="s">
        <v>2006</v>
      </c>
      <c r="C221" s="956" t="s">
        <v>144</v>
      </c>
      <c r="D221" s="956" t="s">
        <v>150</v>
      </c>
      <c r="E221" s="1008" t="s">
        <v>1917</v>
      </c>
      <c r="F221" s="1009" t="s">
        <v>1920</v>
      </c>
      <c r="G221" s="1008" t="str">
        <f>+VLOOKUP(Data_Validation!$A221,BV_Data_An_Cour!$L:$Q,6,0)</f>
        <v>5-Ventes</v>
      </c>
      <c r="H221" s="165"/>
    </row>
    <row r="222" spans="1:8" ht="15" customHeight="1">
      <c r="A222" s="168" t="s">
        <v>2012</v>
      </c>
      <c r="B222" s="169" t="s">
        <v>2011</v>
      </c>
      <c r="C222" s="956" t="s">
        <v>155</v>
      </c>
      <c r="D222" s="956" t="s">
        <v>159</v>
      </c>
      <c r="E222" s="1008" t="s">
        <v>1917</v>
      </c>
      <c r="F222" s="1009" t="s">
        <v>1920</v>
      </c>
      <c r="G222" s="1008" t="str">
        <f>+VLOOKUP(Data_Validation!$A222,BV_Data_An_Cour!$L:$Q,6,0)</f>
        <v>5-Ventes</v>
      </c>
      <c r="H222" s="165"/>
    </row>
    <row r="223" spans="1:8" ht="15" customHeight="1">
      <c r="A223" s="168" t="s">
        <v>2192</v>
      </c>
      <c r="B223" s="169" t="s">
        <v>2191</v>
      </c>
      <c r="C223" s="956" t="s">
        <v>155</v>
      </c>
      <c r="D223" s="956" t="s">
        <v>163</v>
      </c>
      <c r="E223" s="1008" t="s">
        <v>1917</v>
      </c>
      <c r="F223" s="1009" t="s">
        <v>1920</v>
      </c>
      <c r="G223" s="1008" t="str">
        <f>+VLOOKUP(Data_Validation!$A223,BV_Data_An_Cour!$L:$Q,6,0)</f>
        <v>5-Ventes</v>
      </c>
      <c r="H223" s="165"/>
    </row>
    <row r="224" spans="1:8" ht="15" customHeight="1">
      <c r="A224" s="168" t="s">
        <v>2042</v>
      </c>
      <c r="B224" s="169" t="s">
        <v>2041</v>
      </c>
      <c r="C224" s="956" t="s">
        <v>155</v>
      </c>
      <c r="D224" s="956" t="s">
        <v>161</v>
      </c>
      <c r="E224" s="1008" t="s">
        <v>1917</v>
      </c>
      <c r="F224" s="1009" t="s">
        <v>1920</v>
      </c>
      <c r="G224" s="1008" t="str">
        <f>+VLOOKUP(Data_Validation!$A224,BV_Data_An_Cour!$L:$Q,6,0)</f>
        <v>5-Ventes</v>
      </c>
      <c r="H224" s="165"/>
    </row>
    <row r="225" spans="1:8" ht="15" customHeight="1">
      <c r="A225" s="169" t="s">
        <v>2052</v>
      </c>
      <c r="B225" s="169" t="s">
        <v>2051</v>
      </c>
      <c r="C225" s="956" t="s">
        <v>155</v>
      </c>
      <c r="D225" s="956" t="s">
        <v>162</v>
      </c>
      <c r="E225" s="1008" t="s">
        <v>1917</v>
      </c>
      <c r="F225" s="1009" t="s">
        <v>1920</v>
      </c>
      <c r="G225" s="1008" t="str">
        <f>+VLOOKUP(Data_Validation!$A225,BV_Data_An_Cour!$L:$Q,6,0)</f>
        <v>5-Ventes</v>
      </c>
      <c r="H225" s="165"/>
    </row>
    <row r="226" spans="1:8" ht="15" customHeight="1">
      <c r="A226" s="166" t="s">
        <v>2629</v>
      </c>
      <c r="B226" s="166" t="s">
        <v>2628</v>
      </c>
      <c r="C226" s="956" t="s">
        <v>155</v>
      </c>
      <c r="D226" s="956" t="s">
        <v>159</v>
      </c>
      <c r="E226" s="1008" t="s">
        <v>1917</v>
      </c>
      <c r="F226" s="1009" t="s">
        <v>1920</v>
      </c>
      <c r="G226" s="1008" t="e">
        <f>+VLOOKUP(Data_Validation!$A226,BV_Data_An_Cour!$L:$Q,6,0)</f>
        <v>#N/A</v>
      </c>
      <c r="H226" s="165"/>
    </row>
    <row r="227" spans="1:8" ht="15" customHeight="1">
      <c r="A227" s="168" t="s">
        <v>2072</v>
      </c>
      <c r="B227" s="169" t="s">
        <v>2071</v>
      </c>
      <c r="C227" s="956" t="s">
        <v>175</v>
      </c>
      <c r="D227" s="956" t="s">
        <v>187</v>
      </c>
      <c r="E227" s="1008" t="s">
        <v>1917</v>
      </c>
      <c r="F227" s="1009" t="s">
        <v>1920</v>
      </c>
      <c r="G227" s="1008" t="str">
        <f>+VLOOKUP(Data_Validation!$A227,BV_Data_An_Cour!$L:$Q,6,0)</f>
        <v>5-Ventes</v>
      </c>
      <c r="H227" s="165"/>
    </row>
    <row r="228" spans="1:8" ht="15" customHeight="1">
      <c r="A228" s="168" t="s">
        <v>2145</v>
      </c>
      <c r="B228" s="169" t="s">
        <v>2144</v>
      </c>
      <c r="C228" s="956" t="s">
        <v>155</v>
      </c>
      <c r="D228" s="956" t="s">
        <v>167</v>
      </c>
      <c r="E228" s="1008" t="s">
        <v>1917</v>
      </c>
      <c r="F228" s="1009" t="s">
        <v>1920</v>
      </c>
      <c r="G228" s="1008" t="str">
        <f>+VLOOKUP(Data_Validation!$A228,BV_Data_An_Cour!$L:$Q,6,0)</f>
        <v>5-Ventes</v>
      </c>
      <c r="H228" s="165"/>
    </row>
    <row r="229" spans="1:8" ht="15" customHeight="1">
      <c r="A229" s="168" t="s">
        <v>2168</v>
      </c>
      <c r="B229" s="169" t="s">
        <v>2167</v>
      </c>
      <c r="C229" s="956" t="s">
        <v>155</v>
      </c>
      <c r="D229" s="956" t="s">
        <v>167</v>
      </c>
      <c r="E229" s="1008" t="s">
        <v>1917</v>
      </c>
      <c r="F229" s="1009" t="s">
        <v>1920</v>
      </c>
      <c r="G229" s="1008" t="str">
        <f>+VLOOKUP(Data_Validation!$A229,BV_Data_An_Cour!$L:$Q,6,0)</f>
        <v>5-Ventes</v>
      </c>
      <c r="H229" s="165"/>
    </row>
    <row r="230" spans="1:8" ht="15" customHeight="1">
      <c r="A230" s="168" t="s">
        <v>2087</v>
      </c>
      <c r="B230" s="169" t="s">
        <v>2086</v>
      </c>
      <c r="C230" s="956" t="s">
        <v>155</v>
      </c>
      <c r="D230" s="956" t="s">
        <v>167</v>
      </c>
      <c r="E230" s="1008" t="s">
        <v>1917</v>
      </c>
      <c r="F230" s="1009" t="s">
        <v>1920</v>
      </c>
      <c r="G230" s="1008" t="str">
        <f>+VLOOKUP(Data_Validation!$A230,BV_Data_An_Cour!$L:$Q,6,0)</f>
        <v>5-Ventes</v>
      </c>
      <c r="H230" s="165"/>
    </row>
    <row r="231" spans="1:8" ht="15" customHeight="1">
      <c r="A231" s="168" t="s">
        <v>2070</v>
      </c>
      <c r="B231" s="169" t="s">
        <v>2069</v>
      </c>
      <c r="C231" s="956" t="s">
        <v>171</v>
      </c>
      <c r="D231" s="956" t="s">
        <v>172</v>
      </c>
      <c r="E231" s="1008" t="s">
        <v>1917</v>
      </c>
      <c r="F231" s="1009" t="s">
        <v>1920</v>
      </c>
      <c r="G231" s="1008" t="str">
        <f>+VLOOKUP(Data_Validation!$A231,BV_Data_An_Cour!$L:$Q,6,0)</f>
        <v>5-Ventes</v>
      </c>
      <c r="H231" s="165"/>
    </row>
    <row r="232" spans="1:8" ht="15" customHeight="1">
      <c r="A232" s="168" t="s">
        <v>2068</v>
      </c>
      <c r="B232" s="169" t="s">
        <v>2067</v>
      </c>
      <c r="C232" s="956" t="s">
        <v>171</v>
      </c>
      <c r="D232" s="956" t="s">
        <v>172</v>
      </c>
      <c r="E232" s="1008" t="s">
        <v>1917</v>
      </c>
      <c r="F232" s="1009" t="s">
        <v>1920</v>
      </c>
      <c r="G232" s="1008" t="str">
        <f>+VLOOKUP(Data_Validation!$A232,BV_Data_An_Cour!$L:$Q,6,0)</f>
        <v>5-Ventes</v>
      </c>
      <c r="H232" s="165"/>
    </row>
    <row r="233" spans="1:8" ht="15" customHeight="1">
      <c r="A233" s="168" t="s">
        <v>2101</v>
      </c>
      <c r="B233" s="169" t="s">
        <v>2100</v>
      </c>
      <c r="C233" s="956" t="s">
        <v>171</v>
      </c>
      <c r="D233" s="956" t="s">
        <v>172</v>
      </c>
      <c r="E233" s="1008" t="s">
        <v>1917</v>
      </c>
      <c r="F233" s="1009" t="s">
        <v>1920</v>
      </c>
      <c r="G233" s="1008" t="str">
        <f>+VLOOKUP(Data_Validation!$A233,BV_Data_An_Cour!$L:$Q,6,0)</f>
        <v>5-Ventes</v>
      </c>
      <c r="H233" s="165"/>
    </row>
    <row r="234" spans="1:8" ht="15" customHeight="1">
      <c r="A234" s="168" t="s">
        <v>2024</v>
      </c>
      <c r="B234" s="169" t="s">
        <v>2023</v>
      </c>
      <c r="C234" s="956" t="s">
        <v>175</v>
      </c>
      <c r="D234" s="956" t="s">
        <v>177</v>
      </c>
      <c r="E234" s="1008" t="s">
        <v>1917</v>
      </c>
      <c r="F234" s="1009" t="s">
        <v>1920</v>
      </c>
      <c r="G234" s="1008" t="str">
        <f>+VLOOKUP(Data_Validation!$A234,BV_Data_An_Cour!$L:$Q,6,0)</f>
        <v>5-Ventes</v>
      </c>
      <c r="H234" s="165"/>
    </row>
    <row r="235" spans="1:8" ht="15" customHeight="1">
      <c r="A235" s="168" t="s">
        <v>2151</v>
      </c>
      <c r="B235" s="169" t="s">
        <v>2150</v>
      </c>
      <c r="C235" s="956" t="s">
        <v>155</v>
      </c>
      <c r="D235" s="956" t="s">
        <v>159</v>
      </c>
      <c r="E235" s="1008" t="s">
        <v>1917</v>
      </c>
      <c r="F235" s="1009" t="s">
        <v>1920</v>
      </c>
      <c r="G235" s="1008" t="str">
        <f>+VLOOKUP(Data_Validation!$A235,BV_Data_An_Cour!$L:$Q,6,0)</f>
        <v>5-Ventes</v>
      </c>
      <c r="H235" s="165"/>
    </row>
    <row r="236" spans="1:8" ht="15" customHeight="1">
      <c r="A236" s="168" t="s">
        <v>2044</v>
      </c>
      <c r="B236" s="169" t="s">
        <v>2043</v>
      </c>
      <c r="C236" s="956" t="s">
        <v>175</v>
      </c>
      <c r="D236" s="956" t="s">
        <v>179</v>
      </c>
      <c r="E236" s="1008" t="s">
        <v>1917</v>
      </c>
      <c r="F236" s="1009" t="s">
        <v>1920</v>
      </c>
      <c r="G236" s="1008" t="str">
        <f>+VLOOKUP(Data_Validation!$A236,BV_Data_An_Cour!$L:$Q,6,0)</f>
        <v>5-Ventes</v>
      </c>
      <c r="H236" s="165"/>
    </row>
    <row r="237" spans="1:8" ht="15" customHeight="1">
      <c r="A237" s="168" t="s">
        <v>2048</v>
      </c>
      <c r="B237" s="169" t="s">
        <v>2047</v>
      </c>
      <c r="C237" s="956" t="s">
        <v>175</v>
      </c>
      <c r="D237" s="956" t="s">
        <v>180</v>
      </c>
      <c r="E237" s="1008" t="s">
        <v>1917</v>
      </c>
      <c r="F237" s="1009" t="s">
        <v>1920</v>
      </c>
      <c r="G237" s="1008" t="str">
        <f>+VLOOKUP(Data_Validation!$A237,BV_Data_An_Cour!$L:$Q,6,0)</f>
        <v>5-Ventes</v>
      </c>
      <c r="H237" s="165"/>
    </row>
    <row r="238" spans="1:8" ht="15" customHeight="1">
      <c r="A238" s="168" t="s">
        <v>2169</v>
      </c>
      <c r="B238" s="169" t="s">
        <v>2150</v>
      </c>
      <c r="C238" s="956" t="s">
        <v>155</v>
      </c>
      <c r="D238" s="956" t="s">
        <v>162</v>
      </c>
      <c r="E238" s="1008" t="s">
        <v>1917</v>
      </c>
      <c r="F238" s="1009" t="s">
        <v>1920</v>
      </c>
      <c r="G238" s="1008" t="str">
        <f>+VLOOKUP(Data_Validation!$A238,BV_Data_An_Cour!$L:$Q,6,0)</f>
        <v>5-Ventes</v>
      </c>
      <c r="H238" s="165"/>
    </row>
    <row r="239" spans="1:8" ht="15" customHeight="1">
      <c r="A239" s="168" t="s">
        <v>2115</v>
      </c>
      <c r="B239" s="169" t="s">
        <v>2114</v>
      </c>
      <c r="C239" s="956" t="s">
        <v>175</v>
      </c>
      <c r="D239" s="956" t="s">
        <v>177</v>
      </c>
      <c r="E239" s="1008" t="s">
        <v>1917</v>
      </c>
      <c r="F239" s="1009" t="s">
        <v>1920</v>
      </c>
      <c r="G239" s="1008" t="str">
        <f>+VLOOKUP(Data_Validation!$A239,BV_Data_An_Cour!$L:$Q,6,0)</f>
        <v>5-Ventes</v>
      </c>
      <c r="H239" s="165"/>
    </row>
    <row r="240" spans="1:8" ht="15" customHeight="1">
      <c r="A240" s="169" t="s">
        <v>2445</v>
      </c>
      <c r="B240" s="169" t="s">
        <v>2114</v>
      </c>
      <c r="C240" s="956" t="s">
        <v>175</v>
      </c>
      <c r="D240" s="956" t="s">
        <v>177</v>
      </c>
      <c r="E240" s="1008" t="s">
        <v>1917</v>
      </c>
      <c r="F240" s="1009" t="s">
        <v>1920</v>
      </c>
      <c r="G240" s="1008" t="e">
        <f>+VLOOKUP(Data_Validation!$A240,BV_Data_An_Cour!$L:$Q,6,0)</f>
        <v>#N/A</v>
      </c>
      <c r="H240" s="165"/>
    </row>
    <row r="241" spans="1:8" ht="15" customHeight="1">
      <c r="A241" s="168" t="s">
        <v>2108</v>
      </c>
      <c r="B241" s="169" t="s">
        <v>2107</v>
      </c>
      <c r="C241" s="956" t="s">
        <v>175</v>
      </c>
      <c r="D241" s="956" t="s">
        <v>178</v>
      </c>
      <c r="E241" s="1008" t="s">
        <v>1917</v>
      </c>
      <c r="F241" s="1009" t="s">
        <v>1920</v>
      </c>
      <c r="G241" s="1008" t="str">
        <f>+VLOOKUP(Data_Validation!$A241,BV_Data_An_Cour!$L:$Q,6,0)</f>
        <v>5-Ventes</v>
      </c>
      <c r="H241" s="165"/>
    </row>
    <row r="242" spans="1:8" ht="15" customHeight="1">
      <c r="A242" s="951" t="s">
        <v>2091</v>
      </c>
      <c r="B242" s="171" t="s">
        <v>2090</v>
      </c>
      <c r="C242" s="956" t="s">
        <v>175</v>
      </c>
      <c r="D242" s="956" t="s">
        <v>178</v>
      </c>
      <c r="E242" s="1008" t="s">
        <v>1917</v>
      </c>
      <c r="F242" s="1009" t="s">
        <v>1920</v>
      </c>
      <c r="G242" s="1008" t="str">
        <f>+VLOOKUP(Data_Validation!$A242,BV_Data_An_Cour!$L:$Q,6,0)</f>
        <v>5-Ventes</v>
      </c>
      <c r="H242" s="165"/>
    </row>
    <row r="243" spans="1:8" ht="15" customHeight="1">
      <c r="A243" s="171" t="s">
        <v>2166</v>
      </c>
      <c r="B243" s="171" t="s">
        <v>2165</v>
      </c>
      <c r="C243" s="956" t="s">
        <v>175</v>
      </c>
      <c r="D243" s="956" t="s">
        <v>178</v>
      </c>
      <c r="E243" s="1008" t="s">
        <v>1917</v>
      </c>
      <c r="F243" s="1009" t="s">
        <v>1920</v>
      </c>
      <c r="G243" s="1008" t="str">
        <f>+VLOOKUP(Data_Validation!$A243,BV_Data_An_Cour!$L:$Q,6,0)</f>
        <v>5-Ventes</v>
      </c>
      <c r="H243" s="165"/>
    </row>
    <row r="244" spans="1:8" ht="15" customHeight="1">
      <c r="A244" s="951" t="s">
        <v>2083</v>
      </c>
      <c r="B244" s="171" t="s">
        <v>2082</v>
      </c>
      <c r="C244" s="956" t="s">
        <v>175</v>
      </c>
      <c r="D244" s="956" t="s">
        <v>181</v>
      </c>
      <c r="E244" s="1008" t="s">
        <v>1917</v>
      </c>
      <c r="F244" s="1009" t="s">
        <v>1920</v>
      </c>
      <c r="G244" s="1008" t="str">
        <f>+VLOOKUP(Data_Validation!$A244,BV_Data_An_Cour!$L:$Q,6,0)</f>
        <v>5-Ventes</v>
      </c>
      <c r="H244" s="165"/>
    </row>
    <row r="245" spans="1:8" ht="15" customHeight="1">
      <c r="A245" s="951" t="s">
        <v>2046</v>
      </c>
      <c r="B245" s="171" t="s">
        <v>2045</v>
      </c>
      <c r="C245" s="956" t="s">
        <v>175</v>
      </c>
      <c r="D245" s="956" t="s">
        <v>182</v>
      </c>
      <c r="E245" s="1008" t="s">
        <v>1917</v>
      </c>
      <c r="F245" s="1009" t="s">
        <v>1920</v>
      </c>
      <c r="G245" s="1008" t="str">
        <f>+VLOOKUP(Data_Validation!$A245,BV_Data_An_Cour!$L:$Q,6,0)</f>
        <v>5-Ventes</v>
      </c>
      <c r="H245" s="165"/>
    </row>
    <row r="246" spans="1:8" ht="15" customHeight="1">
      <c r="A246" s="167" t="s">
        <v>2035</v>
      </c>
      <c r="B246" s="171" t="s">
        <v>2034</v>
      </c>
      <c r="C246" s="956" t="s">
        <v>175</v>
      </c>
      <c r="D246" s="956" t="s">
        <v>186</v>
      </c>
      <c r="E246" s="1008" t="s">
        <v>1917</v>
      </c>
      <c r="F246" s="1009" t="s">
        <v>1920</v>
      </c>
      <c r="G246" s="1008" t="str">
        <f>+VLOOKUP(Data_Validation!$A246,BV_Data_An_Cour!$L:$Q,6,0)</f>
        <v>5-Ventes</v>
      </c>
      <c r="H246" s="165"/>
    </row>
    <row r="247" spans="1:8" ht="15" customHeight="1">
      <c r="A247" s="951" t="s">
        <v>2121</v>
      </c>
      <c r="B247" s="171" t="s">
        <v>2120</v>
      </c>
      <c r="C247" s="956" t="s">
        <v>175</v>
      </c>
      <c r="D247" s="956" t="s">
        <v>186</v>
      </c>
      <c r="E247" s="1008" t="s">
        <v>1917</v>
      </c>
      <c r="F247" s="1009" t="s">
        <v>1920</v>
      </c>
      <c r="G247" s="1008" t="str">
        <f>+VLOOKUP(Data_Validation!$A247,BV_Data_An_Cour!$L:$Q,6,0)</f>
        <v>5-Ventes</v>
      </c>
      <c r="H247" s="165"/>
    </row>
    <row r="248" spans="1:8" ht="15" customHeight="1">
      <c r="A248" s="171" t="s">
        <v>2841</v>
      </c>
      <c r="B248" s="171" t="s">
        <v>2840</v>
      </c>
      <c r="C248" s="956" t="s">
        <v>75</v>
      </c>
      <c r="D248" s="956" t="s">
        <v>96</v>
      </c>
      <c r="E248" s="1008" t="s">
        <v>1917</v>
      </c>
      <c r="F248" s="1009"/>
      <c r="G248" s="1008" t="str">
        <f>+VLOOKUP(Data_Validation!$A248,BV_Data_An_Cour!$L:$Q,6,0)</f>
        <v>6-Coût des ventes</v>
      </c>
      <c r="H248" s="165"/>
    </row>
    <row r="249" spans="1:8" ht="15" customHeight="1">
      <c r="A249" s="951" t="s">
        <v>2447</v>
      </c>
      <c r="B249" s="171" t="s">
        <v>2446</v>
      </c>
      <c r="C249" s="956" t="s">
        <v>75</v>
      </c>
      <c r="D249" s="956" t="s">
        <v>89</v>
      </c>
      <c r="E249" s="1008" t="s">
        <v>1917</v>
      </c>
      <c r="F249" s="1008"/>
      <c r="G249" s="1008" t="e">
        <f>+VLOOKUP(Data_Validation!$A249,BV_Data_An_Cour!$L:$Q,6,0)</f>
        <v>#N/A</v>
      </c>
      <c r="H249" s="165"/>
    </row>
    <row r="250" spans="1:8" ht="15" customHeight="1">
      <c r="A250" s="168" t="s">
        <v>2449</v>
      </c>
      <c r="B250" s="169" t="s">
        <v>2448</v>
      </c>
      <c r="C250" s="956" t="s">
        <v>75</v>
      </c>
      <c r="D250" s="956" t="s">
        <v>89</v>
      </c>
      <c r="E250" s="1008" t="s">
        <v>1917</v>
      </c>
      <c r="F250" s="1008"/>
      <c r="G250" s="1008" t="e">
        <f>+VLOOKUP(Data_Validation!$A250,BV_Data_An_Cour!$L:$Q,6,0)</f>
        <v>#N/A</v>
      </c>
      <c r="H250" s="165"/>
    </row>
    <row r="251" spans="1:8" ht="15" customHeight="1">
      <c r="A251" s="951" t="s">
        <v>2843</v>
      </c>
      <c r="B251" s="171" t="s">
        <v>2842</v>
      </c>
      <c r="C251" s="956" t="s">
        <v>75</v>
      </c>
      <c r="D251" s="956" t="s">
        <v>89</v>
      </c>
      <c r="E251" s="1008" t="s">
        <v>1917</v>
      </c>
      <c r="F251" s="1008"/>
      <c r="G251" s="1008" t="str">
        <f>+VLOOKUP(Data_Validation!$A251,BV_Data_An_Cour!$L:$Q,6,0)</f>
        <v>6-Coût des ventes</v>
      </c>
      <c r="H251" s="165"/>
    </row>
    <row r="252" spans="1:8" ht="15" customHeight="1">
      <c r="A252" s="168" t="s">
        <v>2451</v>
      </c>
      <c r="B252" s="169" t="s">
        <v>2450</v>
      </c>
      <c r="C252" s="956" t="s">
        <v>75</v>
      </c>
      <c r="D252" s="956" t="s">
        <v>89</v>
      </c>
      <c r="E252" s="1008" t="s">
        <v>1917</v>
      </c>
      <c r="F252" s="1008"/>
      <c r="G252" s="1008" t="e">
        <f>+VLOOKUP(Data_Validation!$A252,BV_Data_An_Cour!$L:$Q,6,0)</f>
        <v>#N/A</v>
      </c>
      <c r="H252" s="165"/>
    </row>
    <row r="253" spans="1:8" ht="15" customHeight="1">
      <c r="A253" s="168" t="s">
        <v>2845</v>
      </c>
      <c r="B253" s="169" t="s">
        <v>2844</v>
      </c>
      <c r="C253" s="956" t="s">
        <v>75</v>
      </c>
      <c r="D253" s="956" t="s">
        <v>89</v>
      </c>
      <c r="E253" s="1008" t="s">
        <v>1917</v>
      </c>
      <c r="F253" s="1008"/>
      <c r="G253" s="1008" t="str">
        <f>+VLOOKUP(Data_Validation!$A253,BV_Data_An_Cour!$L:$Q,6,0)</f>
        <v>6-Coût des ventes</v>
      </c>
      <c r="H253" s="165"/>
    </row>
    <row r="254" spans="1:8" ht="15" customHeight="1">
      <c r="A254" s="951" t="s">
        <v>2453</v>
      </c>
      <c r="B254" s="171" t="s">
        <v>2452</v>
      </c>
      <c r="C254" s="956" t="s">
        <v>75</v>
      </c>
      <c r="D254" s="956" t="s">
        <v>89</v>
      </c>
      <c r="E254" s="1008" t="s">
        <v>1917</v>
      </c>
      <c r="F254" s="1008"/>
      <c r="G254" s="1008" t="e">
        <f>+VLOOKUP(Data_Validation!$A254,BV_Data_An_Cour!$L:$Q,6,0)</f>
        <v>#N/A</v>
      </c>
      <c r="H254" s="165"/>
    </row>
    <row r="255" spans="1:8" ht="15" customHeight="1">
      <c r="A255" s="168" t="s">
        <v>2455</v>
      </c>
      <c r="B255" s="169" t="s">
        <v>2454</v>
      </c>
      <c r="C255" s="956" t="s">
        <v>75</v>
      </c>
      <c r="D255" s="956" t="s">
        <v>89</v>
      </c>
      <c r="E255" s="1008" t="s">
        <v>1917</v>
      </c>
      <c r="F255" s="1008"/>
      <c r="G255" s="1008" t="str">
        <f>+VLOOKUP(Data_Validation!$A255,BV_Data_An_Cour!$L:$Q,6,0)</f>
        <v>6-Coût des ventes</v>
      </c>
      <c r="H255" s="165"/>
    </row>
    <row r="256" spans="1:8" ht="15" customHeight="1">
      <c r="A256" s="951" t="s">
        <v>2851</v>
      </c>
      <c r="B256" s="171" t="s">
        <v>2850</v>
      </c>
      <c r="C256" s="956" t="s">
        <v>75</v>
      </c>
      <c r="D256" s="956" t="s">
        <v>90</v>
      </c>
      <c r="E256" s="1008" t="s">
        <v>1917</v>
      </c>
      <c r="F256" s="1008"/>
      <c r="G256" s="1008" t="str">
        <f>+VLOOKUP(Data_Validation!$A256,BV_Data_An_Cour!$L:$Q,6,0)</f>
        <v>6-Coût des ventes</v>
      </c>
      <c r="H256" s="165"/>
    </row>
    <row r="257" spans="1:8" ht="15" customHeight="1">
      <c r="A257" s="953" t="s">
        <v>2837</v>
      </c>
      <c r="B257" s="169" t="s">
        <v>2836</v>
      </c>
      <c r="C257" s="956" t="s">
        <v>75</v>
      </c>
      <c r="D257" s="956" t="s">
        <v>89</v>
      </c>
      <c r="E257" s="1008" t="s">
        <v>1917</v>
      </c>
      <c r="F257" s="1008"/>
      <c r="G257" s="1008" t="str">
        <f>+VLOOKUP(Data_Validation!$A257,BV_Data_An_Cour!$L:$Q,6,0)</f>
        <v>6-Coût des ventes</v>
      </c>
      <c r="H257" s="165"/>
    </row>
    <row r="258" spans="1:8" ht="15" customHeight="1">
      <c r="A258" s="168" t="s">
        <v>2856</v>
      </c>
      <c r="B258" s="169" t="s">
        <v>2855</v>
      </c>
      <c r="C258" s="956" t="s">
        <v>75</v>
      </c>
      <c r="D258" s="956" t="s">
        <v>90</v>
      </c>
      <c r="E258" s="1008" t="s">
        <v>1917</v>
      </c>
      <c r="F258" s="1008"/>
      <c r="G258" s="1008" t="str">
        <f>+VLOOKUP(Data_Validation!$A258,BV_Data_An_Cour!$L:$Q,6,0)</f>
        <v>6-Coût des ventes</v>
      </c>
      <c r="H258" s="165"/>
    </row>
    <row r="259" spans="1:8" ht="15" customHeight="1">
      <c r="A259" s="1020" t="s">
        <v>2839</v>
      </c>
      <c r="B259" s="1021" t="s">
        <v>2838</v>
      </c>
      <c r="C259" s="1022" t="s">
        <v>75</v>
      </c>
      <c r="D259" s="956" t="s">
        <v>89</v>
      </c>
      <c r="E259" s="1008" t="s">
        <v>1917</v>
      </c>
      <c r="F259" s="1008"/>
      <c r="G259" s="1008" t="str">
        <f>+VLOOKUP(Data_Validation!$A259,BV_Data_An_Cour!$L:$Q,6,0)</f>
        <v>6-Coût des ventes</v>
      </c>
      <c r="H259" s="165"/>
    </row>
    <row r="260" spans="1:8" ht="15" customHeight="1">
      <c r="A260" s="1023" t="s">
        <v>2457</v>
      </c>
      <c r="B260" s="1024" t="s">
        <v>2456</v>
      </c>
      <c r="C260" s="956" t="s">
        <v>75</v>
      </c>
      <c r="D260" s="956" t="s">
        <v>95</v>
      </c>
      <c r="E260" s="1008" t="s">
        <v>1917</v>
      </c>
      <c r="F260" s="1008"/>
      <c r="G260" s="1008" t="str">
        <f>+VLOOKUP(Data_Validation!$A260,BV_Data_An_Cour!$L:$Q,6,0)</f>
        <v>6-Coût des ventes</v>
      </c>
      <c r="H260" s="165"/>
    </row>
    <row r="261" spans="1:8" ht="15" customHeight="1">
      <c r="A261" s="1020" t="s">
        <v>2849</v>
      </c>
      <c r="B261" s="1025" t="s">
        <v>2456</v>
      </c>
      <c r="C261" s="956" t="s">
        <v>75</v>
      </c>
      <c r="D261" s="956" t="s">
        <v>94</v>
      </c>
      <c r="E261" s="1008" t="s">
        <v>1917</v>
      </c>
      <c r="F261" s="1008"/>
      <c r="G261" s="1008" t="str">
        <f>+VLOOKUP(Data_Validation!$A261,BV_Data_An_Cour!$L:$Q,6,0)</f>
        <v>6-Coût des ventes</v>
      </c>
      <c r="H261" s="165"/>
    </row>
    <row r="262" spans="1:8" ht="15" customHeight="1">
      <c r="A262" s="1020" t="s">
        <v>2853</v>
      </c>
      <c r="B262" s="1025" t="s">
        <v>2852</v>
      </c>
      <c r="C262" s="956" t="s">
        <v>144</v>
      </c>
      <c r="D262" s="956" t="s">
        <v>146</v>
      </c>
      <c r="E262" s="1008" t="s">
        <v>1917</v>
      </c>
      <c r="F262" s="1008"/>
      <c r="G262" s="1008" t="str">
        <f>+VLOOKUP(Data_Validation!$A262,BV_Data_An_Cour!$L:$Q,6,0)</f>
        <v>6-Coût des ventes</v>
      </c>
      <c r="H262" s="165"/>
    </row>
    <row r="263" spans="1:8" ht="15" customHeight="1">
      <c r="A263" s="1023" t="s">
        <v>2831</v>
      </c>
      <c r="B263" s="1026" t="s">
        <v>2830</v>
      </c>
      <c r="C263" s="1022" t="s">
        <v>144</v>
      </c>
      <c r="D263" s="956" t="s">
        <v>146</v>
      </c>
      <c r="E263" s="1008" t="s">
        <v>1917</v>
      </c>
      <c r="F263" s="1008"/>
      <c r="G263" s="1008" t="str">
        <f>+VLOOKUP(Data_Validation!$A263,BV_Data_An_Cour!$L:$Q,6,0)</f>
        <v>6-Coût des ventes</v>
      </c>
      <c r="H263" s="165"/>
    </row>
    <row r="264" spans="1:8" ht="15" customHeight="1">
      <c r="A264" s="951" t="s">
        <v>2619</v>
      </c>
      <c r="B264" s="171" t="s">
        <v>2618</v>
      </c>
      <c r="C264" s="956" t="s">
        <v>144</v>
      </c>
      <c r="D264" s="956" t="s">
        <v>147</v>
      </c>
      <c r="E264" s="1008" t="s">
        <v>1917</v>
      </c>
      <c r="F264" s="1008"/>
      <c r="G264" s="1008" t="e">
        <f>+VLOOKUP(Data_Validation!$A264,BV_Data_An_Cour!$L:$Q,6,0)</f>
        <v>#N/A</v>
      </c>
      <c r="H264" s="165"/>
    </row>
    <row r="265" spans="1:8" ht="15" customHeight="1">
      <c r="A265" s="168" t="s">
        <v>2459</v>
      </c>
      <c r="B265" s="169" t="s">
        <v>2458</v>
      </c>
      <c r="C265" s="956" t="s">
        <v>144</v>
      </c>
      <c r="D265" s="956" t="s">
        <v>147</v>
      </c>
      <c r="E265" s="1008" t="s">
        <v>1917</v>
      </c>
      <c r="F265" s="1008"/>
      <c r="G265" s="1008" t="e">
        <f>+VLOOKUP(Data_Validation!$A265,BV_Data_An_Cour!$L:$Q,6,0)</f>
        <v>#N/A</v>
      </c>
      <c r="H265" s="165"/>
    </row>
    <row r="266" spans="1:8" ht="15" customHeight="1">
      <c r="A266" s="168" t="s">
        <v>2827</v>
      </c>
      <c r="B266" s="169" t="s">
        <v>2038</v>
      </c>
      <c r="C266" s="956" t="s">
        <v>144</v>
      </c>
      <c r="D266" s="956" t="s">
        <v>147</v>
      </c>
      <c r="E266" s="1008" t="s">
        <v>1917</v>
      </c>
      <c r="F266" s="1008"/>
      <c r="G266" s="1008" t="str">
        <f>+VLOOKUP(Data_Validation!$A266,BV_Data_An_Cour!$L:$Q,6,0)</f>
        <v>6-Coût des ventes</v>
      </c>
      <c r="H266" s="165"/>
    </row>
    <row r="267" spans="1:8" ht="15" customHeight="1">
      <c r="A267" s="171" t="s">
        <v>2673</v>
      </c>
      <c r="B267" s="171" t="s">
        <v>2672</v>
      </c>
      <c r="C267" s="956" t="s">
        <v>144</v>
      </c>
      <c r="D267" s="956" t="s">
        <v>147</v>
      </c>
      <c r="E267" s="1008" t="s">
        <v>1917</v>
      </c>
      <c r="F267" s="1008"/>
      <c r="G267" s="1008" t="e">
        <f>+VLOOKUP(Data_Validation!$A267,BV_Data_An_Cour!$L:$Q,6,0)</f>
        <v>#N/A</v>
      </c>
      <c r="H267" s="165"/>
    </row>
    <row r="268" spans="1:8" ht="15" customHeight="1">
      <c r="A268" s="951" t="s">
        <v>2848</v>
      </c>
      <c r="B268" s="171" t="s">
        <v>2006</v>
      </c>
      <c r="C268" s="956" t="s">
        <v>144</v>
      </c>
      <c r="D268" s="956" t="s">
        <v>150</v>
      </c>
      <c r="E268" s="1008" t="s">
        <v>1917</v>
      </c>
      <c r="F268" s="1008"/>
      <c r="G268" s="1008" t="str">
        <f>+VLOOKUP(Data_Validation!$A268,BV_Data_An_Cour!$L:$Q,6,0)</f>
        <v>6-Coût des ventes</v>
      </c>
      <c r="H268" s="165"/>
    </row>
    <row r="269" spans="1:8" ht="15" customHeight="1">
      <c r="A269" s="168" t="s">
        <v>2829</v>
      </c>
      <c r="B269" s="169" t="s">
        <v>2828</v>
      </c>
      <c r="C269" s="956" t="s">
        <v>155</v>
      </c>
      <c r="D269" s="956" t="s">
        <v>159</v>
      </c>
      <c r="E269" s="1008" t="s">
        <v>1917</v>
      </c>
      <c r="F269" s="1008"/>
      <c r="G269" s="1008" t="str">
        <f>+VLOOKUP(Data_Validation!$A269,BV_Data_An_Cour!$L:$Q,6,0)</f>
        <v>6-Coût des ventes</v>
      </c>
      <c r="H269" s="165"/>
    </row>
    <row r="270" spans="1:8" ht="15" customHeight="1">
      <c r="A270" s="951" t="s">
        <v>2567</v>
      </c>
      <c r="B270" s="171" t="s">
        <v>2566</v>
      </c>
      <c r="C270" s="956" t="s">
        <v>155</v>
      </c>
      <c r="D270" s="956" t="s">
        <v>163</v>
      </c>
      <c r="E270" s="1008" t="s">
        <v>1917</v>
      </c>
      <c r="F270" s="1008"/>
      <c r="G270" s="1008" t="str">
        <f>+VLOOKUP(Data_Validation!$A270,BV_Data_An_Cour!$L:$Q,6,0)</f>
        <v>6-Coût des ventes</v>
      </c>
      <c r="H270" s="165"/>
    </row>
    <row r="271" spans="1:8" ht="15" customHeight="1">
      <c r="A271" s="167" t="s">
        <v>2792</v>
      </c>
      <c r="B271" s="171" t="s">
        <v>2791</v>
      </c>
      <c r="C271" s="956" t="s">
        <v>155</v>
      </c>
      <c r="D271" s="956" t="s">
        <v>161</v>
      </c>
      <c r="E271" s="1008" t="s">
        <v>1917</v>
      </c>
      <c r="F271" s="1008"/>
      <c r="G271" s="1008" t="str">
        <f>+VLOOKUP(Data_Validation!$A271,BV_Data_An_Cour!$L:$Q,6,0)</f>
        <v>6-Coût des ventes</v>
      </c>
      <c r="H271" s="165"/>
    </row>
    <row r="272" spans="1:8" ht="15" customHeight="1">
      <c r="A272" s="951" t="s">
        <v>2778</v>
      </c>
      <c r="B272" s="171" t="s">
        <v>2777</v>
      </c>
      <c r="C272" s="956" t="s">
        <v>155</v>
      </c>
      <c r="D272" s="956" t="s">
        <v>162</v>
      </c>
      <c r="E272" s="1008" t="s">
        <v>1917</v>
      </c>
      <c r="F272" s="1008"/>
      <c r="G272" s="1008" t="str">
        <f>+VLOOKUP(Data_Validation!$A272,BV_Data_An_Cour!$L:$Q,6,0)</f>
        <v>6-Coût des ventes</v>
      </c>
      <c r="H272" s="165"/>
    </row>
    <row r="273" spans="1:8" ht="15" customHeight="1">
      <c r="A273" s="951" t="s">
        <v>2726</v>
      </c>
      <c r="B273" s="171" t="s">
        <v>2725</v>
      </c>
      <c r="C273" s="956" t="s">
        <v>155</v>
      </c>
      <c r="D273" s="956" t="s">
        <v>164</v>
      </c>
      <c r="E273" s="1008" t="s">
        <v>1917</v>
      </c>
      <c r="F273" s="1008"/>
      <c r="G273" s="1008" t="str">
        <f>+VLOOKUP(Data_Validation!$A273,BV_Data_An_Cour!$L:$Q,6,0)</f>
        <v>6-Coût des ventes</v>
      </c>
      <c r="H273" s="165"/>
    </row>
    <row r="274" spans="1:8" ht="15" customHeight="1">
      <c r="A274" s="951" t="s">
        <v>2802</v>
      </c>
      <c r="B274" s="171" t="s">
        <v>2071</v>
      </c>
      <c r="C274" s="956" t="s">
        <v>175</v>
      </c>
      <c r="D274" s="956" t="s">
        <v>187</v>
      </c>
      <c r="E274" s="1008" t="s">
        <v>1917</v>
      </c>
      <c r="F274" s="1008"/>
      <c r="G274" s="1008" t="str">
        <f>+VLOOKUP(Data_Validation!$A274,BV_Data_An_Cour!$L:$Q,6,0)</f>
        <v>6-Coût des ventes</v>
      </c>
      <c r="H274" s="165"/>
    </row>
    <row r="275" spans="1:8" ht="15" customHeight="1">
      <c r="A275" s="951" t="s">
        <v>2713</v>
      </c>
      <c r="B275" s="171" t="s">
        <v>2144</v>
      </c>
      <c r="C275" s="956" t="s">
        <v>155</v>
      </c>
      <c r="D275" s="956" t="s">
        <v>167</v>
      </c>
      <c r="E275" s="1008" t="s">
        <v>1917</v>
      </c>
      <c r="F275" s="1008"/>
      <c r="G275" s="1008" t="str">
        <f>+VLOOKUP(Data_Validation!$A275,BV_Data_An_Cour!$L:$Q,6,0)</f>
        <v>6-Coût des ventes</v>
      </c>
      <c r="H275" s="165"/>
    </row>
    <row r="276" spans="1:8" ht="15" customHeight="1">
      <c r="A276" s="168" t="s">
        <v>2688</v>
      </c>
      <c r="B276" s="169" t="s">
        <v>2687</v>
      </c>
      <c r="C276" s="956" t="s">
        <v>155</v>
      </c>
      <c r="D276" s="956" t="s">
        <v>167</v>
      </c>
      <c r="E276" s="1008" t="s">
        <v>1917</v>
      </c>
      <c r="F276" s="1011"/>
      <c r="G276" s="1011" t="str">
        <f>+VLOOKUP(Data_Validation!$A276,BV_Data_An_Cour!$L:$Q,6,0)</f>
        <v>6-Coût des ventes</v>
      </c>
      <c r="H276" s="165"/>
    </row>
    <row r="277" spans="1:8" ht="15" customHeight="1">
      <c r="A277" s="951" t="s">
        <v>2790</v>
      </c>
      <c r="B277" s="171" t="s">
        <v>2789</v>
      </c>
      <c r="C277" s="956" t="s">
        <v>155</v>
      </c>
      <c r="D277" s="956" t="s">
        <v>167</v>
      </c>
      <c r="E277" s="1008" t="s">
        <v>1917</v>
      </c>
      <c r="F277" s="1008"/>
      <c r="G277" s="1008" t="str">
        <f>+VLOOKUP(Data_Validation!$A277,BV_Data_An_Cour!$L:$Q,6,0)</f>
        <v>6-Coût des ventes</v>
      </c>
      <c r="H277" s="165"/>
    </row>
    <row r="278" spans="1:8" ht="15" customHeight="1">
      <c r="A278" s="951" t="s">
        <v>2799</v>
      </c>
      <c r="B278" s="171" t="s">
        <v>2798</v>
      </c>
      <c r="C278" s="956" t="s">
        <v>171</v>
      </c>
      <c r="D278" s="956" t="s">
        <v>172</v>
      </c>
      <c r="E278" s="1008" t="s">
        <v>1917</v>
      </c>
      <c r="F278" s="1008"/>
      <c r="G278" s="1008" t="str">
        <f>+VLOOKUP(Data_Validation!$A278,BV_Data_An_Cour!$L:$Q,6,0)</f>
        <v>6-Coût des ventes</v>
      </c>
      <c r="H278" s="165"/>
    </row>
    <row r="279" spans="1:8" ht="15" customHeight="1">
      <c r="A279" s="167" t="s">
        <v>2809</v>
      </c>
      <c r="B279" s="171" t="s">
        <v>2808</v>
      </c>
      <c r="C279" s="956" t="s">
        <v>171</v>
      </c>
      <c r="D279" s="956" t="s">
        <v>172</v>
      </c>
      <c r="E279" s="1008" t="s">
        <v>1917</v>
      </c>
      <c r="F279" s="1008"/>
      <c r="G279" s="1008" t="str">
        <f>+VLOOKUP(Data_Validation!$A279,BV_Data_An_Cour!$L:$Q,6,0)</f>
        <v>6-Coût des ventes</v>
      </c>
      <c r="H279" s="165"/>
    </row>
    <row r="280" spans="1:8" ht="15" customHeight="1">
      <c r="A280" s="951" t="s">
        <v>2768</v>
      </c>
      <c r="B280" s="171" t="s">
        <v>2767</v>
      </c>
      <c r="C280" s="956" t="s">
        <v>171</v>
      </c>
      <c r="D280" s="956" t="s">
        <v>172</v>
      </c>
      <c r="E280" s="1008" t="s">
        <v>1917</v>
      </c>
      <c r="F280" s="1008"/>
      <c r="G280" s="1008" t="str">
        <f>+VLOOKUP(Data_Validation!$A280,BV_Data_An_Cour!$L:$Q,6,0)</f>
        <v>6-Coût des ventes</v>
      </c>
      <c r="H280" s="165"/>
    </row>
    <row r="281" spans="1:8" ht="15" customHeight="1">
      <c r="A281" s="951" t="s">
        <v>2833</v>
      </c>
      <c r="B281" s="171" t="s">
        <v>2832</v>
      </c>
      <c r="C281" s="956" t="s">
        <v>175</v>
      </c>
      <c r="D281" s="956" t="s">
        <v>177</v>
      </c>
      <c r="E281" s="1008" t="s">
        <v>1917</v>
      </c>
      <c r="F281" s="1008"/>
      <c r="G281" s="1008" t="str">
        <f>+VLOOKUP(Data_Validation!$A281,BV_Data_An_Cour!$L:$Q,6,0)</f>
        <v>6-Coût des ventes</v>
      </c>
      <c r="H281" s="165"/>
    </row>
    <row r="282" spans="1:8" ht="15" customHeight="1">
      <c r="A282" s="951" t="s">
        <v>2705</v>
      </c>
      <c r="B282" s="171" t="s">
        <v>2658</v>
      </c>
      <c r="C282" s="956" t="s">
        <v>155</v>
      </c>
      <c r="D282" s="956" t="s">
        <v>159</v>
      </c>
      <c r="E282" s="1008" t="s">
        <v>1917</v>
      </c>
      <c r="F282" s="1008"/>
      <c r="G282" s="1008" t="str">
        <f>+VLOOKUP(Data_Validation!$A282,BV_Data_An_Cour!$L:$Q,6,0)</f>
        <v>6-Coût des ventes</v>
      </c>
      <c r="H282" s="165"/>
    </row>
    <row r="283" spans="1:8" ht="15" customHeight="1">
      <c r="A283" s="168" t="s">
        <v>2815</v>
      </c>
      <c r="B283" s="169" t="s">
        <v>2814</v>
      </c>
      <c r="C283" s="956" t="s">
        <v>175</v>
      </c>
      <c r="D283" s="956" t="s">
        <v>179</v>
      </c>
      <c r="E283" s="1008" t="s">
        <v>1917</v>
      </c>
      <c r="F283" s="1008"/>
      <c r="G283" s="1008" t="str">
        <f>+VLOOKUP(Data_Validation!$A283,BV_Data_An_Cour!$L:$Q,6,0)</f>
        <v>6-Coût des ventes</v>
      </c>
      <c r="H283" s="165"/>
    </row>
    <row r="284" spans="1:8" ht="15" customHeight="1">
      <c r="A284" s="951" t="s">
        <v>2812</v>
      </c>
      <c r="B284" s="171" t="s">
        <v>2811</v>
      </c>
      <c r="C284" s="956" t="s">
        <v>175</v>
      </c>
      <c r="D284" s="956" t="s">
        <v>180</v>
      </c>
      <c r="E284" s="1008" t="s">
        <v>1917</v>
      </c>
      <c r="F284" s="1008"/>
      <c r="G284" s="1008" t="str">
        <f>+VLOOKUP(Data_Validation!$A284,BV_Data_An_Cour!$L:$Q,6,0)</f>
        <v>6-Coût des ventes</v>
      </c>
      <c r="H284" s="165"/>
    </row>
    <row r="285" spans="1:8" ht="15" customHeight="1">
      <c r="A285" s="168" t="s">
        <v>2659</v>
      </c>
      <c r="B285" s="169" t="s">
        <v>2658</v>
      </c>
      <c r="C285" s="956" t="s">
        <v>155</v>
      </c>
      <c r="D285" s="956" t="s">
        <v>162</v>
      </c>
      <c r="E285" s="1008" t="s">
        <v>1917</v>
      </c>
      <c r="F285" s="1008"/>
      <c r="G285" s="1008" t="str">
        <f>+VLOOKUP(Data_Validation!$A285,BV_Data_An_Cour!$L:$Q,6,0)</f>
        <v>6-Coût des ventes</v>
      </c>
      <c r="H285" s="165"/>
    </row>
    <row r="286" spans="1:8" ht="15" customHeight="1">
      <c r="A286" s="951" t="s">
        <v>2728</v>
      </c>
      <c r="B286" s="171" t="s">
        <v>2460</v>
      </c>
      <c r="C286" s="956" t="s">
        <v>175</v>
      </c>
      <c r="D286" s="956" t="s">
        <v>177</v>
      </c>
      <c r="E286" s="1008" t="s">
        <v>1917</v>
      </c>
      <c r="F286" s="1008"/>
      <c r="G286" s="1008" t="str">
        <f>+VLOOKUP(Data_Validation!$A286,BV_Data_An_Cour!$L:$Q,6,0)</f>
        <v>6-Coût des ventes</v>
      </c>
      <c r="H286" s="165"/>
    </row>
    <row r="287" spans="1:8" ht="15" customHeight="1">
      <c r="A287" s="168" t="s">
        <v>2461</v>
      </c>
      <c r="B287" s="169" t="s">
        <v>2460</v>
      </c>
      <c r="C287" s="956" t="s">
        <v>175</v>
      </c>
      <c r="D287" s="956" t="s">
        <v>177</v>
      </c>
      <c r="E287" s="1008" t="s">
        <v>1917</v>
      </c>
      <c r="F287" s="1008"/>
      <c r="G287" s="1008" t="e">
        <f>+VLOOKUP(Data_Validation!$A287,BV_Data_An_Cour!$L:$Q,6,0)</f>
        <v>#N/A</v>
      </c>
      <c r="H287" s="165"/>
    </row>
    <row r="288" spans="1:8" ht="15" customHeight="1">
      <c r="A288" s="951" t="s">
        <v>2755</v>
      </c>
      <c r="B288" s="171" t="s">
        <v>2754</v>
      </c>
      <c r="C288" s="956" t="s">
        <v>175</v>
      </c>
      <c r="D288" s="956" t="s">
        <v>178</v>
      </c>
      <c r="E288" s="1008" t="s">
        <v>1917</v>
      </c>
      <c r="F288" s="1008"/>
      <c r="G288" s="1008" t="str">
        <f>+VLOOKUP(Data_Validation!$A288,BV_Data_An_Cour!$L:$Q,6,0)</f>
        <v>6-Coût des ventes</v>
      </c>
      <c r="H288" s="165"/>
    </row>
    <row r="289" spans="1:8" ht="15" customHeight="1">
      <c r="A289" s="168" t="s">
        <v>2788</v>
      </c>
      <c r="B289" s="169" t="s">
        <v>2787</v>
      </c>
      <c r="C289" s="956" t="s">
        <v>175</v>
      </c>
      <c r="D289" s="956" t="s">
        <v>178</v>
      </c>
      <c r="E289" s="1008" t="s">
        <v>1917</v>
      </c>
      <c r="F289" s="1008"/>
      <c r="G289" s="1008" t="str">
        <f>+VLOOKUP(Data_Validation!$A289,BV_Data_An_Cour!$L:$Q,6,0)</f>
        <v>6-Coût des ventes</v>
      </c>
      <c r="H289" s="165"/>
    </row>
    <row r="290" spans="1:8" ht="15" customHeight="1">
      <c r="A290" s="167" t="s">
        <v>2669</v>
      </c>
      <c r="B290" s="171" t="s">
        <v>2668</v>
      </c>
      <c r="C290" s="956" t="s">
        <v>175</v>
      </c>
      <c r="D290" s="956" t="s">
        <v>178</v>
      </c>
      <c r="E290" s="1008" t="s">
        <v>1917</v>
      </c>
      <c r="F290" s="1008"/>
      <c r="G290" s="1008" t="str">
        <f>+VLOOKUP(Data_Validation!$A290,BV_Data_An_Cour!$L:$Q,6,0)</f>
        <v>6-Coût des ventes</v>
      </c>
      <c r="H290" s="165"/>
    </row>
    <row r="291" spans="1:8" ht="15" customHeight="1">
      <c r="A291" s="951" t="s">
        <v>2795</v>
      </c>
      <c r="B291" s="171" t="s">
        <v>2794</v>
      </c>
      <c r="C291" s="956" t="s">
        <v>175</v>
      </c>
      <c r="D291" s="956" t="s">
        <v>181</v>
      </c>
      <c r="E291" s="1008" t="s">
        <v>1917</v>
      </c>
      <c r="F291" s="1008"/>
      <c r="G291" s="1008" t="str">
        <f>+VLOOKUP(Data_Validation!$A291,BV_Data_An_Cour!$L:$Q,6,0)</f>
        <v>6-Coût des ventes</v>
      </c>
      <c r="H291" s="165"/>
    </row>
    <row r="292" spans="1:8" ht="15" customHeight="1">
      <c r="A292" s="951" t="s">
        <v>2817</v>
      </c>
      <c r="B292" s="171" t="s">
        <v>2816</v>
      </c>
      <c r="C292" s="956" t="s">
        <v>175</v>
      </c>
      <c r="D292" s="956" t="s">
        <v>182</v>
      </c>
      <c r="E292" s="1008" t="s">
        <v>1917</v>
      </c>
      <c r="F292" s="1008"/>
      <c r="G292" s="1008" t="str">
        <f>+VLOOKUP(Data_Validation!$A292,BV_Data_An_Cour!$L:$Q,6,0)</f>
        <v>6-Coût des ventes</v>
      </c>
      <c r="H292" s="165"/>
    </row>
    <row r="293" spans="1:8" ht="15" customHeight="1">
      <c r="A293" s="951" t="s">
        <v>2821</v>
      </c>
      <c r="B293" s="171" t="s">
        <v>2820</v>
      </c>
      <c r="C293" s="956" t="s">
        <v>175</v>
      </c>
      <c r="D293" s="956" t="s">
        <v>186</v>
      </c>
      <c r="E293" s="1008" t="s">
        <v>1917</v>
      </c>
      <c r="F293" s="1008"/>
      <c r="G293" s="1008" t="str">
        <f>+VLOOKUP(Data_Validation!$A293,BV_Data_An_Cour!$L:$Q,6,0)</f>
        <v>6-Coût des ventes</v>
      </c>
      <c r="H293" s="165"/>
    </row>
    <row r="294" spans="1:8" ht="15" customHeight="1">
      <c r="A294" s="951" t="s">
        <v>2730</v>
      </c>
      <c r="B294" s="171" t="s">
        <v>2729</v>
      </c>
      <c r="C294" s="956" t="s">
        <v>175</v>
      </c>
      <c r="D294" s="956" t="s">
        <v>186</v>
      </c>
      <c r="E294" s="1008" t="s">
        <v>1917</v>
      </c>
      <c r="F294" s="1008"/>
      <c r="G294" s="1008" t="str">
        <f>+VLOOKUP(Data_Validation!$A294,BV_Data_An_Cour!$L:$Q,6,0)</f>
        <v>6-Coût des ventes</v>
      </c>
      <c r="H294" s="165"/>
    </row>
    <row r="295" spans="1:8" ht="15" customHeight="1">
      <c r="A295" s="168" t="s">
        <v>2137</v>
      </c>
      <c r="B295" s="169" t="s">
        <v>2462</v>
      </c>
      <c r="C295" s="956" t="s">
        <v>175</v>
      </c>
      <c r="D295" s="956" t="s">
        <v>184</v>
      </c>
      <c r="E295" s="1008" t="s">
        <v>1917</v>
      </c>
      <c r="F295" s="1008"/>
      <c r="G295" s="1008" t="e">
        <f>+VLOOKUP(Data_Validation!$A295,BV_Data_An_Cour!$L:$Q,6,0)</f>
        <v>#N/A</v>
      </c>
      <c r="H295" s="165"/>
    </row>
    <row r="296" spans="1:8" ht="15" customHeight="1">
      <c r="A296" s="951" t="s">
        <v>2136</v>
      </c>
      <c r="B296" s="171" t="s">
        <v>2135</v>
      </c>
      <c r="C296" s="956" t="s">
        <v>175</v>
      </c>
      <c r="D296" s="956" t="s">
        <v>183</v>
      </c>
      <c r="E296" s="1008" t="s">
        <v>1917</v>
      </c>
      <c r="F296" s="1008"/>
      <c r="G296" s="1008" t="str">
        <f>+VLOOKUP(Data_Validation!$A296,BV_Data_An_Cour!$L:$Q,6,0)</f>
        <v>6-Coût des ventes</v>
      </c>
      <c r="H296" s="165"/>
    </row>
    <row r="297" spans="1:8" ht="15" customHeight="1">
      <c r="A297" s="951" t="s">
        <v>2781</v>
      </c>
      <c r="B297" s="171" t="s">
        <v>1523</v>
      </c>
      <c r="C297" s="956" t="s">
        <v>75</v>
      </c>
      <c r="D297" s="956" t="s">
        <v>103</v>
      </c>
      <c r="E297" s="1008" t="s">
        <v>1917</v>
      </c>
      <c r="F297" s="1008"/>
      <c r="G297" s="1008" t="str">
        <f>+VLOOKUP(Data_Validation!$A297,BV_Data_An_Cour!$L:$Q,6,0)</f>
        <v>7-Dépenses</v>
      </c>
      <c r="H297" s="165"/>
    </row>
    <row r="298" spans="1:8" ht="15" customHeight="1">
      <c r="A298" s="951" t="s">
        <v>2770</v>
      </c>
      <c r="B298" s="171" t="s">
        <v>1442</v>
      </c>
      <c r="C298" s="956" t="s">
        <v>75</v>
      </c>
      <c r="D298" s="956" t="s">
        <v>104</v>
      </c>
      <c r="E298" s="1008" t="s">
        <v>1917</v>
      </c>
      <c r="F298" s="1008"/>
      <c r="G298" s="1008" t="str">
        <f>+VLOOKUP(Data_Validation!$A298,BV_Data_An_Cour!$L:$Q,6,0)</f>
        <v>7-Dépenses</v>
      </c>
      <c r="H298" s="165"/>
    </row>
    <row r="299" spans="1:8" ht="15" customHeight="1">
      <c r="A299" s="951" t="s">
        <v>2706</v>
      </c>
      <c r="B299" s="1021" t="s">
        <v>399</v>
      </c>
      <c r="C299" s="1022" t="s">
        <v>75</v>
      </c>
      <c r="D299" s="956" t="s">
        <v>106</v>
      </c>
      <c r="E299" s="1008" t="s">
        <v>1917</v>
      </c>
      <c r="F299" s="1008"/>
      <c r="G299" s="1008" t="str">
        <f>+VLOOKUP(Data_Validation!$A299,BV_Data_An_Cour!$L:$Q,6,0)</f>
        <v>7-Dépenses</v>
      </c>
      <c r="H299" s="165"/>
    </row>
    <row r="300" spans="1:8" ht="15" customHeight="1">
      <c r="A300" s="951" t="s">
        <v>2759</v>
      </c>
      <c r="B300" s="1021" t="s">
        <v>2757</v>
      </c>
      <c r="C300" s="1022" t="s">
        <v>75</v>
      </c>
      <c r="D300" s="956" t="s">
        <v>107</v>
      </c>
      <c r="E300" s="1008" t="s">
        <v>1917</v>
      </c>
      <c r="F300" s="1008"/>
      <c r="G300" s="1008" t="str">
        <f>+VLOOKUP(Data_Validation!$A300,BV_Data_An_Cour!$L:$Q,6,0)</f>
        <v>7-Dépenses</v>
      </c>
      <c r="H300" s="165"/>
    </row>
    <row r="301" spans="1:8" ht="15" customHeight="1">
      <c r="A301" s="169" t="s">
        <v>2612</v>
      </c>
      <c r="B301" s="1026" t="s">
        <v>938</v>
      </c>
      <c r="C301" s="1022" t="s">
        <v>75</v>
      </c>
      <c r="D301" s="956" t="s">
        <v>109</v>
      </c>
      <c r="E301" s="1008" t="s">
        <v>1917</v>
      </c>
      <c r="F301" s="1008"/>
      <c r="G301" s="1008" t="str">
        <f>+VLOOKUP(Data_Validation!$A301,BV_Data_An_Cour!$L:$Q,6,0)</f>
        <v>7-Dépenses</v>
      </c>
      <c r="H301" s="165"/>
    </row>
    <row r="302" spans="1:8" ht="15" customHeight="1">
      <c r="A302" s="951" t="s">
        <v>2696</v>
      </c>
      <c r="B302" s="1021" t="s">
        <v>1407</v>
      </c>
      <c r="C302" s="1022" t="s">
        <v>75</v>
      </c>
      <c r="D302" s="956" t="s">
        <v>105</v>
      </c>
      <c r="E302" s="1008" t="s">
        <v>1917</v>
      </c>
      <c r="F302" s="1008"/>
      <c r="G302" s="1008" t="str">
        <f>+VLOOKUP(Data_Validation!$A302,BV_Data_An_Cour!$L:$Q,6,0)</f>
        <v>7-Dépenses</v>
      </c>
      <c r="H302" s="165"/>
    </row>
    <row r="303" spans="1:8" ht="15" customHeight="1">
      <c r="A303" s="169" t="s">
        <v>2113</v>
      </c>
      <c r="B303" s="1026" t="s">
        <v>1374</v>
      </c>
      <c r="C303" s="1022" t="s">
        <v>75</v>
      </c>
      <c r="D303" s="956" t="s">
        <v>108</v>
      </c>
      <c r="E303" s="1008" t="s">
        <v>1917</v>
      </c>
      <c r="F303" s="1008"/>
      <c r="G303" s="1008" t="str">
        <f>+VLOOKUP(Data_Validation!$A303,BV_Data_An_Cour!$L:$Q,6,0)</f>
        <v>7-Dépenses</v>
      </c>
      <c r="H303" s="165"/>
    </row>
    <row r="304" spans="1:8" ht="15" customHeight="1">
      <c r="A304" s="951" t="s">
        <v>2112</v>
      </c>
      <c r="B304" s="171" t="s">
        <v>2111</v>
      </c>
      <c r="C304" s="956" t="s">
        <v>75</v>
      </c>
      <c r="D304" s="956" t="s">
        <v>108</v>
      </c>
      <c r="E304" s="1008" t="s">
        <v>1917</v>
      </c>
      <c r="F304" s="1008"/>
      <c r="G304" s="1008" t="str">
        <f>+VLOOKUP(Data_Validation!$A304,BV_Data_An_Cour!$L:$Q,6,0)</f>
        <v>7-Dépenses</v>
      </c>
      <c r="H304" s="165"/>
    </row>
    <row r="305" spans="1:8" ht="15" customHeight="1">
      <c r="A305" s="951" t="s">
        <v>2648</v>
      </c>
      <c r="B305" s="171" t="s">
        <v>1259</v>
      </c>
      <c r="C305" s="956" t="s">
        <v>75</v>
      </c>
      <c r="D305" s="956" t="s">
        <v>213</v>
      </c>
      <c r="E305" s="1008" t="s">
        <v>1917</v>
      </c>
      <c r="F305" s="1008"/>
      <c r="G305" s="1008" t="str">
        <f>+VLOOKUP(Data_Validation!$A305,BV_Data_An_Cour!$L:$Q,6,0)</f>
        <v>7-Dépenses</v>
      </c>
      <c r="H305" s="165"/>
    </row>
    <row r="306" spans="1:8" ht="15" customHeight="1">
      <c r="A306" s="169" t="s">
        <v>2626</v>
      </c>
      <c r="B306" s="169" t="s">
        <v>2624</v>
      </c>
      <c r="C306" s="956" t="s">
        <v>75</v>
      </c>
      <c r="D306" s="956" t="s">
        <v>112</v>
      </c>
      <c r="E306" s="1008" t="s">
        <v>1917</v>
      </c>
      <c r="F306" s="1008"/>
      <c r="G306" s="1008" t="str">
        <f>+VLOOKUP(Data_Validation!$A306,BV_Data_An_Cour!$L:$Q,6,0)</f>
        <v>7-Dépenses</v>
      </c>
      <c r="H306" s="165"/>
    </row>
    <row r="307" spans="1:8" ht="15" customHeight="1">
      <c r="A307" s="951" t="s">
        <v>2679</v>
      </c>
      <c r="B307" s="171" t="s">
        <v>1342</v>
      </c>
      <c r="C307" s="956" t="s">
        <v>75</v>
      </c>
      <c r="D307" s="956" t="s">
        <v>113</v>
      </c>
      <c r="E307" s="1008" t="s">
        <v>1917</v>
      </c>
      <c r="F307" s="1008"/>
      <c r="G307" s="1008" t="str">
        <f>+VLOOKUP(Data_Validation!$A307,BV_Data_An_Cour!$L:$Q,6,0)</f>
        <v>7-Dépenses</v>
      </c>
      <c r="H307" s="165"/>
    </row>
    <row r="308" spans="1:8" ht="15" customHeight="1">
      <c r="A308" s="169" t="s">
        <v>2735</v>
      </c>
      <c r="B308" s="169" t="s">
        <v>1249</v>
      </c>
      <c r="C308" s="956" t="s">
        <v>75</v>
      </c>
      <c r="D308" s="956" t="s">
        <v>114</v>
      </c>
      <c r="E308" s="1008" t="s">
        <v>1917</v>
      </c>
      <c r="F308" s="1008"/>
      <c r="G308" s="1008" t="str">
        <f>+VLOOKUP(Data_Validation!$A308,BV_Data_An_Cour!$L:$Q,6,0)</f>
        <v>7-Dépenses</v>
      </c>
      <c r="H308" s="165"/>
    </row>
    <row r="309" spans="1:8" ht="15" customHeight="1">
      <c r="A309" s="167" t="s">
        <v>2641</v>
      </c>
      <c r="B309" s="171" t="s">
        <v>1445</v>
      </c>
      <c r="C309" s="956" t="s">
        <v>75</v>
      </c>
      <c r="D309" s="956" t="s">
        <v>116</v>
      </c>
      <c r="E309" s="1008" t="s">
        <v>1917</v>
      </c>
      <c r="F309" s="1008"/>
      <c r="G309" s="1008" t="str">
        <f>+VLOOKUP(Data_Validation!$A309,BV_Data_An_Cour!$L:$Q,6,0)</f>
        <v>7-Dépenses</v>
      </c>
      <c r="H309" s="165"/>
    </row>
    <row r="310" spans="1:8" ht="15" customHeight="1">
      <c r="A310" s="951" t="s">
        <v>2586</v>
      </c>
      <c r="B310" s="171" t="s">
        <v>1252</v>
      </c>
      <c r="C310" s="956" t="s">
        <v>75</v>
      </c>
      <c r="D310" s="956" t="s">
        <v>119</v>
      </c>
      <c r="E310" s="1008" t="s">
        <v>1917</v>
      </c>
      <c r="F310" s="1008"/>
      <c r="G310" s="1008" t="str">
        <f>+VLOOKUP(Data_Validation!$A310,BV_Data_An_Cour!$L:$Q,6,0)</f>
        <v>7-Dépenses</v>
      </c>
      <c r="H310" s="165"/>
    </row>
    <row r="311" spans="1:8" ht="15" customHeight="1">
      <c r="A311" s="951" t="s">
        <v>2685</v>
      </c>
      <c r="B311" s="171" t="s">
        <v>1283</v>
      </c>
      <c r="C311" s="956" t="s">
        <v>75</v>
      </c>
      <c r="D311" s="956" t="s">
        <v>117</v>
      </c>
      <c r="E311" s="1008" t="s">
        <v>1917</v>
      </c>
      <c r="F311" s="1008"/>
      <c r="G311" s="1008" t="str">
        <f>+VLOOKUP(Data_Validation!$A311,BV_Data_An_Cour!$L:$Q,6,0)</f>
        <v>7-Dépenses</v>
      </c>
      <c r="H311" s="165"/>
    </row>
    <row r="312" spans="1:8" ht="15" customHeight="1">
      <c r="A312" s="169" t="s">
        <v>2694</v>
      </c>
      <c r="B312" s="169" t="s">
        <v>1414</v>
      </c>
      <c r="C312" s="956" t="s">
        <v>75</v>
      </c>
      <c r="D312" s="956" t="s">
        <v>118</v>
      </c>
      <c r="E312" s="1008" t="s">
        <v>1917</v>
      </c>
      <c r="F312" s="1008"/>
      <c r="G312" s="1008" t="str">
        <f>+VLOOKUP(Data_Validation!$A312,BV_Data_An_Cour!$L:$Q,6,0)</f>
        <v>7-Dépenses</v>
      </c>
      <c r="H312" s="165"/>
    </row>
    <row r="313" spans="1:8" ht="15" customHeight="1">
      <c r="A313" s="169" t="s">
        <v>2563</v>
      </c>
      <c r="B313" s="169" t="s">
        <v>1157</v>
      </c>
      <c r="C313" s="956" t="s">
        <v>75</v>
      </c>
      <c r="D313" s="956" t="s">
        <v>127</v>
      </c>
      <c r="E313" s="1008" t="s">
        <v>1917</v>
      </c>
      <c r="F313" s="1008"/>
      <c r="G313" s="1008" t="e">
        <f>+VLOOKUP(Data_Validation!$A313,BV_Data_An_Cour!$L:$Q,6,0)</f>
        <v>#N/A</v>
      </c>
      <c r="H313" s="165"/>
    </row>
    <row r="314" spans="1:8" ht="15" customHeight="1">
      <c r="A314" s="171" t="s">
        <v>2159</v>
      </c>
      <c r="B314" s="171" t="s">
        <v>932</v>
      </c>
      <c r="C314" s="956" t="s">
        <v>75</v>
      </c>
      <c r="D314" s="956" t="s">
        <v>128</v>
      </c>
      <c r="E314" s="1008" t="s">
        <v>1917</v>
      </c>
      <c r="F314" s="1008"/>
      <c r="G314" s="1008" t="e">
        <f>+VLOOKUP(Data_Validation!$A314,BV_Data_An_Cour!$L:$Q,6,0)</f>
        <v>#N/A</v>
      </c>
      <c r="H314" s="165"/>
    </row>
    <row r="315" spans="1:8" ht="15" customHeight="1">
      <c r="A315" s="171" t="s">
        <v>2561</v>
      </c>
      <c r="B315" s="171" t="s">
        <v>934</v>
      </c>
      <c r="C315" s="956" t="s">
        <v>75</v>
      </c>
      <c r="D315" s="956" t="s">
        <v>133</v>
      </c>
      <c r="E315" s="1008" t="s">
        <v>1917</v>
      </c>
      <c r="F315" s="1008"/>
      <c r="G315" s="1008" t="str">
        <f>+VLOOKUP(Data_Validation!$A315,BV_Data_An_Cour!$L:$Q,6,0)</f>
        <v>7-Dépenses</v>
      </c>
      <c r="H315" s="165"/>
    </row>
    <row r="316" spans="1:8" ht="15" customHeight="1">
      <c r="A316" s="951" t="s">
        <v>2632</v>
      </c>
      <c r="B316" s="171" t="s">
        <v>1186</v>
      </c>
      <c r="C316" s="956" t="s">
        <v>75</v>
      </c>
      <c r="D316" s="956" t="s">
        <v>123</v>
      </c>
      <c r="E316" s="1008" t="s">
        <v>1917</v>
      </c>
      <c r="F316" s="1008"/>
      <c r="G316" s="1008" t="str">
        <f>+VLOOKUP(Data_Validation!$A316,BV_Data_An_Cour!$L:$Q,6,0)</f>
        <v>7-Dépenses</v>
      </c>
      <c r="H316" s="165"/>
    </row>
    <row r="317" spans="1:8" ht="15" customHeight="1">
      <c r="A317" s="169" t="s">
        <v>2581</v>
      </c>
      <c r="B317" s="169" t="s">
        <v>1180</v>
      </c>
      <c r="C317" s="956" t="s">
        <v>75</v>
      </c>
      <c r="D317" s="956" t="s">
        <v>131</v>
      </c>
      <c r="E317" s="1008" t="s">
        <v>1917</v>
      </c>
      <c r="F317" s="1008"/>
      <c r="G317" s="1008" t="str">
        <f>+VLOOKUP(Data_Validation!$A317,BV_Data_An_Cour!$L:$Q,6,0)</f>
        <v>7-Dépenses</v>
      </c>
      <c r="H317" s="165"/>
    </row>
    <row r="318" spans="1:8" ht="15" customHeight="1">
      <c r="A318" s="169" t="s">
        <v>2702</v>
      </c>
      <c r="B318" s="169" t="s">
        <v>1286</v>
      </c>
      <c r="C318" s="956" t="s">
        <v>75</v>
      </c>
      <c r="D318" s="956" t="s">
        <v>124</v>
      </c>
      <c r="E318" s="1008" t="s">
        <v>1917</v>
      </c>
      <c r="F318" s="1008"/>
      <c r="G318" s="1008" t="str">
        <f>+VLOOKUP(Data_Validation!$A318,BV_Data_An_Cour!$L:$Q,6,0)</f>
        <v>7-Dépenses</v>
      </c>
      <c r="H318" s="165"/>
    </row>
    <row r="319" spans="1:8" ht="15" customHeight="1">
      <c r="A319" s="168" t="s">
        <v>2588</v>
      </c>
      <c r="B319" s="169" t="s">
        <v>1206</v>
      </c>
      <c r="C319" s="956" t="s">
        <v>75</v>
      </c>
      <c r="D319" s="956" t="s">
        <v>129</v>
      </c>
      <c r="E319" s="1008" t="s">
        <v>1917</v>
      </c>
      <c r="F319" s="1008"/>
      <c r="G319" s="1008" t="str">
        <f>+VLOOKUP(Data_Validation!$A319,BV_Data_An_Cour!$L:$Q,6,0)</f>
        <v>7-Dépenses</v>
      </c>
      <c r="H319" s="165"/>
    </row>
    <row r="320" spans="1:8" ht="15" customHeight="1">
      <c r="A320" s="169" t="s">
        <v>2592</v>
      </c>
      <c r="B320" s="169" t="s">
        <v>1154</v>
      </c>
      <c r="C320" s="956" t="s">
        <v>75</v>
      </c>
      <c r="D320" s="956" t="s">
        <v>130</v>
      </c>
      <c r="E320" s="1008" t="s">
        <v>1917</v>
      </c>
      <c r="F320" s="1008"/>
      <c r="G320" s="1008" t="str">
        <f>+VLOOKUP(Data_Validation!$A320,BV_Data_An_Cour!$L:$Q,6,0)</f>
        <v>7-Dépenses</v>
      </c>
      <c r="H320" s="165"/>
    </row>
    <row r="321" spans="1:8" ht="15" customHeight="1">
      <c r="A321" s="168" t="s">
        <v>2637</v>
      </c>
      <c r="B321" s="169" t="s">
        <v>1237</v>
      </c>
      <c r="C321" s="956" t="s">
        <v>75</v>
      </c>
      <c r="D321" s="956" t="s">
        <v>132</v>
      </c>
      <c r="E321" s="1008" t="s">
        <v>1917</v>
      </c>
      <c r="F321" s="1008"/>
      <c r="G321" s="1008" t="str">
        <f>+VLOOKUP(Data_Validation!$A321,BV_Data_An_Cour!$L:$Q,6,0)</f>
        <v>7-Dépenses</v>
      </c>
      <c r="H321" s="165"/>
    </row>
    <row r="322" spans="1:8" ht="15" customHeight="1">
      <c r="A322" s="169" t="s">
        <v>2470</v>
      </c>
      <c r="B322" s="169" t="s">
        <v>1315</v>
      </c>
      <c r="C322" s="956" t="s">
        <v>75</v>
      </c>
      <c r="D322" s="956" t="s">
        <v>125</v>
      </c>
      <c r="E322" s="1008" t="s">
        <v>1917</v>
      </c>
      <c r="F322" s="1008"/>
      <c r="G322" s="1008" t="str">
        <f>+VLOOKUP(Data_Validation!$A322,BV_Data_An_Cour!$L:$Q,6,0)</f>
        <v>7-Dépenses</v>
      </c>
      <c r="H322" s="165"/>
    </row>
    <row r="323" spans="1:8" ht="15" customHeight="1">
      <c r="A323" s="167" t="s">
        <v>2662</v>
      </c>
      <c r="B323" s="171" t="s">
        <v>1308</v>
      </c>
      <c r="C323" s="956" t="s">
        <v>75</v>
      </c>
      <c r="D323" s="956" t="s">
        <v>126</v>
      </c>
      <c r="E323" s="1008" t="s">
        <v>1917</v>
      </c>
      <c r="F323" s="1008"/>
      <c r="G323" s="1008" t="str">
        <f>+VLOOKUP(Data_Validation!$A323,BV_Data_An_Cour!$L:$Q,6,0)</f>
        <v>7-Dépenses</v>
      </c>
      <c r="H323" s="165"/>
    </row>
    <row r="324" spans="1:8" ht="15" customHeight="1">
      <c r="A324" s="951" t="s">
        <v>2653</v>
      </c>
      <c r="B324" s="171" t="s">
        <v>1333</v>
      </c>
      <c r="C324" s="956" t="s">
        <v>75</v>
      </c>
      <c r="D324" s="956" t="s">
        <v>260</v>
      </c>
      <c r="E324" s="1008" t="s">
        <v>1917</v>
      </c>
      <c r="F324" s="1008"/>
      <c r="G324" s="1008" t="str">
        <f>+VLOOKUP(Data_Validation!$A324,BV_Data_An_Cour!$L:$Q,6,0)</f>
        <v>7-Dépenses</v>
      </c>
      <c r="H324" s="165"/>
    </row>
    <row r="325" spans="1:8" ht="15" customHeight="1">
      <c r="A325" s="951" t="s">
        <v>2463</v>
      </c>
      <c r="B325" s="171" t="s">
        <v>936</v>
      </c>
      <c r="C325" s="956" t="s">
        <v>75</v>
      </c>
      <c r="D325" s="956" t="s">
        <v>250</v>
      </c>
      <c r="E325" s="1008" t="s">
        <v>1917</v>
      </c>
      <c r="F325" s="1008"/>
      <c r="G325" s="1008" t="e">
        <f>+VLOOKUP(Data_Validation!$A325,BV_Data_An_Cour!$L:$Q,6,0)</f>
        <v>#N/A</v>
      </c>
      <c r="H325" s="165"/>
    </row>
    <row r="326" spans="1:8" ht="15" customHeight="1">
      <c r="A326" s="951" t="s">
        <v>2604</v>
      </c>
      <c r="B326" s="171" t="s">
        <v>1332</v>
      </c>
      <c r="C326" s="956" t="s">
        <v>75</v>
      </c>
      <c r="D326" s="956" t="s">
        <v>244</v>
      </c>
      <c r="E326" s="1008" t="s">
        <v>1917</v>
      </c>
      <c r="F326" s="1008"/>
      <c r="G326" s="1008" t="str">
        <f>+VLOOKUP(Data_Validation!$A326,BV_Data_An_Cour!$L:$Q,6,0)</f>
        <v>7-Dépenses</v>
      </c>
      <c r="H326" s="165"/>
    </row>
    <row r="327" spans="1:8" ht="15" customHeight="1">
      <c r="A327" s="169" t="s">
        <v>2709</v>
      </c>
      <c r="B327" s="169" t="s">
        <v>1469</v>
      </c>
      <c r="C327" s="956" t="s">
        <v>75</v>
      </c>
      <c r="D327" s="956" t="s">
        <v>235</v>
      </c>
      <c r="E327" s="1008" t="s">
        <v>1917</v>
      </c>
      <c r="F327" s="1008"/>
      <c r="G327" s="1008" t="str">
        <f>+VLOOKUP(Data_Validation!$A327,BV_Data_An_Cour!$L:$Q,6,0)</f>
        <v>7-Dépenses</v>
      </c>
      <c r="H327" s="165"/>
    </row>
    <row r="328" spans="1:8" ht="15" customHeight="1">
      <c r="A328" s="951" t="s">
        <v>2594</v>
      </c>
      <c r="B328" s="171" t="s">
        <v>1366</v>
      </c>
      <c r="C328" s="956" t="s">
        <v>75</v>
      </c>
      <c r="D328" s="956" t="s">
        <v>242</v>
      </c>
      <c r="E328" s="1008" t="s">
        <v>1917</v>
      </c>
      <c r="F328" s="1008"/>
      <c r="G328" s="1008" t="str">
        <f>+VLOOKUP(Data_Validation!$A328,BV_Data_An_Cour!$L:$Q,6,0)</f>
        <v>7-Dépenses</v>
      </c>
      <c r="H328" s="165"/>
    </row>
    <row r="329" spans="1:8" ht="15" customHeight="1">
      <c r="A329" s="169" t="s">
        <v>2614</v>
      </c>
      <c r="B329" s="169" t="s">
        <v>1362</v>
      </c>
      <c r="C329" s="956" t="s">
        <v>75</v>
      </c>
      <c r="D329" s="956" t="s">
        <v>237</v>
      </c>
      <c r="E329" s="1008" t="s">
        <v>1917</v>
      </c>
      <c r="F329" s="1008"/>
      <c r="G329" s="1008" t="str">
        <f>+VLOOKUP(Data_Validation!$A329,BV_Data_An_Cour!$L:$Q,6,0)</f>
        <v>7-Dépenses</v>
      </c>
      <c r="H329" s="165"/>
    </row>
    <row r="330" spans="1:8" ht="15" customHeight="1">
      <c r="A330" s="168" t="s">
        <v>2597</v>
      </c>
      <c r="B330" s="169" t="s">
        <v>1296</v>
      </c>
      <c r="C330" s="956" t="s">
        <v>75</v>
      </c>
      <c r="D330" s="956" t="s">
        <v>239</v>
      </c>
      <c r="E330" s="1008" t="s">
        <v>1917</v>
      </c>
      <c r="F330" s="1008"/>
      <c r="G330" s="1008" t="str">
        <f>+VLOOKUP(Data_Validation!$A330,BV_Data_An_Cour!$L:$Q,6,0)</f>
        <v>7-Dépenses</v>
      </c>
      <c r="H330" s="165"/>
    </row>
    <row r="331" spans="1:8" ht="15" customHeight="1">
      <c r="A331" s="169" t="s">
        <v>2635</v>
      </c>
      <c r="B331" s="169" t="s">
        <v>1395</v>
      </c>
      <c r="C331" s="956" t="s">
        <v>75</v>
      </c>
      <c r="D331" s="956" t="s">
        <v>246</v>
      </c>
      <c r="E331" s="1008" t="s">
        <v>1917</v>
      </c>
      <c r="F331" s="1008"/>
      <c r="G331" s="1008" t="str">
        <f>+VLOOKUP(Data_Validation!$A331,BV_Data_An_Cour!$L:$Q,6,0)</f>
        <v>7-Dépenses</v>
      </c>
      <c r="H331" s="165"/>
    </row>
    <row r="332" spans="1:8" ht="15" customHeight="1">
      <c r="A332" s="167" t="s">
        <v>2780</v>
      </c>
      <c r="B332" s="166" t="s">
        <v>1483</v>
      </c>
      <c r="C332" s="956" t="s">
        <v>144</v>
      </c>
      <c r="D332" s="956" t="s">
        <v>103</v>
      </c>
      <c r="E332" s="1008" t="s">
        <v>1917</v>
      </c>
      <c r="F332" s="1008"/>
      <c r="G332" s="1008" t="str">
        <f>+VLOOKUP(Data_Validation!$A332,BV_Data_An_Cour!$L:$Q,6,0)</f>
        <v>7-Dépenses</v>
      </c>
      <c r="H332" s="165"/>
    </row>
    <row r="333" spans="1:8" ht="15" customHeight="1">
      <c r="A333" s="167" t="s">
        <v>2769</v>
      </c>
      <c r="B333" s="166" t="s">
        <v>1442</v>
      </c>
      <c r="C333" s="956" t="s">
        <v>144</v>
      </c>
      <c r="D333" s="956" t="s">
        <v>104</v>
      </c>
      <c r="E333" s="1008" t="s">
        <v>1917</v>
      </c>
      <c r="F333" s="1008"/>
      <c r="G333" s="1008" t="str">
        <f>+VLOOKUP(Data_Validation!$A333,BV_Data_An_Cour!$L:$Q,6,0)</f>
        <v>7-Dépenses</v>
      </c>
      <c r="H333" s="165"/>
    </row>
    <row r="334" spans="1:8" ht="15" customHeight="1">
      <c r="A334" s="169" t="s">
        <v>2751</v>
      </c>
      <c r="B334" s="169" t="s">
        <v>1230</v>
      </c>
      <c r="C334" s="956" t="s">
        <v>144</v>
      </c>
      <c r="D334" s="956" t="s">
        <v>106</v>
      </c>
      <c r="E334" s="1008" t="s">
        <v>1917</v>
      </c>
      <c r="F334" s="1008"/>
      <c r="G334" s="1008" t="str">
        <f>+VLOOKUP(Data_Validation!$A334,BV_Data_An_Cour!$L:$Q,6,0)</f>
        <v>7-Dépenses</v>
      </c>
      <c r="H334" s="165"/>
    </row>
    <row r="335" spans="1:8" ht="15" customHeight="1">
      <c r="A335" s="167" t="s">
        <v>2758</v>
      </c>
      <c r="B335" s="166" t="s">
        <v>2757</v>
      </c>
      <c r="C335" s="956" t="s">
        <v>144</v>
      </c>
      <c r="D335" s="956" t="s">
        <v>107</v>
      </c>
      <c r="E335" s="1008" t="s">
        <v>1917</v>
      </c>
      <c r="F335" s="1008"/>
      <c r="G335" s="1008" t="str">
        <f>+VLOOKUP(Data_Validation!$A335,BV_Data_An_Cour!$L:$Q,6,0)</f>
        <v>7-Dépenses</v>
      </c>
      <c r="H335" s="165"/>
    </row>
    <row r="336" spans="1:8" ht="15" customHeight="1">
      <c r="A336" s="169" t="s">
        <v>2611</v>
      </c>
      <c r="B336" s="169" t="s">
        <v>938</v>
      </c>
      <c r="C336" s="956" t="s">
        <v>144</v>
      </c>
      <c r="D336" s="956" t="s">
        <v>109</v>
      </c>
      <c r="E336" s="1008" t="s">
        <v>1917</v>
      </c>
      <c r="F336" s="1008"/>
      <c r="G336" s="1008" t="str">
        <f>+VLOOKUP(Data_Validation!$A336,BV_Data_An_Cour!$L:$Q,6,0)</f>
        <v>7-Dépenses</v>
      </c>
      <c r="H336" s="165"/>
    </row>
    <row r="337" spans="1:8" ht="15" customHeight="1">
      <c r="A337" s="167" t="s">
        <v>2695</v>
      </c>
      <c r="B337" s="166" t="s">
        <v>1407</v>
      </c>
      <c r="C337" s="956" t="s">
        <v>144</v>
      </c>
      <c r="D337" s="956" t="s">
        <v>105</v>
      </c>
      <c r="E337" s="1008" t="s">
        <v>1917</v>
      </c>
      <c r="F337" s="1008"/>
      <c r="G337" s="1008" t="str">
        <f>+VLOOKUP(Data_Validation!$A337,BV_Data_An_Cour!$L:$Q,6,0)</f>
        <v>7-Dépenses</v>
      </c>
      <c r="H337" s="165"/>
    </row>
    <row r="338" spans="1:8" ht="15" customHeight="1">
      <c r="A338" s="167" t="s">
        <v>2774</v>
      </c>
      <c r="B338" s="166" t="s">
        <v>1374</v>
      </c>
      <c r="C338" s="956" t="s">
        <v>144</v>
      </c>
      <c r="D338" s="956" t="s">
        <v>108</v>
      </c>
      <c r="E338" s="1008" t="s">
        <v>1917</v>
      </c>
      <c r="F338" s="1008"/>
      <c r="G338" s="1008" t="str">
        <f>+VLOOKUP(Data_Validation!$A338,BV_Data_An_Cour!$L:$Q,6,0)</f>
        <v>7-Dépenses</v>
      </c>
      <c r="H338" s="165"/>
    </row>
    <row r="339" spans="1:8" ht="15" customHeight="1">
      <c r="A339" s="169" t="s">
        <v>2149</v>
      </c>
      <c r="B339" s="169" t="s">
        <v>2148</v>
      </c>
      <c r="C339" s="956" t="s">
        <v>144</v>
      </c>
      <c r="D339" s="956" t="s">
        <v>108</v>
      </c>
      <c r="E339" s="1008" t="s">
        <v>1917</v>
      </c>
      <c r="F339" s="1008"/>
      <c r="G339" s="1008" t="str">
        <f>+VLOOKUP(Data_Validation!$A339,BV_Data_An_Cour!$L:$Q,6,0)</f>
        <v>7-Dépenses</v>
      </c>
      <c r="H339" s="165"/>
    </row>
    <row r="340" spans="1:8" ht="15" customHeight="1">
      <c r="A340" s="166" t="s">
        <v>2674</v>
      </c>
      <c r="B340" s="166" t="s">
        <v>1259</v>
      </c>
      <c r="C340" s="956" t="s">
        <v>144</v>
      </c>
      <c r="D340" s="956" t="s">
        <v>213</v>
      </c>
      <c r="E340" s="1008" t="s">
        <v>1917</v>
      </c>
      <c r="F340" s="1008"/>
      <c r="G340" s="1008" t="str">
        <f>+VLOOKUP(Data_Validation!$A340,BV_Data_An_Cour!$L:$Q,6,0)</f>
        <v>7-Dépenses</v>
      </c>
      <c r="H340" s="165"/>
    </row>
    <row r="341" spans="1:8" ht="15" customHeight="1">
      <c r="A341" s="167" t="s">
        <v>2748</v>
      </c>
      <c r="B341" s="166" t="s">
        <v>2624</v>
      </c>
      <c r="C341" s="956" t="s">
        <v>144</v>
      </c>
      <c r="D341" s="956" t="s">
        <v>112</v>
      </c>
      <c r="E341" s="1008" t="s">
        <v>1917</v>
      </c>
      <c r="F341" s="1008"/>
      <c r="G341" s="1008" t="str">
        <f>+VLOOKUP(Data_Validation!$A341,BV_Data_An_Cour!$L:$Q,6,0)</f>
        <v>7-Dépenses</v>
      </c>
    </row>
    <row r="342" spans="1:8" ht="15" customHeight="1">
      <c r="A342" s="167" t="s">
        <v>2707</v>
      </c>
      <c r="B342" s="166" t="s">
        <v>1342</v>
      </c>
      <c r="C342" s="956" t="s">
        <v>144</v>
      </c>
      <c r="D342" s="956" t="s">
        <v>113</v>
      </c>
      <c r="E342" s="1008" t="s">
        <v>1917</v>
      </c>
      <c r="F342" s="1008"/>
      <c r="G342" s="1008" t="str">
        <f>+VLOOKUP(Data_Validation!$A342,BV_Data_An_Cour!$L:$Q,6,0)</f>
        <v>7-Dépenses</v>
      </c>
    </row>
    <row r="343" spans="1:8" ht="15" customHeight="1">
      <c r="A343" s="167" t="s">
        <v>2776</v>
      </c>
      <c r="B343" s="166" t="s">
        <v>1412</v>
      </c>
      <c r="C343" s="956" t="s">
        <v>144</v>
      </c>
      <c r="D343" s="956" t="s">
        <v>114</v>
      </c>
      <c r="E343" s="1008" t="s">
        <v>1917</v>
      </c>
      <c r="F343" s="1008"/>
      <c r="G343" s="1008" t="str">
        <f>+VLOOKUP(Data_Validation!$A343,BV_Data_An_Cour!$L:$Q,6,0)</f>
        <v>7-Dépenses</v>
      </c>
      <c r="H343" s="165"/>
    </row>
    <row r="344" spans="1:8" ht="15" customHeight="1">
      <c r="A344" s="167" t="s">
        <v>2712</v>
      </c>
      <c r="B344" s="166" t="s">
        <v>1211</v>
      </c>
      <c r="C344" s="956" t="s">
        <v>144</v>
      </c>
      <c r="D344" s="956" t="s">
        <v>116</v>
      </c>
      <c r="E344" s="1008" t="s">
        <v>1917</v>
      </c>
      <c r="F344" s="1008"/>
      <c r="G344" s="1008" t="str">
        <f>+VLOOKUP(Data_Validation!$A344,BV_Data_An_Cour!$L:$Q,6,0)</f>
        <v>7-Dépenses</v>
      </c>
      <c r="H344" s="165"/>
    </row>
    <row r="345" spans="1:8" ht="15" customHeight="1">
      <c r="A345" s="167" t="s">
        <v>2697</v>
      </c>
      <c r="B345" s="166" t="s">
        <v>1252</v>
      </c>
      <c r="C345" s="956" t="s">
        <v>144</v>
      </c>
      <c r="D345" s="956" t="s">
        <v>119</v>
      </c>
      <c r="E345" s="1008" t="s">
        <v>1917</v>
      </c>
      <c r="F345" s="1008"/>
      <c r="G345" s="1008" t="str">
        <f>+VLOOKUP(Data_Validation!$A345,BV_Data_An_Cour!$L:$Q,6,0)</f>
        <v>7-Dépenses</v>
      </c>
      <c r="H345" s="165"/>
    </row>
    <row r="346" spans="1:8" ht="15" customHeight="1">
      <c r="A346" s="167" t="s">
        <v>2717</v>
      </c>
      <c r="B346" s="166" t="s">
        <v>1283</v>
      </c>
      <c r="C346" s="956" t="s">
        <v>144</v>
      </c>
      <c r="D346" s="956" t="s">
        <v>117</v>
      </c>
      <c r="E346" s="1008" t="s">
        <v>1917</v>
      </c>
      <c r="F346" s="1008"/>
      <c r="G346" s="1008" t="str">
        <f>+VLOOKUP(Data_Validation!$A346,BV_Data_An_Cour!$L:$Q,6,0)</f>
        <v>7-Dépenses</v>
      </c>
      <c r="H346" s="165"/>
    </row>
    <row r="347" spans="1:8" ht="15" customHeight="1">
      <c r="A347" s="167" t="s">
        <v>2719</v>
      </c>
      <c r="B347" s="166" t="s">
        <v>1305</v>
      </c>
      <c r="C347" s="956" t="s">
        <v>144</v>
      </c>
      <c r="D347" s="956" t="s">
        <v>118</v>
      </c>
      <c r="E347" s="1008" t="s">
        <v>1917</v>
      </c>
      <c r="F347" s="1008"/>
      <c r="G347" s="1008" t="str">
        <f>+VLOOKUP(Data_Validation!$A347,BV_Data_An_Cour!$L:$Q,6,0)</f>
        <v>7-Dépenses</v>
      </c>
      <c r="H347" s="165"/>
    </row>
    <row r="348" spans="1:8" ht="15" customHeight="1">
      <c r="A348" s="167" t="s">
        <v>2565</v>
      </c>
      <c r="B348" s="166" t="s">
        <v>1157</v>
      </c>
      <c r="C348" s="956" t="s">
        <v>144</v>
      </c>
      <c r="D348" s="956" t="s">
        <v>127</v>
      </c>
      <c r="E348" s="1008" t="s">
        <v>1917</v>
      </c>
      <c r="F348" s="1008"/>
      <c r="G348" s="1008" t="e">
        <f>+VLOOKUP(Data_Validation!$A348,BV_Data_An_Cour!$L:$Q,6,0)</f>
        <v>#N/A</v>
      </c>
      <c r="H348" s="165"/>
    </row>
    <row r="349" spans="1:8" ht="15" customHeight="1">
      <c r="A349" s="167" t="s">
        <v>2464</v>
      </c>
      <c r="B349" s="166" t="s">
        <v>932</v>
      </c>
      <c r="C349" s="956" t="s">
        <v>144</v>
      </c>
      <c r="D349" s="956" t="s">
        <v>128</v>
      </c>
      <c r="E349" s="1008" t="s">
        <v>1917</v>
      </c>
      <c r="F349" s="1008"/>
      <c r="G349" s="1008" t="e">
        <f>+VLOOKUP(Data_Validation!$A349,BV_Data_An_Cour!$L:$Q,6,0)</f>
        <v>#N/A</v>
      </c>
      <c r="H349" s="165"/>
    </row>
    <row r="350" spans="1:8" ht="15" customHeight="1">
      <c r="A350" s="169" t="s">
        <v>2564</v>
      </c>
      <c r="B350" s="169" t="s">
        <v>934</v>
      </c>
      <c r="C350" s="956" t="s">
        <v>144</v>
      </c>
      <c r="D350" s="956" t="s">
        <v>133</v>
      </c>
      <c r="E350" s="1008" t="s">
        <v>1917</v>
      </c>
      <c r="F350" s="1008"/>
      <c r="G350" s="1008" t="str">
        <f>+VLOOKUP(Data_Validation!$A350,BV_Data_An_Cour!$L:$Q,6,0)</f>
        <v>7-Dépenses</v>
      </c>
      <c r="H350" s="165"/>
    </row>
    <row r="351" spans="1:8" ht="15" customHeight="1">
      <c r="A351" s="167" t="s">
        <v>2649</v>
      </c>
      <c r="B351" s="166" t="s">
        <v>1186</v>
      </c>
      <c r="C351" s="956" t="s">
        <v>144</v>
      </c>
      <c r="D351" s="956" t="s">
        <v>123</v>
      </c>
      <c r="E351" s="1008" t="s">
        <v>1917</v>
      </c>
      <c r="F351" s="1008"/>
      <c r="G351" s="1008" t="str">
        <f>+VLOOKUP(Data_Validation!$A351,BV_Data_An_Cour!$L:$Q,6,0)</f>
        <v>7-Dépenses</v>
      </c>
      <c r="H351" s="165"/>
    </row>
    <row r="352" spans="1:8" ht="15" customHeight="1">
      <c r="A352" s="169" t="s">
        <v>2584</v>
      </c>
      <c r="B352" s="169" t="s">
        <v>1180</v>
      </c>
      <c r="C352" s="956" t="s">
        <v>144</v>
      </c>
      <c r="D352" s="956" t="s">
        <v>131</v>
      </c>
      <c r="E352" s="1008" t="s">
        <v>1917</v>
      </c>
      <c r="F352" s="1011"/>
      <c r="G352" s="1011" t="str">
        <f>+VLOOKUP(Data_Validation!$A352,BV_Data_An_Cour!$L:$Q,6,0)</f>
        <v>7-Dépenses</v>
      </c>
      <c r="H352" s="165"/>
    </row>
    <row r="353" spans="1:8" ht="15" customHeight="1">
      <c r="A353" s="167" t="s">
        <v>2723</v>
      </c>
      <c r="B353" s="166" t="s">
        <v>1286</v>
      </c>
      <c r="C353" s="956" t="s">
        <v>144</v>
      </c>
      <c r="D353" s="956" t="s">
        <v>124</v>
      </c>
      <c r="E353" s="1008" t="s">
        <v>1917</v>
      </c>
      <c r="F353" s="1008"/>
      <c r="G353" s="1008" t="str">
        <f>+VLOOKUP(Data_Validation!$A353,BV_Data_An_Cour!$L:$Q,6,0)</f>
        <v>7-Dépenses</v>
      </c>
      <c r="H353" s="165"/>
    </row>
    <row r="354" spans="1:8" ht="15" customHeight="1">
      <c r="A354" s="169" t="s">
        <v>2602</v>
      </c>
      <c r="B354" s="169" t="s">
        <v>1206</v>
      </c>
      <c r="C354" s="956" t="s">
        <v>144</v>
      </c>
      <c r="D354" s="956" t="s">
        <v>129</v>
      </c>
      <c r="E354" s="1008" t="s">
        <v>1917</v>
      </c>
      <c r="F354" s="1008"/>
      <c r="G354" s="1008" t="str">
        <f>+VLOOKUP(Data_Validation!$A354,BV_Data_An_Cour!$L:$Q,6,0)</f>
        <v>7-Dépenses</v>
      </c>
      <c r="H354" s="165"/>
    </row>
    <row r="355" spans="1:8" ht="15" customHeight="1">
      <c r="A355" s="167" t="s">
        <v>2595</v>
      </c>
      <c r="B355" s="166" t="s">
        <v>1154</v>
      </c>
      <c r="C355" s="956" t="s">
        <v>144</v>
      </c>
      <c r="D355" s="956" t="s">
        <v>130</v>
      </c>
      <c r="E355" s="1008" t="s">
        <v>1917</v>
      </c>
      <c r="F355" s="1008"/>
      <c r="G355" s="1008" t="str">
        <f>+VLOOKUP(Data_Validation!$A355,BV_Data_An_Cour!$L:$Q,6,0)</f>
        <v>7-Dépenses</v>
      </c>
      <c r="H355" s="165"/>
    </row>
    <row r="356" spans="1:8" ht="15" customHeight="1">
      <c r="A356" s="168" t="s">
        <v>2666</v>
      </c>
      <c r="B356" s="169" t="s">
        <v>1237</v>
      </c>
      <c r="C356" s="956" t="s">
        <v>144</v>
      </c>
      <c r="D356" s="956" t="s">
        <v>132</v>
      </c>
      <c r="E356" s="1008" t="s">
        <v>1917</v>
      </c>
      <c r="F356" s="1008"/>
      <c r="G356" s="1008" t="str">
        <f>+VLOOKUP(Data_Validation!$A356,BV_Data_An_Cour!$L:$Q,6,0)</f>
        <v>7-Dépenses</v>
      </c>
      <c r="H356" s="165"/>
    </row>
    <row r="357" spans="1:8" ht="15" customHeight="1">
      <c r="A357" s="167" t="s">
        <v>2676</v>
      </c>
      <c r="B357" s="166" t="s">
        <v>1247</v>
      </c>
      <c r="C357" s="956" t="s">
        <v>144</v>
      </c>
      <c r="D357" s="956" t="s">
        <v>125</v>
      </c>
      <c r="E357" s="1008" t="s">
        <v>1917</v>
      </c>
      <c r="F357" s="1008"/>
      <c r="G357" s="1008" t="str">
        <f>+VLOOKUP(Data_Validation!$A357,BV_Data_An_Cour!$L:$Q,6,0)</f>
        <v>7-Dépenses</v>
      </c>
      <c r="H357" s="165"/>
    </row>
    <row r="358" spans="1:8" ht="15" customHeight="1">
      <c r="A358" s="168" t="s">
        <v>2698</v>
      </c>
      <c r="B358" s="169" t="s">
        <v>1308</v>
      </c>
      <c r="C358" s="956" t="s">
        <v>144</v>
      </c>
      <c r="D358" s="956" t="s">
        <v>126</v>
      </c>
      <c r="E358" s="1008" t="s">
        <v>1917</v>
      </c>
      <c r="F358" s="1011"/>
      <c r="G358" s="1011" t="str">
        <f>+VLOOKUP(Data_Validation!$A358,BV_Data_An_Cour!$L:$Q,6,0)</f>
        <v>7-Dépenses</v>
      </c>
      <c r="H358" s="165"/>
    </row>
    <row r="359" spans="1:8" ht="15" customHeight="1">
      <c r="A359" s="167" t="s">
        <v>2680</v>
      </c>
      <c r="B359" s="166" t="s">
        <v>1333</v>
      </c>
      <c r="C359" s="956" t="s">
        <v>144</v>
      </c>
      <c r="D359" s="956" t="s">
        <v>260</v>
      </c>
      <c r="E359" s="1008" t="s">
        <v>1917</v>
      </c>
      <c r="F359" s="1008"/>
      <c r="G359" s="1008" t="str">
        <f>+VLOOKUP(Data_Validation!$A359,BV_Data_An_Cour!$L:$Q,6,0)</f>
        <v>7-Dépenses</v>
      </c>
      <c r="H359" s="165"/>
    </row>
    <row r="360" spans="1:8" ht="15" customHeight="1">
      <c r="A360" s="167" t="s">
        <v>2465</v>
      </c>
      <c r="B360" s="166" t="s">
        <v>936</v>
      </c>
      <c r="C360" s="956" t="s">
        <v>144</v>
      </c>
      <c r="D360" s="956" t="s">
        <v>250</v>
      </c>
      <c r="E360" s="1008" t="s">
        <v>1917</v>
      </c>
      <c r="F360" s="1008"/>
      <c r="G360" s="1008" t="e">
        <f>+VLOOKUP(Data_Validation!$A360,BV_Data_An_Cour!$L:$Q,6,0)</f>
        <v>#N/A</v>
      </c>
      <c r="H360" s="165"/>
    </row>
    <row r="361" spans="1:8" ht="15" customHeight="1">
      <c r="A361" s="168" t="s">
        <v>2633</v>
      </c>
      <c r="B361" s="169" t="s">
        <v>1380</v>
      </c>
      <c r="C361" s="956" t="s">
        <v>144</v>
      </c>
      <c r="D361" s="956" t="s">
        <v>244</v>
      </c>
      <c r="E361" s="1008" t="s">
        <v>1917</v>
      </c>
      <c r="F361" s="1008"/>
      <c r="G361" s="1008" t="str">
        <f>+VLOOKUP(Data_Validation!$A361,BV_Data_An_Cour!$L:$Q,6,0)</f>
        <v>7-Dépenses</v>
      </c>
      <c r="H361" s="165"/>
    </row>
    <row r="362" spans="1:8" ht="15" customHeight="1">
      <c r="A362" s="167" t="s">
        <v>2724</v>
      </c>
      <c r="B362" s="166" t="s">
        <v>1462</v>
      </c>
      <c r="C362" s="956" t="s">
        <v>144</v>
      </c>
      <c r="D362" s="956" t="s">
        <v>235</v>
      </c>
      <c r="E362" s="1008" t="s">
        <v>1917</v>
      </c>
      <c r="F362" s="1008"/>
      <c r="G362" s="1008" t="str">
        <f>+VLOOKUP(Data_Validation!$A362,BV_Data_An_Cour!$L:$Q,6,0)</f>
        <v>7-Dépenses</v>
      </c>
      <c r="H362" s="165"/>
    </row>
    <row r="363" spans="1:8" ht="15" customHeight="1">
      <c r="A363" s="167" t="s">
        <v>2615</v>
      </c>
      <c r="B363" s="166" t="s">
        <v>1290</v>
      </c>
      <c r="C363" s="956" t="s">
        <v>144</v>
      </c>
      <c r="D363" s="956" t="s">
        <v>242</v>
      </c>
      <c r="E363" s="1008" t="s">
        <v>1917</v>
      </c>
      <c r="F363" s="1008"/>
      <c r="G363" s="1008" t="str">
        <f>+VLOOKUP(Data_Validation!$A363,BV_Data_An_Cour!$L:$Q,6,0)</f>
        <v>7-Dépenses</v>
      </c>
      <c r="H363" s="165"/>
    </row>
    <row r="364" spans="1:8" ht="15" customHeight="1">
      <c r="A364" s="168" t="s">
        <v>2651</v>
      </c>
      <c r="B364" s="169" t="s">
        <v>1203</v>
      </c>
      <c r="C364" s="956" t="s">
        <v>144</v>
      </c>
      <c r="D364" s="956" t="s">
        <v>237</v>
      </c>
      <c r="E364" s="1008" t="s">
        <v>1917</v>
      </c>
      <c r="F364" s="1008"/>
      <c r="G364" s="1008" t="str">
        <f>+VLOOKUP(Data_Validation!$A364,BV_Data_An_Cour!$L:$Q,6,0)</f>
        <v>7-Dépenses</v>
      </c>
      <c r="H364" s="165"/>
    </row>
    <row r="365" spans="1:8" ht="15" customHeight="1">
      <c r="A365" s="167" t="s">
        <v>2620</v>
      </c>
      <c r="B365" s="166" t="s">
        <v>1393</v>
      </c>
      <c r="C365" s="956" t="s">
        <v>144</v>
      </c>
      <c r="D365" s="956" t="s">
        <v>239</v>
      </c>
      <c r="E365" s="1008" t="s">
        <v>1917</v>
      </c>
      <c r="F365" s="1008"/>
      <c r="G365" s="1008" t="str">
        <f>+VLOOKUP(Data_Validation!$A365,BV_Data_An_Cour!$L:$Q,6,0)</f>
        <v>7-Dépenses</v>
      </c>
      <c r="H365" s="165"/>
    </row>
    <row r="366" spans="1:8" ht="15" customHeight="1">
      <c r="A366" s="168" t="s">
        <v>2664</v>
      </c>
      <c r="B366" s="169" t="s">
        <v>1318</v>
      </c>
      <c r="C366" s="956" t="s">
        <v>144</v>
      </c>
      <c r="D366" s="956" t="s">
        <v>246</v>
      </c>
      <c r="E366" s="1008" t="s">
        <v>1917</v>
      </c>
      <c r="F366" s="1008"/>
      <c r="G366" s="1008" t="str">
        <f>+VLOOKUP(Data_Validation!$A366,BV_Data_An_Cour!$L:$Q,6,0)</f>
        <v>7-Dépenses</v>
      </c>
      <c r="H366" s="165"/>
    </row>
    <row r="367" spans="1:8" ht="15" customHeight="1">
      <c r="A367" s="167" t="s">
        <v>2743</v>
      </c>
      <c r="B367" s="166" t="s">
        <v>1403</v>
      </c>
      <c r="C367" s="956" t="s">
        <v>155</v>
      </c>
      <c r="D367" s="956" t="s">
        <v>122</v>
      </c>
      <c r="E367" s="1008" t="s">
        <v>1917</v>
      </c>
      <c r="F367" s="1008"/>
      <c r="G367" s="1008" t="str">
        <f>+VLOOKUP(Data_Validation!$A367,BV_Data_An_Cour!$L:$Q,6,0)</f>
        <v>7-Dépenses</v>
      </c>
      <c r="H367" s="165"/>
    </row>
    <row r="368" spans="1:8" ht="15" customHeight="1">
      <c r="A368" s="169" t="s">
        <v>2677</v>
      </c>
      <c r="B368" s="169" t="s">
        <v>1450</v>
      </c>
      <c r="C368" s="956" t="s">
        <v>155</v>
      </c>
      <c r="D368" s="956" t="s">
        <v>122</v>
      </c>
      <c r="E368" s="1008" t="s">
        <v>1917</v>
      </c>
      <c r="F368" s="1008"/>
      <c r="G368" s="1008" t="str">
        <f>+VLOOKUP(Data_Validation!$A368,BV_Data_An_Cour!$L:$Q,6,0)</f>
        <v>7-Dépenses</v>
      </c>
      <c r="H368" s="165"/>
    </row>
    <row r="369" spans="1:12" ht="15" customHeight="1">
      <c r="A369" s="167" t="s">
        <v>2714</v>
      </c>
      <c r="B369" s="166" t="s">
        <v>1374</v>
      </c>
      <c r="C369" s="956" t="s">
        <v>155</v>
      </c>
      <c r="D369" s="956" t="s">
        <v>121</v>
      </c>
      <c r="E369" s="1008" t="s">
        <v>1917</v>
      </c>
      <c r="F369" s="1008"/>
      <c r="G369" s="1008" t="str">
        <f>+VLOOKUP(Data_Validation!$A369,BV_Data_An_Cour!$L:$Q,6,0)</f>
        <v>7-Dépenses</v>
      </c>
      <c r="H369" s="165"/>
    </row>
    <row r="370" spans="1:12" ht="15" customHeight="1">
      <c r="A370" s="169" t="s">
        <v>2711</v>
      </c>
      <c r="B370" s="169" t="s">
        <v>1259</v>
      </c>
      <c r="C370" s="956" t="s">
        <v>155</v>
      </c>
      <c r="D370" s="956" t="s">
        <v>213</v>
      </c>
      <c r="E370" s="1008" t="s">
        <v>1917</v>
      </c>
      <c r="F370" s="1008"/>
      <c r="G370" s="1008" t="str">
        <f>+VLOOKUP(Data_Validation!$A370,BV_Data_An_Cour!$L:$Q,6,0)</f>
        <v>7-Dépenses</v>
      </c>
      <c r="H370" s="165"/>
      <c r="L370" s="2"/>
    </row>
    <row r="371" spans="1:12" ht="15" customHeight="1">
      <c r="A371" s="167" t="s">
        <v>2771</v>
      </c>
      <c r="B371" s="166" t="s">
        <v>2624</v>
      </c>
      <c r="C371" s="956" t="s">
        <v>155</v>
      </c>
      <c r="D371" s="956" t="s">
        <v>112</v>
      </c>
      <c r="E371" s="1008" t="s">
        <v>1917</v>
      </c>
      <c r="F371" s="1008"/>
      <c r="G371" s="1008" t="str">
        <f>+VLOOKUP(Data_Validation!$A371,BV_Data_An_Cour!$L:$Q,6,0)</f>
        <v>7-Dépenses</v>
      </c>
      <c r="H371" s="165"/>
    </row>
    <row r="372" spans="1:12" ht="15" customHeight="1">
      <c r="A372" s="169" t="s">
        <v>2766</v>
      </c>
      <c r="B372" s="169" t="s">
        <v>1266</v>
      </c>
      <c r="C372" s="956" t="s">
        <v>155</v>
      </c>
      <c r="D372" s="956" t="s">
        <v>113</v>
      </c>
      <c r="E372" s="1008" t="s">
        <v>1917</v>
      </c>
      <c r="F372" s="1008"/>
      <c r="G372" s="1008" t="str">
        <f>+VLOOKUP(Data_Validation!$A372,BV_Data_An_Cour!$L:$Q,6,0)</f>
        <v>7-Dépenses</v>
      </c>
      <c r="H372" s="165"/>
    </row>
    <row r="373" spans="1:12" ht="15" customHeight="1">
      <c r="A373" s="167" t="s">
        <v>2805</v>
      </c>
      <c r="B373" s="166" t="s">
        <v>1249</v>
      </c>
      <c r="C373" s="956" t="s">
        <v>155</v>
      </c>
      <c r="D373" s="956" t="s">
        <v>114</v>
      </c>
      <c r="E373" s="1008" t="s">
        <v>1917</v>
      </c>
      <c r="F373" s="1008"/>
      <c r="G373" s="1008" t="str">
        <f>+VLOOKUP(Data_Validation!$A373,BV_Data_An_Cour!$L:$Q,6,0)</f>
        <v>7-Dépenses</v>
      </c>
      <c r="H373" s="165"/>
    </row>
    <row r="374" spans="1:12" ht="15" customHeight="1">
      <c r="A374" s="169" t="s">
        <v>2810</v>
      </c>
      <c r="B374" s="169" t="s">
        <v>1330</v>
      </c>
      <c r="C374" s="956" t="s">
        <v>155</v>
      </c>
      <c r="D374" s="956" t="s">
        <v>115</v>
      </c>
      <c r="E374" s="1008" t="s">
        <v>1917</v>
      </c>
      <c r="F374" s="1008"/>
      <c r="G374" s="1008" t="str">
        <f>+VLOOKUP(Data_Validation!$A374,BV_Data_An_Cour!$L:$Q,6,0)</f>
        <v>7-Dépenses</v>
      </c>
      <c r="H374" s="165"/>
    </row>
    <row r="375" spans="1:12" ht="15" customHeight="1">
      <c r="A375" s="167" t="s">
        <v>2793</v>
      </c>
      <c r="B375" s="166" t="s">
        <v>1448</v>
      </c>
      <c r="C375" s="956" t="s">
        <v>155</v>
      </c>
      <c r="D375" s="956" t="s">
        <v>116</v>
      </c>
      <c r="E375" s="1008" t="s">
        <v>1917</v>
      </c>
      <c r="F375" s="1008"/>
      <c r="G375" s="1008" t="str">
        <f>+VLOOKUP(Data_Validation!$A375,BV_Data_An_Cour!$L:$Q,6,0)</f>
        <v>7-Dépenses</v>
      </c>
      <c r="H375" s="165"/>
    </row>
    <row r="376" spans="1:12" ht="15" customHeight="1">
      <c r="A376" s="169" t="s">
        <v>2732</v>
      </c>
      <c r="B376" s="169" t="s">
        <v>1252</v>
      </c>
      <c r="C376" s="956" t="s">
        <v>155</v>
      </c>
      <c r="D376" s="956" t="s">
        <v>119</v>
      </c>
      <c r="E376" s="1008" t="s">
        <v>1917</v>
      </c>
      <c r="F376" s="1008"/>
      <c r="G376" s="1008" t="str">
        <f>+VLOOKUP(Data_Validation!$A376,BV_Data_An_Cour!$L:$Q,6,0)</f>
        <v>7-Dépenses</v>
      </c>
      <c r="H376" s="165"/>
    </row>
    <row r="377" spans="1:12" ht="15" customHeight="1">
      <c r="A377" s="167" t="s">
        <v>2779</v>
      </c>
      <c r="B377" s="166" t="s">
        <v>1283</v>
      </c>
      <c r="C377" s="956" t="s">
        <v>155</v>
      </c>
      <c r="D377" s="956" t="s">
        <v>117</v>
      </c>
      <c r="E377" s="1008" t="s">
        <v>1917</v>
      </c>
      <c r="F377" s="1008"/>
      <c r="G377" s="1008" t="str">
        <f>+VLOOKUP(Data_Validation!$A377,BV_Data_An_Cour!$L:$Q,6,0)</f>
        <v>7-Dépenses</v>
      </c>
      <c r="H377" s="165"/>
    </row>
    <row r="378" spans="1:12" ht="15" customHeight="1">
      <c r="A378" s="169" t="s">
        <v>2608</v>
      </c>
      <c r="B378" s="169" t="s">
        <v>1220</v>
      </c>
      <c r="C378" s="956" t="s">
        <v>155</v>
      </c>
      <c r="D378" s="956" t="s">
        <v>118</v>
      </c>
      <c r="E378" s="1008" t="s">
        <v>1917</v>
      </c>
      <c r="F378" s="1008"/>
      <c r="G378" s="1008" t="str">
        <f>+VLOOKUP(Data_Validation!$A378,BV_Data_An_Cour!$L:$Q,6,0)</f>
        <v>7-Dépenses</v>
      </c>
      <c r="H378" s="165"/>
    </row>
    <row r="379" spans="1:12" ht="15" customHeight="1">
      <c r="A379" s="167" t="s">
        <v>2742</v>
      </c>
      <c r="B379" s="166" t="s">
        <v>1305</v>
      </c>
      <c r="C379" s="956" t="s">
        <v>155</v>
      </c>
      <c r="D379" s="956" t="s">
        <v>118</v>
      </c>
      <c r="E379" s="1008" t="s">
        <v>1917</v>
      </c>
      <c r="F379" s="1008"/>
      <c r="G379" s="1008" t="str">
        <f>+VLOOKUP(Data_Validation!$A379,BV_Data_An_Cour!$L:$Q,6,0)</f>
        <v>7-Dépenses</v>
      </c>
      <c r="H379" s="165"/>
    </row>
    <row r="380" spans="1:12" ht="15" customHeight="1">
      <c r="A380" s="167" t="s">
        <v>2466</v>
      </c>
      <c r="B380" s="166" t="s">
        <v>1178</v>
      </c>
      <c r="C380" s="956" t="s">
        <v>155</v>
      </c>
      <c r="D380" s="956" t="s">
        <v>122</v>
      </c>
      <c r="E380" s="1008" t="s">
        <v>1917</v>
      </c>
      <c r="F380" s="1008"/>
      <c r="G380" s="1008" t="e">
        <f>+VLOOKUP(Data_Validation!$A380,BV_Data_An_Cour!$L:$Q,6,0)</f>
        <v>#N/A</v>
      </c>
      <c r="H380" s="165"/>
    </row>
    <row r="381" spans="1:12" ht="15" customHeight="1">
      <c r="A381" s="167" t="s">
        <v>2655</v>
      </c>
      <c r="B381" s="166" t="s">
        <v>1157</v>
      </c>
      <c r="C381" s="956" t="s">
        <v>155</v>
      </c>
      <c r="D381" s="956" t="s">
        <v>127</v>
      </c>
      <c r="E381" s="1008" t="s">
        <v>1917</v>
      </c>
      <c r="F381" s="1008"/>
      <c r="G381" s="1008" t="str">
        <f>+VLOOKUP(Data_Validation!$A381,BV_Data_An_Cour!$L:$Q,6,0)</f>
        <v>7-Dépenses</v>
      </c>
      <c r="H381" s="165"/>
    </row>
    <row r="382" spans="1:12" ht="15" customHeight="1">
      <c r="A382" s="169" t="s">
        <v>2158</v>
      </c>
      <c r="B382" s="169" t="s">
        <v>932</v>
      </c>
      <c r="C382" s="956" t="s">
        <v>155</v>
      </c>
      <c r="D382" s="956" t="s">
        <v>128</v>
      </c>
      <c r="E382" s="1008" t="s">
        <v>1917</v>
      </c>
      <c r="F382" s="1008"/>
      <c r="G382" s="1008" t="str">
        <f>+VLOOKUP(Data_Validation!$A382,BV_Data_An_Cour!$L:$Q,6,0)</f>
        <v>7-Dépenses</v>
      </c>
      <c r="H382" s="165"/>
    </row>
    <row r="383" spans="1:12" ht="15" customHeight="1">
      <c r="A383" s="167" t="s">
        <v>2572</v>
      </c>
      <c r="B383" s="166" t="s">
        <v>934</v>
      </c>
      <c r="C383" s="956" t="s">
        <v>155</v>
      </c>
      <c r="D383" s="956" t="s">
        <v>133</v>
      </c>
      <c r="E383" s="1008" t="s">
        <v>1917</v>
      </c>
      <c r="F383" s="1008"/>
      <c r="G383" s="1008" t="str">
        <f>+VLOOKUP(Data_Validation!$A383,BV_Data_An_Cour!$L:$Q,6,0)</f>
        <v>7-Dépenses</v>
      </c>
      <c r="H383" s="165"/>
    </row>
    <row r="384" spans="1:12" ht="15" customHeight="1">
      <c r="A384" s="169" t="s">
        <v>2801</v>
      </c>
      <c r="B384" s="169" t="s">
        <v>1527</v>
      </c>
      <c r="C384" s="956" t="s">
        <v>155</v>
      </c>
      <c r="D384" s="956" t="s">
        <v>123</v>
      </c>
      <c r="E384" s="1008" t="s">
        <v>1917</v>
      </c>
      <c r="F384" s="1008"/>
      <c r="G384" s="1008" t="str">
        <f>+VLOOKUP(Data_Validation!$A384,BV_Data_An_Cour!$L:$Q,6,0)</f>
        <v>7-Dépenses</v>
      </c>
      <c r="H384" s="165"/>
    </row>
    <row r="385" spans="1:8" ht="15" customHeight="1">
      <c r="A385" s="167" t="s">
        <v>2609</v>
      </c>
      <c r="B385" s="166" t="s">
        <v>1180</v>
      </c>
      <c r="C385" s="956" t="s">
        <v>155</v>
      </c>
      <c r="D385" s="956" t="s">
        <v>131</v>
      </c>
      <c r="E385" s="1008" t="s">
        <v>1917</v>
      </c>
      <c r="F385" s="1008"/>
      <c r="G385" s="1008" t="str">
        <f>+VLOOKUP(Data_Validation!$A385,BV_Data_An_Cour!$L:$Q,6,0)</f>
        <v>7-Dépenses</v>
      </c>
      <c r="H385" s="165"/>
    </row>
    <row r="386" spans="1:8" ht="15" customHeight="1">
      <c r="A386" s="169" t="s">
        <v>2745</v>
      </c>
      <c r="B386" s="169" t="s">
        <v>1286</v>
      </c>
      <c r="C386" s="956" t="s">
        <v>155</v>
      </c>
      <c r="D386" s="956" t="s">
        <v>124</v>
      </c>
      <c r="E386" s="1008" t="s">
        <v>1917</v>
      </c>
      <c r="F386" s="1008"/>
      <c r="G386" s="1008" t="str">
        <f>+VLOOKUP(Data_Validation!$A386,BV_Data_An_Cour!$L:$Q,6,0)</f>
        <v>7-Dépenses</v>
      </c>
      <c r="H386" s="165"/>
    </row>
    <row r="387" spans="1:8" ht="15" customHeight="1">
      <c r="A387" s="167" t="s">
        <v>2644</v>
      </c>
      <c r="B387" s="166" t="s">
        <v>1206</v>
      </c>
      <c r="C387" s="956" t="s">
        <v>155</v>
      </c>
      <c r="D387" s="956" t="s">
        <v>129</v>
      </c>
      <c r="E387" s="1008" t="s">
        <v>1917</v>
      </c>
      <c r="F387" s="1008"/>
      <c r="G387" s="1008" t="str">
        <f>+VLOOKUP(Data_Validation!$A387,BV_Data_An_Cour!$L:$Q,6,0)</f>
        <v>7-Dépenses</v>
      </c>
      <c r="H387" s="165"/>
    </row>
    <row r="388" spans="1:8" ht="15" customHeight="1">
      <c r="A388" s="169" t="s">
        <v>2645</v>
      </c>
      <c r="B388" s="169" t="s">
        <v>1154</v>
      </c>
      <c r="C388" s="956" t="s">
        <v>155</v>
      </c>
      <c r="D388" s="956" t="s">
        <v>130</v>
      </c>
      <c r="E388" s="1008" t="s">
        <v>1917</v>
      </c>
      <c r="F388" s="1008"/>
      <c r="G388" s="1008" t="str">
        <f>+VLOOKUP(Data_Validation!$A388,BV_Data_An_Cour!$L:$Q,6,0)</f>
        <v>7-Dépenses</v>
      </c>
      <c r="H388" s="165"/>
    </row>
    <row r="389" spans="1:8" ht="15" customHeight="1">
      <c r="A389" s="167" t="s">
        <v>2700</v>
      </c>
      <c r="B389" s="166" t="s">
        <v>1237</v>
      </c>
      <c r="C389" s="956" t="s">
        <v>155</v>
      </c>
      <c r="D389" s="956" t="s">
        <v>132</v>
      </c>
      <c r="E389" s="1008" t="s">
        <v>1917</v>
      </c>
      <c r="F389" s="1008"/>
      <c r="G389" s="1008" t="str">
        <f>+VLOOKUP(Data_Validation!$A389,BV_Data_An_Cour!$L:$Q,6,0)</f>
        <v>7-Dépenses</v>
      </c>
      <c r="H389" s="165"/>
    </row>
    <row r="390" spans="1:8" ht="15" customHeight="1">
      <c r="A390" s="167" t="s">
        <v>2656</v>
      </c>
      <c r="B390" s="166" t="s">
        <v>1292</v>
      </c>
      <c r="C390" s="956" t="s">
        <v>155</v>
      </c>
      <c r="D390" s="956" t="s">
        <v>125</v>
      </c>
      <c r="E390" s="1008" t="s">
        <v>1917</v>
      </c>
      <c r="F390" s="1008"/>
      <c r="G390" s="1008" t="str">
        <f>+VLOOKUP(Data_Validation!$A390,BV_Data_An_Cour!$L:$Q,6,0)</f>
        <v>7-Dépenses</v>
      </c>
      <c r="H390" s="165"/>
    </row>
    <row r="391" spans="1:8" ht="15" customHeight="1">
      <c r="A391" s="169" t="s">
        <v>2736</v>
      </c>
      <c r="B391" s="169" t="s">
        <v>1308</v>
      </c>
      <c r="C391" s="956" t="s">
        <v>155</v>
      </c>
      <c r="D391" s="956" t="s">
        <v>126</v>
      </c>
      <c r="E391" s="1008" t="s">
        <v>1917</v>
      </c>
      <c r="F391" s="1008"/>
      <c r="G391" s="1008" t="str">
        <f>+VLOOKUP(Data_Validation!$A391,BV_Data_An_Cour!$L:$Q,6,0)</f>
        <v>7-Dépenses</v>
      </c>
      <c r="H391" s="165"/>
    </row>
    <row r="392" spans="1:8" ht="15" customHeight="1">
      <c r="A392" s="167" t="s">
        <v>2716</v>
      </c>
      <c r="B392" s="166" t="s">
        <v>1333</v>
      </c>
      <c r="C392" s="956" t="s">
        <v>155</v>
      </c>
      <c r="D392" s="956" t="s">
        <v>260</v>
      </c>
      <c r="E392" s="1008" t="s">
        <v>1917</v>
      </c>
      <c r="F392" s="1008"/>
      <c r="G392" s="1008" t="str">
        <f>+VLOOKUP(Data_Validation!$A392,BV_Data_An_Cour!$L:$Q,6,0)</f>
        <v>7-Dépenses</v>
      </c>
      <c r="H392" s="165"/>
    </row>
    <row r="393" spans="1:8" ht="15" customHeight="1">
      <c r="A393" s="169" t="s">
        <v>2607</v>
      </c>
      <c r="B393" s="169" t="s">
        <v>936</v>
      </c>
      <c r="C393" s="956" t="s">
        <v>155</v>
      </c>
      <c r="D393" s="956" t="s">
        <v>250</v>
      </c>
      <c r="E393" s="1008" t="s">
        <v>1917</v>
      </c>
      <c r="F393" s="1008"/>
      <c r="G393" s="1008" t="e">
        <f>+VLOOKUP(Data_Validation!$A393,BV_Data_An_Cour!$L:$Q,6,0)</f>
        <v>#N/A</v>
      </c>
      <c r="H393" s="165"/>
    </row>
    <row r="394" spans="1:8" ht="15" customHeight="1">
      <c r="A394" s="167" t="s">
        <v>2638</v>
      </c>
      <c r="B394" s="166" t="s">
        <v>1168</v>
      </c>
      <c r="C394" s="956" t="s">
        <v>155</v>
      </c>
      <c r="D394" s="956" t="s">
        <v>248</v>
      </c>
      <c r="E394" s="1008" t="s">
        <v>1917</v>
      </c>
      <c r="F394" s="1008"/>
      <c r="G394" s="1008" t="str">
        <f>+VLOOKUP(Data_Validation!$A394,BV_Data_An_Cour!$L:$Q,6,0)</f>
        <v>7-Dépenses</v>
      </c>
      <c r="H394" s="165"/>
    </row>
    <row r="395" spans="1:8" ht="15" customHeight="1">
      <c r="A395" s="167" t="s">
        <v>2670</v>
      </c>
      <c r="B395" s="166" t="s">
        <v>1311</v>
      </c>
      <c r="C395" s="956" t="s">
        <v>155</v>
      </c>
      <c r="D395" s="956" t="s">
        <v>244</v>
      </c>
      <c r="E395" s="1008" t="s">
        <v>1917</v>
      </c>
      <c r="F395" s="1008"/>
      <c r="G395" s="1008" t="str">
        <f>+VLOOKUP(Data_Validation!$A395,BV_Data_An_Cour!$L:$Q,6,0)</f>
        <v>7-Dépenses</v>
      </c>
      <c r="H395" s="165"/>
    </row>
    <row r="396" spans="1:8" ht="15" customHeight="1">
      <c r="A396" s="167" t="s">
        <v>2756</v>
      </c>
      <c r="B396" s="166" t="s">
        <v>1452</v>
      </c>
      <c r="C396" s="956" t="s">
        <v>155</v>
      </c>
      <c r="D396" s="956" t="s">
        <v>235</v>
      </c>
      <c r="E396" s="1008" t="s">
        <v>1917</v>
      </c>
      <c r="F396" s="1008"/>
      <c r="G396" s="1008" t="str">
        <f>+VLOOKUP(Data_Validation!$A396,BV_Data_An_Cour!$L:$Q,6,0)</f>
        <v>7-Dépenses</v>
      </c>
      <c r="H396" s="165"/>
    </row>
    <row r="397" spans="1:8" ht="15" customHeight="1">
      <c r="A397" s="169" t="s">
        <v>2657</v>
      </c>
      <c r="B397" s="169" t="s">
        <v>1347</v>
      </c>
      <c r="C397" s="956" t="s">
        <v>155</v>
      </c>
      <c r="D397" s="956" t="s">
        <v>242</v>
      </c>
      <c r="E397" s="1008" t="s">
        <v>1917</v>
      </c>
      <c r="F397" s="1008"/>
      <c r="G397" s="1008" t="str">
        <f>+VLOOKUP(Data_Validation!$A397,BV_Data_An_Cour!$L:$Q,6,0)</f>
        <v>7-Dépenses</v>
      </c>
      <c r="H397" s="165"/>
    </row>
    <row r="398" spans="1:8" ht="15" customHeight="1">
      <c r="A398" s="167" t="s">
        <v>2681</v>
      </c>
      <c r="B398" s="166" t="s">
        <v>1340</v>
      </c>
      <c r="C398" s="956" t="s">
        <v>155</v>
      </c>
      <c r="D398" s="956" t="s">
        <v>237</v>
      </c>
      <c r="E398" s="1008" t="s">
        <v>1917</v>
      </c>
      <c r="F398" s="1008"/>
      <c r="G398" s="1008" t="str">
        <f>+VLOOKUP(Data_Validation!$A398,BV_Data_An_Cour!$L:$Q,6,0)</f>
        <v>7-Dépenses</v>
      </c>
      <c r="H398" s="165"/>
    </row>
    <row r="399" spans="1:8" ht="15" customHeight="1">
      <c r="A399" s="167" t="s">
        <v>2663</v>
      </c>
      <c r="B399" s="166" t="s">
        <v>1274</v>
      </c>
      <c r="C399" s="956" t="s">
        <v>155</v>
      </c>
      <c r="D399" s="956" t="s">
        <v>239</v>
      </c>
      <c r="E399" s="1008" t="s">
        <v>1917</v>
      </c>
      <c r="F399" s="1008"/>
      <c r="G399" s="1008" t="str">
        <f>+VLOOKUP(Data_Validation!$A399,BV_Data_An_Cour!$L:$Q,6,0)</f>
        <v>7-Dépenses</v>
      </c>
      <c r="H399" s="165"/>
    </row>
    <row r="400" spans="1:8" ht="15" customHeight="1">
      <c r="A400" s="167" t="s">
        <v>2699</v>
      </c>
      <c r="B400" s="166" t="s">
        <v>1367</v>
      </c>
      <c r="C400" s="956" t="s">
        <v>155</v>
      </c>
      <c r="D400" s="956" t="s">
        <v>246</v>
      </c>
      <c r="E400" s="1008" t="s">
        <v>1917</v>
      </c>
      <c r="F400" s="1008"/>
      <c r="G400" s="1008" t="str">
        <f>+VLOOKUP(Data_Validation!$A400,BV_Data_An_Cour!$L:$Q,6,0)</f>
        <v>7-Dépenses</v>
      </c>
      <c r="H400" s="165"/>
    </row>
    <row r="401" spans="1:8" ht="15" customHeight="1">
      <c r="A401" s="169" t="s">
        <v>2627</v>
      </c>
      <c r="B401" s="169" t="s">
        <v>399</v>
      </c>
      <c r="C401" s="956" t="s">
        <v>171</v>
      </c>
      <c r="D401" s="956" t="s">
        <v>122</v>
      </c>
      <c r="E401" s="1008" t="s">
        <v>1917</v>
      </c>
      <c r="F401" s="1008"/>
      <c r="G401" s="1008" t="str">
        <f>+VLOOKUP(Data_Validation!$A401,BV_Data_An_Cour!$L:$Q,6,0)</f>
        <v>7-Dépenses</v>
      </c>
      <c r="H401" s="165"/>
    </row>
    <row r="402" spans="1:8" ht="15" customHeight="1">
      <c r="A402" s="167" t="s">
        <v>2559</v>
      </c>
      <c r="B402" s="166" t="s">
        <v>1374</v>
      </c>
      <c r="C402" s="956" t="s">
        <v>171</v>
      </c>
      <c r="D402" s="956" t="s">
        <v>121</v>
      </c>
      <c r="E402" s="1008" t="s">
        <v>1917</v>
      </c>
      <c r="F402" s="1008"/>
      <c r="G402" s="1008" t="str">
        <f>+VLOOKUP(Data_Validation!$A402,BV_Data_An_Cour!$L:$Q,6,0)</f>
        <v>7-Dépenses</v>
      </c>
      <c r="H402" s="165"/>
    </row>
    <row r="403" spans="1:8" ht="15" customHeight="1">
      <c r="A403" s="167" t="s">
        <v>2647</v>
      </c>
      <c r="B403" s="166" t="s">
        <v>1259</v>
      </c>
      <c r="C403" s="956" t="s">
        <v>171</v>
      </c>
      <c r="D403" s="956" t="s">
        <v>213</v>
      </c>
      <c r="E403" s="1008" t="s">
        <v>1917</v>
      </c>
      <c r="F403" s="1008"/>
      <c r="G403" s="1008" t="str">
        <f>+VLOOKUP(Data_Validation!$A403,BV_Data_An_Cour!$L:$Q,6,0)</f>
        <v>7-Dépenses</v>
      </c>
      <c r="H403" s="165"/>
    </row>
    <row r="404" spans="1:8" ht="15" customHeight="1">
      <c r="A404" s="167" t="s">
        <v>2625</v>
      </c>
      <c r="B404" s="166" t="s">
        <v>2624</v>
      </c>
      <c r="C404" s="956" t="s">
        <v>171</v>
      </c>
      <c r="D404" s="956" t="s">
        <v>112</v>
      </c>
      <c r="E404" s="1008" t="s">
        <v>1917</v>
      </c>
      <c r="F404" s="1008"/>
      <c r="G404" s="1008" t="str">
        <f>+VLOOKUP(Data_Validation!$A404,BV_Data_An_Cour!$L:$Q,6,0)</f>
        <v>7-Dépenses</v>
      </c>
      <c r="H404" s="165"/>
    </row>
    <row r="405" spans="1:8" ht="15" customHeight="1">
      <c r="A405" s="167" t="s">
        <v>2678</v>
      </c>
      <c r="B405" s="166" t="s">
        <v>1266</v>
      </c>
      <c r="C405" s="956" t="s">
        <v>171</v>
      </c>
      <c r="D405" s="956" t="s">
        <v>113</v>
      </c>
      <c r="E405" s="1008" t="s">
        <v>1917</v>
      </c>
      <c r="F405" s="1008"/>
      <c r="G405" s="1008" t="str">
        <f>+VLOOKUP(Data_Validation!$A405,BV_Data_An_Cour!$L:$Q,6,0)</f>
        <v>7-Dépenses</v>
      </c>
      <c r="H405" s="165"/>
    </row>
    <row r="406" spans="1:8" ht="15" customHeight="1">
      <c r="A406" s="167" t="s">
        <v>2734</v>
      </c>
      <c r="B406" s="166" t="s">
        <v>1249</v>
      </c>
      <c r="C406" s="956" t="s">
        <v>171</v>
      </c>
      <c r="D406" s="956" t="s">
        <v>114</v>
      </c>
      <c r="E406" s="1008" t="s">
        <v>1917</v>
      </c>
      <c r="F406" s="1008"/>
      <c r="G406" s="1008" t="str">
        <f>+VLOOKUP(Data_Validation!$A406,BV_Data_An_Cour!$L:$Q,6,0)</f>
        <v>7-Dépenses</v>
      </c>
      <c r="H406" s="165"/>
    </row>
    <row r="407" spans="1:8" ht="15" customHeight="1">
      <c r="A407" s="167" t="s">
        <v>2720</v>
      </c>
      <c r="B407" s="166" t="s">
        <v>1330</v>
      </c>
      <c r="C407" s="956" t="s">
        <v>171</v>
      </c>
      <c r="D407" s="956" t="s">
        <v>115</v>
      </c>
      <c r="E407" s="1008" t="s">
        <v>1917</v>
      </c>
      <c r="F407" s="1008"/>
      <c r="G407" s="1008" t="str">
        <f>+VLOOKUP(Data_Validation!$A407,BV_Data_An_Cour!$L:$Q,6,0)</f>
        <v>7-Dépenses</v>
      </c>
      <c r="H407" s="165"/>
    </row>
    <row r="408" spans="1:8" ht="15" customHeight="1">
      <c r="A408" s="168" t="s">
        <v>2640</v>
      </c>
      <c r="B408" s="169" t="s">
        <v>1211</v>
      </c>
      <c r="C408" s="956" t="s">
        <v>171</v>
      </c>
      <c r="D408" s="956" t="s">
        <v>116</v>
      </c>
      <c r="E408" s="1008" t="s">
        <v>1917</v>
      </c>
      <c r="F408" s="1008"/>
      <c r="G408" s="1008" t="str">
        <f>+VLOOKUP(Data_Validation!$A408,BV_Data_An_Cour!$L:$Q,6,0)</f>
        <v>7-Dépenses</v>
      </c>
      <c r="H408" s="165"/>
    </row>
    <row r="409" spans="1:8" ht="15" customHeight="1">
      <c r="A409" s="167" t="s">
        <v>2585</v>
      </c>
      <c r="B409" s="166" t="s">
        <v>1252</v>
      </c>
      <c r="C409" s="956" t="s">
        <v>171</v>
      </c>
      <c r="D409" s="956" t="s">
        <v>119</v>
      </c>
      <c r="E409" s="1008" t="s">
        <v>1917</v>
      </c>
      <c r="F409" s="1008"/>
      <c r="G409" s="1008" t="str">
        <f>+VLOOKUP(Data_Validation!$A409,BV_Data_An_Cour!$L:$Q,6,0)</f>
        <v>7-Dépenses</v>
      </c>
      <c r="H409" s="165"/>
    </row>
    <row r="410" spans="1:8" ht="15" customHeight="1">
      <c r="A410" s="167" t="s">
        <v>2684</v>
      </c>
      <c r="B410" s="166" t="s">
        <v>1283</v>
      </c>
      <c r="C410" s="956" t="s">
        <v>171</v>
      </c>
      <c r="D410" s="956" t="s">
        <v>117</v>
      </c>
      <c r="E410" s="1008" t="s">
        <v>1917</v>
      </c>
      <c r="F410" s="1008"/>
      <c r="G410" s="1008" t="str">
        <f>+VLOOKUP(Data_Validation!$A410,BV_Data_An_Cour!$L:$Q,6,0)</f>
        <v>7-Dépenses</v>
      </c>
      <c r="H410" s="165"/>
    </row>
    <row r="411" spans="1:8" ht="15" customHeight="1">
      <c r="A411" s="167" t="s">
        <v>2693</v>
      </c>
      <c r="B411" s="166" t="s">
        <v>1305</v>
      </c>
      <c r="C411" s="956" t="s">
        <v>171</v>
      </c>
      <c r="D411" s="956" t="s">
        <v>118</v>
      </c>
      <c r="E411" s="1008" t="s">
        <v>1917</v>
      </c>
      <c r="F411" s="1008"/>
      <c r="G411" s="1008" t="str">
        <f>+VLOOKUP(Data_Validation!$A411,BV_Data_An_Cour!$L:$Q,6,0)</f>
        <v>7-Dépenses</v>
      </c>
      <c r="H411" s="165"/>
    </row>
    <row r="412" spans="1:8" ht="15" customHeight="1">
      <c r="A412" s="167" t="s">
        <v>2562</v>
      </c>
      <c r="B412" s="166" t="s">
        <v>1157</v>
      </c>
      <c r="C412" s="956" t="s">
        <v>171</v>
      </c>
      <c r="D412" s="956" t="s">
        <v>127</v>
      </c>
      <c r="E412" s="1008" t="s">
        <v>1917</v>
      </c>
      <c r="F412" s="1008"/>
      <c r="G412" s="1008" t="e">
        <f>+VLOOKUP(Data_Validation!$A412,BV_Data_An_Cour!$L:$Q,6,0)</f>
        <v>#N/A</v>
      </c>
      <c r="H412" s="165"/>
    </row>
    <row r="413" spans="1:8" ht="15" customHeight="1">
      <c r="A413" s="168" t="s">
        <v>2468</v>
      </c>
      <c r="B413" s="169" t="s">
        <v>1196</v>
      </c>
      <c r="C413" s="956" t="s">
        <v>171</v>
      </c>
      <c r="D413" s="956" t="s">
        <v>128</v>
      </c>
      <c r="E413" s="1008" t="s">
        <v>1917</v>
      </c>
      <c r="F413" s="1008"/>
      <c r="G413" s="1008" t="e">
        <f>+VLOOKUP(Data_Validation!$A413,BV_Data_An_Cour!$L:$Q,6,0)</f>
        <v>#N/A</v>
      </c>
      <c r="H413" s="165"/>
    </row>
    <row r="414" spans="1:8" ht="15" customHeight="1">
      <c r="A414" s="167" t="s">
        <v>2560</v>
      </c>
      <c r="B414" s="166" t="s">
        <v>934</v>
      </c>
      <c r="C414" s="956" t="s">
        <v>171</v>
      </c>
      <c r="D414" s="956" t="s">
        <v>133</v>
      </c>
      <c r="E414" s="1008" t="s">
        <v>1917</v>
      </c>
      <c r="F414" s="1008"/>
      <c r="G414" s="1008" t="str">
        <f>+VLOOKUP(Data_Validation!$A414,BV_Data_An_Cour!$L:$Q,6,0)</f>
        <v>7-Dépenses</v>
      </c>
      <c r="H414" s="165"/>
    </row>
    <row r="415" spans="1:8" ht="15" customHeight="1">
      <c r="A415" s="167" t="s">
        <v>2654</v>
      </c>
      <c r="B415" s="166" t="s">
        <v>1186</v>
      </c>
      <c r="C415" s="956" t="s">
        <v>171</v>
      </c>
      <c r="D415" s="956" t="s">
        <v>123</v>
      </c>
      <c r="E415" s="1008" t="s">
        <v>1917</v>
      </c>
      <c r="F415" s="1008"/>
      <c r="G415" s="1008" t="str">
        <f>+VLOOKUP(Data_Validation!$A415,BV_Data_An_Cour!$L:$Q,6,0)</f>
        <v>7-Dépenses</v>
      </c>
      <c r="H415" s="165"/>
    </row>
    <row r="416" spans="1:8" ht="15" customHeight="1">
      <c r="A416" s="168" t="s">
        <v>2580</v>
      </c>
      <c r="B416" s="169" t="s">
        <v>1180</v>
      </c>
      <c r="C416" s="956" t="s">
        <v>171</v>
      </c>
      <c r="D416" s="956" t="s">
        <v>131</v>
      </c>
      <c r="E416" s="1008" t="s">
        <v>1917</v>
      </c>
      <c r="F416" s="1008"/>
      <c r="G416" s="1008" t="str">
        <f>+VLOOKUP(Data_Validation!$A416,BV_Data_An_Cour!$L:$Q,6,0)</f>
        <v>7-Dépenses</v>
      </c>
      <c r="H416" s="165"/>
    </row>
    <row r="417" spans="1:8" ht="15" customHeight="1">
      <c r="A417" s="167" t="s">
        <v>2701</v>
      </c>
      <c r="B417" s="166" t="s">
        <v>1286</v>
      </c>
      <c r="C417" s="956" t="s">
        <v>171</v>
      </c>
      <c r="D417" s="956" t="s">
        <v>124</v>
      </c>
      <c r="E417" s="1008" t="s">
        <v>1917</v>
      </c>
      <c r="F417" s="1008"/>
      <c r="G417" s="1008" t="str">
        <f>+VLOOKUP(Data_Validation!$A417,BV_Data_An_Cour!$L:$Q,6,0)</f>
        <v>7-Dépenses</v>
      </c>
      <c r="H417" s="165"/>
    </row>
    <row r="418" spans="1:8" ht="15" customHeight="1">
      <c r="A418" s="168" t="s">
        <v>2587</v>
      </c>
      <c r="B418" s="169" t="s">
        <v>1206</v>
      </c>
      <c r="C418" s="956" t="s">
        <v>171</v>
      </c>
      <c r="D418" s="956" t="s">
        <v>129</v>
      </c>
      <c r="E418" s="1008" t="s">
        <v>1917</v>
      </c>
      <c r="F418" s="1011"/>
      <c r="G418" s="1011" t="str">
        <f>+VLOOKUP(Data_Validation!$A418,BV_Data_An_Cour!$L:$Q,6,0)</f>
        <v>7-Dépenses</v>
      </c>
      <c r="H418" s="165"/>
    </row>
    <row r="419" spans="1:8" ht="15" customHeight="1">
      <c r="A419" s="167" t="s">
        <v>2591</v>
      </c>
      <c r="B419" s="166" t="s">
        <v>1154</v>
      </c>
      <c r="C419" s="956" t="s">
        <v>171</v>
      </c>
      <c r="D419" s="956" t="s">
        <v>130</v>
      </c>
      <c r="E419" s="1008" t="s">
        <v>1917</v>
      </c>
      <c r="F419" s="1008"/>
      <c r="G419" s="1008" t="str">
        <f>+VLOOKUP(Data_Validation!$A419,BV_Data_An_Cour!$L:$Q,6,0)</f>
        <v>7-Dépenses</v>
      </c>
      <c r="H419" s="165"/>
    </row>
    <row r="420" spans="1:8" ht="15" customHeight="1">
      <c r="A420" s="168" t="s">
        <v>2636</v>
      </c>
      <c r="B420" s="169" t="s">
        <v>1237</v>
      </c>
      <c r="C420" s="956" t="s">
        <v>171</v>
      </c>
      <c r="D420" s="956" t="s">
        <v>132</v>
      </c>
      <c r="E420" s="1008" t="s">
        <v>1917</v>
      </c>
      <c r="F420" s="1011"/>
      <c r="G420" s="1011" t="str">
        <f>+VLOOKUP(Data_Validation!$A420,BV_Data_An_Cour!$L:$Q,6,0)</f>
        <v>7-Dépenses</v>
      </c>
      <c r="H420" s="165"/>
    </row>
    <row r="421" spans="1:8" ht="15" customHeight="1">
      <c r="A421" s="168" t="s">
        <v>2469</v>
      </c>
      <c r="B421" s="169" t="s">
        <v>1217</v>
      </c>
      <c r="C421" s="956" t="s">
        <v>171</v>
      </c>
      <c r="D421" s="956" t="s">
        <v>125</v>
      </c>
      <c r="E421" s="1008" t="s">
        <v>1917</v>
      </c>
      <c r="F421" s="1008"/>
      <c r="G421" s="1008" t="str">
        <f>+VLOOKUP(Data_Validation!$A421,BV_Data_An_Cour!$L:$Q,6,0)</f>
        <v>7-Dépenses</v>
      </c>
      <c r="H421" s="165"/>
    </row>
    <row r="422" spans="1:8" ht="15" customHeight="1">
      <c r="A422" s="168" t="s">
        <v>2661</v>
      </c>
      <c r="B422" s="169" t="s">
        <v>1308</v>
      </c>
      <c r="C422" s="956" t="s">
        <v>171</v>
      </c>
      <c r="D422" s="956" t="s">
        <v>126</v>
      </c>
      <c r="E422" s="1008" t="s">
        <v>1917</v>
      </c>
      <c r="F422" s="1011"/>
      <c r="G422" s="1011" t="str">
        <f>+VLOOKUP(Data_Validation!$A422,BV_Data_An_Cour!$L:$Q,6,0)</f>
        <v>7-Dépenses</v>
      </c>
      <c r="H422" s="165"/>
    </row>
    <row r="423" spans="1:8" ht="15" customHeight="1">
      <c r="A423" s="167" t="s">
        <v>2652</v>
      </c>
      <c r="B423" s="166" t="s">
        <v>1333</v>
      </c>
      <c r="C423" s="956" t="s">
        <v>171</v>
      </c>
      <c r="D423" s="956" t="s">
        <v>260</v>
      </c>
      <c r="E423" s="1008" t="s">
        <v>1917</v>
      </c>
      <c r="F423" s="1008"/>
      <c r="G423" s="1008" t="str">
        <f>+VLOOKUP(Data_Validation!$A423,BV_Data_An_Cour!$L:$Q,6,0)</f>
        <v>7-Dépenses</v>
      </c>
      <c r="H423" s="165"/>
    </row>
    <row r="424" spans="1:8" ht="15" customHeight="1">
      <c r="A424" s="168" t="s">
        <v>2471</v>
      </c>
      <c r="B424" s="169" t="s">
        <v>936</v>
      </c>
      <c r="C424" s="956" t="s">
        <v>171</v>
      </c>
      <c r="D424" s="956" t="s">
        <v>250</v>
      </c>
      <c r="E424" s="1008" t="s">
        <v>1917</v>
      </c>
      <c r="F424" s="1008"/>
      <c r="G424" s="1008" t="e">
        <f>+VLOOKUP(Data_Validation!$A424,BV_Data_An_Cour!$L:$Q,6,0)</f>
        <v>#N/A</v>
      </c>
      <c r="H424" s="165"/>
    </row>
    <row r="425" spans="1:8" ht="15" customHeight="1">
      <c r="A425" s="167" t="s">
        <v>2603</v>
      </c>
      <c r="B425" s="166" t="s">
        <v>1244</v>
      </c>
      <c r="C425" s="956" t="s">
        <v>171</v>
      </c>
      <c r="D425" s="956" t="s">
        <v>244</v>
      </c>
      <c r="E425" s="1008" t="s">
        <v>1917</v>
      </c>
      <c r="F425" s="1008"/>
      <c r="G425" s="1008" t="str">
        <f>+VLOOKUP(Data_Validation!$A425,BV_Data_An_Cour!$L:$Q,6,0)</f>
        <v>7-Dépenses</v>
      </c>
      <c r="H425" s="165"/>
    </row>
    <row r="426" spans="1:8" ht="15" customHeight="1">
      <c r="A426" s="168" t="s">
        <v>2708</v>
      </c>
      <c r="B426" s="169" t="s">
        <v>1398</v>
      </c>
      <c r="C426" s="956" t="s">
        <v>171</v>
      </c>
      <c r="D426" s="956" t="s">
        <v>235</v>
      </c>
      <c r="E426" s="1008" t="s">
        <v>1917</v>
      </c>
      <c r="F426" s="1008"/>
      <c r="G426" s="1008" t="str">
        <f>+VLOOKUP(Data_Validation!$A426,BV_Data_An_Cour!$L:$Q,6,0)</f>
        <v>7-Dépenses</v>
      </c>
      <c r="H426" s="165"/>
    </row>
    <row r="427" spans="1:8" ht="15" customHeight="1">
      <c r="A427" s="166" t="s">
        <v>2593</v>
      </c>
      <c r="B427" s="166" t="s">
        <v>1255</v>
      </c>
      <c r="C427" s="956" t="s">
        <v>171</v>
      </c>
      <c r="D427" s="956" t="s">
        <v>242</v>
      </c>
      <c r="E427" s="1008" t="s">
        <v>1917</v>
      </c>
      <c r="F427" s="1008"/>
      <c r="G427" s="1008" t="str">
        <f>+VLOOKUP(Data_Validation!$A427,BV_Data_An_Cour!$L:$Q,6,0)</f>
        <v>7-Dépenses</v>
      </c>
      <c r="H427" s="165"/>
    </row>
    <row r="428" spans="1:8" ht="15" customHeight="1">
      <c r="A428" s="166" t="s">
        <v>2613</v>
      </c>
      <c r="B428" s="166" t="s">
        <v>1264</v>
      </c>
      <c r="C428" s="956" t="s">
        <v>171</v>
      </c>
      <c r="D428" s="956" t="s">
        <v>237</v>
      </c>
      <c r="E428" s="1008" t="s">
        <v>1917</v>
      </c>
      <c r="F428" s="1008"/>
      <c r="G428" s="1008" t="str">
        <f>+VLOOKUP(Data_Validation!$A428,BV_Data_An_Cour!$L:$Q,6,0)</f>
        <v>7-Dépenses</v>
      </c>
      <c r="H428" s="165"/>
    </row>
    <row r="429" spans="1:8" ht="15" customHeight="1">
      <c r="A429" s="168" t="s">
        <v>2596</v>
      </c>
      <c r="B429" s="169" t="s">
        <v>1225</v>
      </c>
      <c r="C429" s="956" t="s">
        <v>171</v>
      </c>
      <c r="D429" s="956" t="s">
        <v>239</v>
      </c>
      <c r="E429" s="1008" t="s">
        <v>1917</v>
      </c>
      <c r="F429" s="1008"/>
      <c r="G429" s="1008" t="str">
        <f>+VLOOKUP(Data_Validation!$A429,BV_Data_An_Cour!$L:$Q,6,0)</f>
        <v>7-Dépenses</v>
      </c>
      <c r="H429" s="165"/>
    </row>
    <row r="430" spans="1:8" ht="15" customHeight="1">
      <c r="A430" s="168" t="s">
        <v>2634</v>
      </c>
      <c r="B430" s="169" t="s">
        <v>1271</v>
      </c>
      <c r="C430" s="956" t="s">
        <v>171</v>
      </c>
      <c r="D430" s="956" t="s">
        <v>246</v>
      </c>
      <c r="E430" s="1008" t="s">
        <v>1917</v>
      </c>
      <c r="F430" s="1008"/>
      <c r="G430" s="1008" t="str">
        <f>+VLOOKUP(Data_Validation!$A430,BV_Data_An_Cour!$L:$Q,6,0)</f>
        <v>7-Dépenses</v>
      </c>
      <c r="H430" s="165"/>
    </row>
    <row r="431" spans="1:8" ht="15" customHeight="1">
      <c r="A431" s="168" t="s">
        <v>2472</v>
      </c>
      <c r="B431" s="169" t="s">
        <v>399</v>
      </c>
      <c r="C431" s="956" t="s">
        <v>175</v>
      </c>
      <c r="D431" s="956" t="s">
        <v>122</v>
      </c>
      <c r="E431" s="1008" t="s">
        <v>1917</v>
      </c>
      <c r="F431" s="1008"/>
      <c r="G431" s="1008" t="str">
        <f>+VLOOKUP(Data_Validation!$A431,BV_Data_An_Cour!$L:$Q,6,0)</f>
        <v>7-Dépenses</v>
      </c>
      <c r="H431" s="165"/>
    </row>
    <row r="432" spans="1:8" ht="15" customHeight="1">
      <c r="A432" s="167" t="s">
        <v>2473</v>
      </c>
      <c r="B432" s="166" t="s">
        <v>1391</v>
      </c>
      <c r="C432" s="956" t="s">
        <v>175</v>
      </c>
      <c r="D432" s="956" t="s">
        <v>122</v>
      </c>
      <c r="E432" s="1008" t="s">
        <v>1917</v>
      </c>
      <c r="F432" s="1008"/>
      <c r="G432" s="1008" t="e">
        <f>+VLOOKUP(Data_Validation!$A432,BV_Data_An_Cour!$L:$Q,6,0)</f>
        <v>#N/A</v>
      </c>
      <c r="H432" s="165"/>
    </row>
    <row r="433" spans="1:8" ht="15" customHeight="1">
      <c r="A433" s="166" t="s">
        <v>2675</v>
      </c>
      <c r="B433" s="166" t="s">
        <v>1374</v>
      </c>
      <c r="C433" s="956" t="s">
        <v>175</v>
      </c>
      <c r="D433" s="956" t="s">
        <v>121</v>
      </c>
      <c r="E433" s="1008" t="s">
        <v>1917</v>
      </c>
      <c r="F433" s="1008"/>
      <c r="G433" s="1008" t="str">
        <f>+VLOOKUP(Data_Validation!$A433,BV_Data_An_Cour!$L:$Q,6,0)</f>
        <v>7-Dépenses</v>
      </c>
      <c r="H433" s="165"/>
    </row>
    <row r="434" spans="1:8" ht="15" customHeight="1">
      <c r="A434" s="168" t="s">
        <v>2715</v>
      </c>
      <c r="B434" s="169" t="s">
        <v>1357</v>
      </c>
      <c r="C434" s="956" t="s">
        <v>175</v>
      </c>
      <c r="D434" s="956" t="s">
        <v>213</v>
      </c>
      <c r="E434" s="1008" t="s">
        <v>1917</v>
      </c>
      <c r="F434" s="1008"/>
      <c r="G434" s="1008" t="str">
        <f>+VLOOKUP(Data_Validation!$A434,BV_Data_An_Cour!$L:$Q,6,0)</f>
        <v>7-Dépenses</v>
      </c>
      <c r="H434" s="165"/>
    </row>
    <row r="435" spans="1:8" ht="15" customHeight="1">
      <c r="A435" s="166" t="s">
        <v>2765</v>
      </c>
      <c r="B435" s="166" t="s">
        <v>2624</v>
      </c>
      <c r="C435" s="956" t="s">
        <v>175</v>
      </c>
      <c r="D435" s="956" t="s">
        <v>112</v>
      </c>
      <c r="E435" s="1008" t="s">
        <v>1917</v>
      </c>
      <c r="F435" s="1008"/>
      <c r="G435" s="1008" t="str">
        <f>+VLOOKUP(Data_Validation!$A435,BV_Data_An_Cour!$L:$Q,6,0)</f>
        <v>7-Dépenses</v>
      </c>
      <c r="H435" s="165"/>
    </row>
    <row r="436" spans="1:8" ht="15" customHeight="1">
      <c r="A436" s="168" t="s">
        <v>2731</v>
      </c>
      <c r="B436" s="169" t="s">
        <v>1342</v>
      </c>
      <c r="C436" s="956" t="s">
        <v>175</v>
      </c>
      <c r="D436" s="956" t="s">
        <v>113</v>
      </c>
      <c r="E436" s="1008" t="s">
        <v>1917</v>
      </c>
      <c r="F436" s="1008"/>
      <c r="G436" s="1008" t="str">
        <f>+VLOOKUP(Data_Validation!$A436,BV_Data_An_Cour!$L:$Q,6,0)</f>
        <v>7-Dépenses</v>
      </c>
      <c r="H436" s="165"/>
    </row>
    <row r="437" spans="1:8" ht="15" customHeight="1">
      <c r="A437" s="167" t="s">
        <v>2800</v>
      </c>
      <c r="B437" s="166" t="s">
        <v>1249</v>
      </c>
      <c r="C437" s="956" t="s">
        <v>175</v>
      </c>
      <c r="D437" s="956" t="s">
        <v>114</v>
      </c>
      <c r="E437" s="1008" t="s">
        <v>1917</v>
      </c>
      <c r="F437" s="1008"/>
      <c r="G437" s="1008" t="str">
        <f>+VLOOKUP(Data_Validation!$A437,BV_Data_An_Cour!$L:$Q,6,0)</f>
        <v>7-Dépenses</v>
      </c>
      <c r="H437" s="165"/>
    </row>
    <row r="438" spans="1:8" ht="15" customHeight="1">
      <c r="A438" s="168" t="s">
        <v>2722</v>
      </c>
      <c r="B438" s="169" t="s">
        <v>1328</v>
      </c>
      <c r="C438" s="956" t="s">
        <v>175</v>
      </c>
      <c r="D438" s="956" t="s">
        <v>116</v>
      </c>
      <c r="E438" s="1008" t="s">
        <v>1917</v>
      </c>
      <c r="F438" s="1008"/>
      <c r="G438" s="1008" t="str">
        <f>+VLOOKUP(Data_Validation!$A438,BV_Data_An_Cour!$L:$Q,6,0)</f>
        <v>7-Dépenses</v>
      </c>
      <c r="H438" s="165"/>
    </row>
    <row r="439" spans="1:8" ht="15" customHeight="1">
      <c r="A439" s="167" t="s">
        <v>2667</v>
      </c>
      <c r="B439" s="166" t="s">
        <v>1252</v>
      </c>
      <c r="C439" s="956" t="s">
        <v>175</v>
      </c>
      <c r="D439" s="956" t="s">
        <v>119</v>
      </c>
      <c r="E439" s="1008" t="s">
        <v>1917</v>
      </c>
      <c r="F439" s="1008"/>
      <c r="G439" s="1008" t="str">
        <f>+VLOOKUP(Data_Validation!$A439,BV_Data_An_Cour!$L:$Q,6,0)</f>
        <v>7-Dépenses</v>
      </c>
      <c r="H439" s="165"/>
    </row>
    <row r="440" spans="1:8" ht="15" customHeight="1">
      <c r="A440" s="168" t="s">
        <v>2733</v>
      </c>
      <c r="B440" s="169" t="s">
        <v>1283</v>
      </c>
      <c r="C440" s="956" t="s">
        <v>175</v>
      </c>
      <c r="D440" s="956" t="s">
        <v>119</v>
      </c>
      <c r="E440" s="1008" t="s">
        <v>1917</v>
      </c>
      <c r="F440" s="1008"/>
      <c r="G440" s="1008" t="str">
        <f>+VLOOKUP(Data_Validation!$A440,BV_Data_An_Cour!$L:$Q,6,0)</f>
        <v>7-Dépenses</v>
      </c>
      <c r="H440" s="165"/>
    </row>
    <row r="441" spans="1:8" ht="15" customHeight="1">
      <c r="A441" s="167" t="s">
        <v>2578</v>
      </c>
      <c r="B441" s="166" t="s">
        <v>1164</v>
      </c>
      <c r="C441" s="956" t="s">
        <v>175</v>
      </c>
      <c r="D441" s="956" t="s">
        <v>117</v>
      </c>
      <c r="E441" s="1008" t="s">
        <v>1917</v>
      </c>
      <c r="F441" s="1008"/>
      <c r="G441" s="1008" t="str">
        <f>+VLOOKUP(Data_Validation!$A441,BV_Data_An_Cour!$L:$Q,6,0)</f>
        <v>7-Dépenses</v>
      </c>
      <c r="H441" s="165"/>
    </row>
    <row r="442" spans="1:8" ht="15" customHeight="1">
      <c r="A442" s="168" t="s">
        <v>2744</v>
      </c>
      <c r="B442" s="169" t="s">
        <v>1305</v>
      </c>
      <c r="C442" s="956" t="s">
        <v>175</v>
      </c>
      <c r="D442" s="956" t="s">
        <v>118</v>
      </c>
      <c r="E442" s="1008" t="s">
        <v>1917</v>
      </c>
      <c r="F442" s="1008"/>
      <c r="G442" s="1008" t="str">
        <f>+VLOOKUP(Data_Validation!$A442,BV_Data_An_Cour!$L:$Q,6,0)</f>
        <v>7-Dépenses</v>
      </c>
      <c r="H442" s="165"/>
    </row>
    <row r="443" spans="1:8" ht="15" customHeight="1">
      <c r="A443" s="167" t="s">
        <v>2598</v>
      </c>
      <c r="B443" s="166" t="s">
        <v>1157</v>
      </c>
      <c r="C443" s="956" t="s">
        <v>175</v>
      </c>
      <c r="D443" s="956" t="s">
        <v>127</v>
      </c>
      <c r="E443" s="1008" t="s">
        <v>1917</v>
      </c>
      <c r="F443" s="1008"/>
      <c r="G443" s="1008" t="str">
        <f>+VLOOKUP(Data_Validation!$A443,BV_Data_An_Cour!$L:$Q,6,0)</f>
        <v>7-Dépenses</v>
      </c>
      <c r="H443" s="165"/>
    </row>
    <row r="444" spans="1:8" ht="15" customHeight="1">
      <c r="A444" s="168" t="s">
        <v>2474</v>
      </c>
      <c r="B444" s="169" t="s">
        <v>932</v>
      </c>
      <c r="C444" s="956" t="s">
        <v>175</v>
      </c>
      <c r="D444" s="956" t="s">
        <v>128</v>
      </c>
      <c r="E444" s="1008" t="s">
        <v>1917</v>
      </c>
      <c r="F444" s="1008"/>
      <c r="G444" s="1008" t="e">
        <f>+VLOOKUP(Data_Validation!$A444,BV_Data_An_Cour!$L:$Q,6,0)</f>
        <v>#N/A</v>
      </c>
      <c r="H444" s="165"/>
    </row>
    <row r="445" spans="1:8" ht="15" customHeight="1">
      <c r="A445" s="167" t="s">
        <v>2573</v>
      </c>
      <c r="B445" s="166" t="s">
        <v>934</v>
      </c>
      <c r="C445" s="956" t="s">
        <v>175</v>
      </c>
      <c r="D445" s="956" t="s">
        <v>133</v>
      </c>
      <c r="E445" s="1008" t="s">
        <v>1917</v>
      </c>
      <c r="F445" s="1008"/>
      <c r="G445" s="1008" t="str">
        <f>+VLOOKUP(Data_Validation!$A445,BV_Data_An_Cour!$L:$Q,6,0)</f>
        <v>7-Dépenses</v>
      </c>
      <c r="H445" s="165"/>
    </row>
    <row r="446" spans="1:8" ht="15" customHeight="1">
      <c r="A446" s="168" t="s">
        <v>2631</v>
      </c>
      <c r="B446" s="169" t="s">
        <v>1186</v>
      </c>
      <c r="C446" s="956" t="s">
        <v>175</v>
      </c>
      <c r="D446" s="956" t="s">
        <v>123</v>
      </c>
      <c r="E446" s="1008" t="s">
        <v>1917</v>
      </c>
      <c r="F446" s="1008"/>
      <c r="G446" s="1008" t="str">
        <f>+VLOOKUP(Data_Validation!$A446,BV_Data_An_Cour!$L:$Q,6,0)</f>
        <v>7-Dépenses</v>
      </c>
      <c r="H446" s="165"/>
    </row>
    <row r="447" spans="1:8" ht="15" customHeight="1">
      <c r="A447" s="171" t="s">
        <v>2610</v>
      </c>
      <c r="B447" s="171" t="s">
        <v>1180</v>
      </c>
      <c r="C447" s="956" t="s">
        <v>175</v>
      </c>
      <c r="D447" s="956" t="s">
        <v>131</v>
      </c>
      <c r="E447" s="1008" t="s">
        <v>1917</v>
      </c>
      <c r="F447" s="1009"/>
      <c r="G447" s="1008" t="str">
        <f>+VLOOKUP(Data_Validation!$A447,BV_Data_An_Cour!$L:$Q,6,0)</f>
        <v>7-Dépenses</v>
      </c>
      <c r="H447" s="165"/>
    </row>
    <row r="448" spans="1:8" ht="15" customHeight="1">
      <c r="A448" s="951" t="s">
        <v>2739</v>
      </c>
      <c r="B448" s="171" t="s">
        <v>1286</v>
      </c>
      <c r="C448" s="956" t="s">
        <v>175</v>
      </c>
      <c r="D448" s="956" t="s">
        <v>124</v>
      </c>
      <c r="E448" s="1008" t="s">
        <v>1917</v>
      </c>
      <c r="F448" s="1009"/>
      <c r="G448" s="1008" t="str">
        <f>+VLOOKUP(Data_Validation!$A448,BV_Data_An_Cour!$L:$Q,6,0)</f>
        <v>7-Dépenses</v>
      </c>
      <c r="H448" s="165"/>
    </row>
    <row r="449" spans="1:29" ht="15" customHeight="1">
      <c r="A449" s="951" t="s">
        <v>2646</v>
      </c>
      <c r="B449" s="171" t="s">
        <v>1206</v>
      </c>
      <c r="C449" s="956" t="s">
        <v>175</v>
      </c>
      <c r="D449" s="956" t="s">
        <v>129</v>
      </c>
      <c r="E449" s="1008" t="s">
        <v>1917</v>
      </c>
      <c r="F449" s="1009"/>
      <c r="G449" s="1008" t="str">
        <f>+VLOOKUP(Data_Validation!$A449,BV_Data_An_Cour!$L:$Q,6,0)</f>
        <v>7-Dépenses</v>
      </c>
      <c r="H449" s="165"/>
    </row>
    <row r="450" spans="1:29" ht="15" customHeight="1">
      <c r="A450" s="951" t="s">
        <v>2630</v>
      </c>
      <c r="B450" s="171" t="s">
        <v>1154</v>
      </c>
      <c r="C450" s="956" t="s">
        <v>175</v>
      </c>
      <c r="D450" s="956" t="s">
        <v>130</v>
      </c>
      <c r="E450" s="1008" t="s">
        <v>1917</v>
      </c>
      <c r="F450" s="1009"/>
      <c r="G450" s="1008" t="str">
        <f>+VLOOKUP(Data_Validation!$A450,BV_Data_An_Cour!$L:$Q,6,0)</f>
        <v>7-Dépenses</v>
      </c>
      <c r="H450" s="165"/>
    </row>
    <row r="451" spans="1:29" ht="15" customHeight="1">
      <c r="A451" s="951" t="s">
        <v>2704</v>
      </c>
      <c r="B451" s="171" t="s">
        <v>1237</v>
      </c>
      <c r="C451" s="956" t="s">
        <v>175</v>
      </c>
      <c r="D451" s="956" t="s">
        <v>132</v>
      </c>
      <c r="E451" s="1008" t="s">
        <v>1917</v>
      </c>
      <c r="F451" s="1009"/>
      <c r="G451" s="1008" t="str">
        <f>+VLOOKUP(Data_Validation!$A451,BV_Data_An_Cour!$L:$Q,6,0)</f>
        <v>7-Dépenses</v>
      </c>
      <c r="H451" s="165"/>
    </row>
    <row r="452" spans="1:29" ht="15" customHeight="1">
      <c r="A452" s="951" t="s">
        <v>2475</v>
      </c>
      <c r="B452" s="171" t="s">
        <v>1294</v>
      </c>
      <c r="C452" s="956" t="s">
        <v>175</v>
      </c>
      <c r="D452" s="956" t="s">
        <v>125</v>
      </c>
      <c r="E452" s="1008" t="s">
        <v>1917</v>
      </c>
      <c r="F452" s="1009"/>
      <c r="G452" s="1008" t="str">
        <f>+VLOOKUP(Data_Validation!$A452,BV_Data_An_Cour!$L:$Q,6,0)</f>
        <v>7-Dépenses</v>
      </c>
      <c r="H452" s="165"/>
    </row>
    <row r="453" spans="1:29" ht="15" customHeight="1">
      <c r="A453" s="951" t="s">
        <v>2775</v>
      </c>
      <c r="B453" s="171" t="s">
        <v>1308</v>
      </c>
      <c r="C453" s="956" t="s">
        <v>175</v>
      </c>
      <c r="D453" s="956" t="s">
        <v>126</v>
      </c>
      <c r="E453" s="1008" t="s">
        <v>1917</v>
      </c>
      <c r="F453" s="1009"/>
      <c r="G453" s="1008" t="str">
        <f>+VLOOKUP(Data_Validation!$A453,BV_Data_An_Cour!$L:$Q,6,0)</f>
        <v>7-Dépenses</v>
      </c>
      <c r="H453" s="165"/>
    </row>
    <row r="454" spans="1:29" ht="15" customHeight="1">
      <c r="A454" s="167" t="s">
        <v>2718</v>
      </c>
      <c r="B454" s="166" t="s">
        <v>1333</v>
      </c>
      <c r="C454" s="956" t="s">
        <v>175</v>
      </c>
      <c r="D454" s="956" t="s">
        <v>260</v>
      </c>
      <c r="E454" s="1008" t="s">
        <v>1917</v>
      </c>
      <c r="F454" s="1009"/>
      <c r="G454" s="1008" t="str">
        <f>+VLOOKUP(Data_Validation!$A454,BV_Data_An_Cour!$L:$Q,6,0)</f>
        <v>7-Dépenses</v>
      </c>
      <c r="H454" s="165"/>
    </row>
    <row r="455" spans="1:29" ht="15" customHeight="1">
      <c r="A455" s="951" t="s">
        <v>2476</v>
      </c>
      <c r="B455" s="171" t="s">
        <v>936</v>
      </c>
      <c r="C455" s="956" t="s">
        <v>175</v>
      </c>
      <c r="D455" s="956" t="s">
        <v>250</v>
      </c>
      <c r="E455" s="1008" t="s">
        <v>1917</v>
      </c>
      <c r="F455" s="1009"/>
      <c r="G455" s="1008" t="e">
        <f>+VLOOKUP(Data_Validation!$A455,BV_Data_An_Cour!$L:$Q,6,0)</f>
        <v>#N/A</v>
      </c>
      <c r="H455" s="165"/>
    </row>
    <row r="456" spans="1:29" ht="15" customHeight="1">
      <c r="A456" s="951" t="s">
        <v>2671</v>
      </c>
      <c r="B456" s="171" t="s">
        <v>1316</v>
      </c>
      <c r="C456" s="956" t="s">
        <v>175</v>
      </c>
      <c r="D456" s="956" t="s">
        <v>244</v>
      </c>
      <c r="E456" s="1008" t="s">
        <v>1917</v>
      </c>
      <c r="F456" s="1009"/>
      <c r="G456" s="1008" t="str">
        <f>+VLOOKUP(Data_Validation!$A456,BV_Data_An_Cour!$L:$Q,6,0)</f>
        <v>7-Dépenses</v>
      </c>
      <c r="H456" s="165"/>
    </row>
    <row r="457" spans="1:29" ht="15" customHeight="1">
      <c r="A457" s="951" t="s">
        <v>2760</v>
      </c>
      <c r="B457" s="171" t="s">
        <v>1457</v>
      </c>
      <c r="C457" s="956" t="s">
        <v>175</v>
      </c>
      <c r="D457" s="956" t="s">
        <v>235</v>
      </c>
      <c r="E457" s="1008" t="s">
        <v>1917</v>
      </c>
      <c r="F457" s="1009"/>
      <c r="G457" s="1008" t="str">
        <f>+VLOOKUP(Data_Validation!$A457,BV_Data_An_Cour!$L:$Q,6,0)</f>
        <v>7-Dépenses</v>
      </c>
      <c r="H457" s="165"/>
    </row>
    <row r="458" spans="1:29" ht="15" customHeight="1">
      <c r="A458" s="951" t="s">
        <v>2660</v>
      </c>
      <c r="B458" s="171" t="s">
        <v>1352</v>
      </c>
      <c r="C458" s="956" t="s">
        <v>175</v>
      </c>
      <c r="D458" s="956" t="s">
        <v>242</v>
      </c>
      <c r="E458" s="1008" t="s">
        <v>1917</v>
      </c>
      <c r="F458" s="1009"/>
      <c r="G458" s="1008" t="str">
        <f>+VLOOKUP(Data_Validation!$A458,BV_Data_An_Cour!$L:$Q,6,0)</f>
        <v>7-Dépenses</v>
      </c>
      <c r="H458" s="165"/>
    </row>
    <row r="459" spans="1:29" ht="15" customHeight="1">
      <c r="A459" s="951" t="s">
        <v>2686</v>
      </c>
      <c r="B459" s="171" t="s">
        <v>1344</v>
      </c>
      <c r="C459" s="956" t="s">
        <v>175</v>
      </c>
      <c r="D459" s="956" t="s">
        <v>237</v>
      </c>
      <c r="E459" s="1008" t="s">
        <v>1917</v>
      </c>
      <c r="F459" s="1009"/>
      <c r="G459" s="1008" t="str">
        <f>+VLOOKUP(Data_Validation!$A459,BV_Data_An_Cour!$L:$Q,6,0)</f>
        <v>7-Dépenses</v>
      </c>
      <c r="H459" s="165"/>
      <c r="I459" s="2"/>
      <c r="J459" s="2"/>
      <c r="L459" s="2"/>
      <c r="M459" s="2"/>
      <c r="N459" s="2"/>
      <c r="O459" s="2"/>
      <c r="P459" s="2"/>
      <c r="Q459" s="2"/>
      <c r="R459" s="2"/>
      <c r="S459" s="2"/>
      <c r="T459" s="2"/>
      <c r="U459" s="2"/>
      <c r="V459" s="2"/>
      <c r="W459" s="2"/>
      <c r="X459" s="2"/>
      <c r="Y459" s="2"/>
      <c r="Z459" s="2"/>
      <c r="AA459" s="2"/>
      <c r="AB459" s="2"/>
      <c r="AC459" s="2"/>
    </row>
    <row r="460" spans="1:29" ht="15" customHeight="1">
      <c r="A460" s="951" t="s">
        <v>2665</v>
      </c>
      <c r="B460" s="171" t="s">
        <v>1278</v>
      </c>
      <c r="C460" s="956" t="s">
        <v>175</v>
      </c>
      <c r="D460" s="956" t="s">
        <v>239</v>
      </c>
      <c r="E460" s="1008" t="s">
        <v>1917</v>
      </c>
      <c r="F460" s="1009"/>
      <c r="G460" s="1008" t="str">
        <f>+VLOOKUP(Data_Validation!$A460,BV_Data_An_Cour!$L:$Q,6,0)</f>
        <v>7-Dépenses</v>
      </c>
      <c r="H460" s="165"/>
      <c r="I460" s="2"/>
      <c r="J460" s="2"/>
      <c r="L460" s="2"/>
      <c r="M460" s="2"/>
      <c r="N460" s="2"/>
      <c r="O460" s="2"/>
      <c r="P460" s="2"/>
      <c r="Q460" s="2"/>
      <c r="R460" s="2"/>
      <c r="S460" s="2"/>
      <c r="T460" s="2"/>
      <c r="U460" s="2"/>
      <c r="V460" s="2"/>
      <c r="W460" s="2"/>
      <c r="X460" s="2"/>
      <c r="Y460" s="2"/>
      <c r="Z460" s="2"/>
      <c r="AA460" s="2"/>
      <c r="AB460" s="2"/>
      <c r="AC460" s="2"/>
    </row>
    <row r="461" spans="1:29" ht="13.5" customHeight="1">
      <c r="A461" s="951" t="s">
        <v>2703</v>
      </c>
      <c r="B461" s="171" t="s">
        <v>1371</v>
      </c>
      <c r="C461" s="956" t="s">
        <v>175</v>
      </c>
      <c r="D461" s="956" t="s">
        <v>246</v>
      </c>
      <c r="E461" s="1008" t="s">
        <v>1917</v>
      </c>
      <c r="F461" s="1009"/>
      <c r="G461" s="1008" t="str">
        <f>+VLOOKUP(Data_Validation!$A461,BV_Data_An_Cour!$L:$Q,6,0)</f>
        <v>7-Dépenses</v>
      </c>
      <c r="H461" s="165"/>
    </row>
    <row r="462" spans="1:29" ht="15" customHeight="1">
      <c r="A462" s="951" t="s">
        <v>2054</v>
      </c>
      <c r="B462" s="171" t="s">
        <v>2053</v>
      </c>
      <c r="C462" s="956" t="s">
        <v>75</v>
      </c>
      <c r="D462" s="956" t="s">
        <v>140</v>
      </c>
      <c r="E462" s="1008" t="s">
        <v>1917</v>
      </c>
      <c r="F462" s="1009"/>
      <c r="G462" s="1008" t="str">
        <f>+VLOOKUP(Data_Validation!$A462,BV_Data_An_Cour!$L:$Q,6,0)</f>
        <v>8-Autres revenus</v>
      </c>
      <c r="H462" s="165"/>
    </row>
    <row r="463" spans="1:29" ht="15" customHeight="1">
      <c r="A463" s="167" t="s">
        <v>2139</v>
      </c>
      <c r="B463" s="171" t="s">
        <v>2138</v>
      </c>
      <c r="C463" s="956" t="s">
        <v>175</v>
      </c>
      <c r="D463" s="956" t="s">
        <v>183</v>
      </c>
      <c r="E463" s="1008" t="s">
        <v>1917</v>
      </c>
      <c r="F463" s="1009"/>
      <c r="G463" s="1008" t="str">
        <f>+VLOOKUP(Data_Validation!$A463,BV_Data_An_Cour!$L:$Q,6,0)</f>
        <v>8-Autres revenus</v>
      </c>
      <c r="H463" s="165"/>
    </row>
    <row r="464" spans="1:29" ht="15" customHeight="1">
      <c r="A464" s="951" t="s">
        <v>2078</v>
      </c>
      <c r="B464" s="171" t="s">
        <v>2077</v>
      </c>
      <c r="C464" s="956" t="s">
        <v>75</v>
      </c>
      <c r="D464" s="956" t="s">
        <v>137</v>
      </c>
      <c r="E464" s="1008" t="s">
        <v>1917</v>
      </c>
      <c r="F464" s="1009"/>
      <c r="G464" s="1008" t="str">
        <f>+VLOOKUP(Data_Validation!$A464,BV_Data_An_Cour!$L:$Q,6,0)</f>
        <v>8-Autres revenus</v>
      </c>
      <c r="H464" s="165"/>
    </row>
    <row r="465" spans="1:29" ht="15" customHeight="1">
      <c r="A465" s="951" t="s">
        <v>2076</v>
      </c>
      <c r="B465" s="171" t="s">
        <v>2170</v>
      </c>
      <c r="C465" s="956" t="s">
        <v>75</v>
      </c>
      <c r="D465" s="956" t="s">
        <v>97</v>
      </c>
      <c r="E465" s="1008" t="s">
        <v>1917</v>
      </c>
      <c r="F465" s="1009" t="s">
        <v>2858</v>
      </c>
      <c r="G465" s="1008" t="str">
        <f>+VLOOKUP(Data_Validation!$A465,BV_Data_An_Cour!$L:$Q,6,0)</f>
        <v>8-Autres revenus</v>
      </c>
      <c r="H465" s="165"/>
    </row>
    <row r="466" spans="1:29" ht="15" customHeight="1">
      <c r="A466" s="951" t="s">
        <v>2085</v>
      </c>
      <c r="B466" s="171" t="s">
        <v>2084</v>
      </c>
      <c r="C466" s="956" t="s">
        <v>144</v>
      </c>
      <c r="D466" s="956" t="s">
        <v>97</v>
      </c>
      <c r="E466" s="1008" t="s">
        <v>1917</v>
      </c>
      <c r="F466" s="1009" t="s">
        <v>2858</v>
      </c>
      <c r="G466" s="1008" t="str">
        <f>+VLOOKUP(Data_Validation!$A466,BV_Data_An_Cour!$L:$Q,6,0)</f>
        <v>8-Autres revenus</v>
      </c>
      <c r="H466" s="165"/>
      <c r="K466" s="2"/>
    </row>
    <row r="467" spans="1:29" ht="15" customHeight="1">
      <c r="A467" s="951" t="s">
        <v>2172</v>
      </c>
      <c r="B467" s="171" t="s">
        <v>2171</v>
      </c>
      <c r="C467" s="956" t="s">
        <v>75</v>
      </c>
      <c r="D467" s="956" t="s">
        <v>99</v>
      </c>
      <c r="E467" s="1008" t="s">
        <v>1917</v>
      </c>
      <c r="F467" s="1009" t="s">
        <v>2858</v>
      </c>
      <c r="G467" s="1008" t="str">
        <f>+VLOOKUP(Data_Validation!$A467,BV_Data_An_Cour!$L:$Q,6,0)</f>
        <v>8-Autres revenus</v>
      </c>
      <c r="H467" s="165"/>
      <c r="I467" s="2"/>
      <c r="J467" s="2"/>
      <c r="K467" s="2"/>
      <c r="L467" s="2"/>
      <c r="M467" s="2"/>
      <c r="N467" s="2"/>
      <c r="O467" s="2"/>
      <c r="P467" s="2"/>
      <c r="Q467" s="2"/>
      <c r="R467" s="2"/>
      <c r="S467" s="2"/>
      <c r="T467" s="2"/>
      <c r="U467" s="2"/>
      <c r="V467" s="2"/>
      <c r="W467" s="2"/>
      <c r="X467" s="2"/>
      <c r="Y467" s="2"/>
      <c r="Z467" s="2"/>
      <c r="AA467" s="2"/>
      <c r="AB467" s="2"/>
      <c r="AC467" s="2"/>
    </row>
    <row r="468" spans="1:29" ht="15" customHeight="1">
      <c r="A468" s="951" t="s">
        <v>2180</v>
      </c>
      <c r="B468" s="171" t="s">
        <v>2179</v>
      </c>
      <c r="C468" s="956" t="s">
        <v>144</v>
      </c>
      <c r="D468" s="956" t="s">
        <v>99</v>
      </c>
      <c r="E468" s="1008" t="s">
        <v>1917</v>
      </c>
      <c r="F468" s="1009"/>
      <c r="G468" s="1008" t="str">
        <f>+VLOOKUP(Data_Validation!$A468,BV_Data_An_Cour!$L:$Q,6,0)</f>
        <v>8-Autres revenus</v>
      </c>
      <c r="H468" s="165"/>
    </row>
    <row r="469" spans="1:29" ht="15" customHeight="1">
      <c r="A469" s="951" t="s">
        <v>2093</v>
      </c>
      <c r="B469" s="171" t="s">
        <v>2092</v>
      </c>
      <c r="C469" s="956" t="s">
        <v>75</v>
      </c>
      <c r="D469" s="956" t="s">
        <v>98</v>
      </c>
      <c r="E469" s="1008" t="s">
        <v>1917</v>
      </c>
      <c r="F469" s="1009" t="s">
        <v>2858</v>
      </c>
      <c r="G469" s="1008" t="str">
        <f>+VLOOKUP(Data_Validation!$A469,BV_Data_An_Cour!$L:$Q,6,0)</f>
        <v>8-Autres revenus</v>
      </c>
      <c r="H469" s="165"/>
    </row>
    <row r="470" spans="1:29" ht="15" customHeight="1">
      <c r="A470" s="951" t="s">
        <v>2075</v>
      </c>
      <c r="B470" s="171" t="s">
        <v>2074</v>
      </c>
      <c r="C470" s="956" t="s">
        <v>75</v>
      </c>
      <c r="D470" s="956" t="s">
        <v>98</v>
      </c>
      <c r="E470" s="1008" t="s">
        <v>1917</v>
      </c>
      <c r="F470" s="1009" t="s">
        <v>2858</v>
      </c>
      <c r="G470" s="1008" t="str">
        <f>+VLOOKUP(Data_Validation!$A470,BV_Data_An_Cour!$L:$Q,6,0)</f>
        <v>8-Autres revenus</v>
      </c>
      <c r="H470" s="165"/>
    </row>
    <row r="471" spans="1:29" ht="15" customHeight="1">
      <c r="A471" s="951" t="s">
        <v>2089</v>
      </c>
      <c r="B471" s="171" t="s">
        <v>2088</v>
      </c>
      <c r="C471" s="956" t="s">
        <v>144</v>
      </c>
      <c r="D471" s="956" t="s">
        <v>98</v>
      </c>
      <c r="E471" s="1008" t="s">
        <v>1917</v>
      </c>
      <c r="F471" s="1009"/>
      <c r="G471" s="1008" t="str">
        <f>+VLOOKUP(Data_Validation!$A471,BV_Data_An_Cour!$L:$Q,6,0)</f>
        <v>8-Autres revenus</v>
      </c>
      <c r="H471" s="165"/>
    </row>
    <row r="472" spans="1:29" ht="15" customHeight="1">
      <c r="A472" s="167" t="s">
        <v>2097</v>
      </c>
      <c r="B472" s="171" t="s">
        <v>2096</v>
      </c>
      <c r="C472" s="956" t="s">
        <v>144</v>
      </c>
      <c r="D472" s="956" t="s">
        <v>98</v>
      </c>
      <c r="E472" s="1008" t="s">
        <v>1917</v>
      </c>
      <c r="F472" s="1009"/>
      <c r="G472" s="1008" t="str">
        <f>+VLOOKUP(Data_Validation!$A472,BV_Data_An_Cour!$L:$Q,6,0)</f>
        <v>8-Autres revenus</v>
      </c>
      <c r="H472" s="165"/>
    </row>
    <row r="473" spans="1:29" ht="15" customHeight="1">
      <c r="A473" s="951" t="s">
        <v>2081</v>
      </c>
      <c r="B473" s="171" t="s">
        <v>2080</v>
      </c>
      <c r="C473" s="956" t="s">
        <v>75</v>
      </c>
      <c r="D473" s="956" t="s">
        <v>141</v>
      </c>
      <c r="E473" s="1008" t="s">
        <v>1917</v>
      </c>
      <c r="F473" s="1009"/>
      <c r="G473" s="1008" t="str">
        <f>+VLOOKUP(Data_Validation!$A473,BV_Data_An_Cour!$L:$Q,6,0)</f>
        <v>8-Autres revenus</v>
      </c>
      <c r="H473" s="165"/>
      <c r="I473" s="2"/>
      <c r="J473" s="2"/>
      <c r="L473" s="2"/>
      <c r="M473" s="2"/>
      <c r="N473" s="2"/>
      <c r="O473" s="2"/>
      <c r="P473" s="2"/>
      <c r="Q473" s="2"/>
      <c r="R473" s="2"/>
      <c r="S473" s="2"/>
      <c r="T473" s="2"/>
      <c r="U473" s="2"/>
      <c r="V473" s="2"/>
      <c r="W473" s="2"/>
      <c r="X473" s="2"/>
      <c r="Y473" s="2"/>
      <c r="Z473" s="2"/>
      <c r="AA473" s="2"/>
      <c r="AB473" s="2"/>
      <c r="AC473" s="2"/>
    </row>
    <row r="474" spans="1:29" ht="15" customHeight="1">
      <c r="A474" s="951" t="s">
        <v>2063</v>
      </c>
      <c r="B474" s="171" t="s">
        <v>2062</v>
      </c>
      <c r="C474" s="956" t="s">
        <v>193</v>
      </c>
      <c r="D474" s="956" t="s">
        <v>255</v>
      </c>
      <c r="E474" s="1008" t="s">
        <v>1917</v>
      </c>
      <c r="F474" s="1009"/>
      <c r="G474" s="1008" t="str">
        <f>+VLOOKUP(Data_Validation!$A474,BV_Data_An_Cour!$L:$Q,6,0)</f>
        <v>8-Autres revenus</v>
      </c>
      <c r="H474" s="165"/>
      <c r="K474" s="2"/>
    </row>
    <row r="475" spans="1:29" ht="15" customHeight="1">
      <c r="A475" s="951" t="s">
        <v>2176</v>
      </c>
      <c r="B475" s="171" t="s">
        <v>2650</v>
      </c>
      <c r="C475" s="956" t="s">
        <v>193</v>
      </c>
      <c r="D475" s="956" t="s">
        <v>262</v>
      </c>
      <c r="E475" s="1008" t="s">
        <v>1917</v>
      </c>
      <c r="F475" s="1009"/>
      <c r="G475" s="1008" t="str">
        <f>+VLOOKUP(Data_Validation!$A475,BV_Data_An_Cour!$L:$Q,6,0)</f>
        <v>9-Autres déductions</v>
      </c>
      <c r="H475" s="165"/>
    </row>
    <row r="476" spans="1:29" ht="15" customHeight="1">
      <c r="A476" s="951" t="s">
        <v>2175</v>
      </c>
      <c r="B476" s="171" t="s">
        <v>2174</v>
      </c>
      <c r="C476" s="956" t="s">
        <v>193</v>
      </c>
      <c r="D476" s="956" t="s">
        <v>261</v>
      </c>
      <c r="E476" s="1008" t="s">
        <v>1917</v>
      </c>
      <c r="F476" s="1009"/>
      <c r="G476" s="1008" t="str">
        <f>+VLOOKUP(Data_Validation!$A476,BV_Data_An_Cour!$L:$Q,6,0)</f>
        <v>9-Autres déductions</v>
      </c>
      <c r="H476" s="165"/>
    </row>
    <row r="477" spans="1:29" ht="15" customHeight="1">
      <c r="A477" s="951" t="s">
        <v>2599</v>
      </c>
      <c r="B477" s="171" t="s">
        <v>1389</v>
      </c>
      <c r="C477" s="956" t="s">
        <v>193</v>
      </c>
      <c r="D477" s="956" t="s">
        <v>262</v>
      </c>
      <c r="E477" s="1008" t="s">
        <v>1917</v>
      </c>
      <c r="F477" s="1009"/>
      <c r="G477" s="1008" t="str">
        <f>+VLOOKUP(Data_Validation!$A477,BV_Data_An_Cour!$L:$Q,6,0)</f>
        <v>9-Autres déductions</v>
      </c>
      <c r="H477" s="165"/>
    </row>
    <row r="478" spans="1:29" ht="15" customHeight="1">
      <c r="A478" s="951" t="s">
        <v>2782</v>
      </c>
      <c r="B478" s="171" t="s">
        <v>1385</v>
      </c>
      <c r="C478" s="956" t="s">
        <v>75</v>
      </c>
      <c r="D478" s="956" t="s">
        <v>134</v>
      </c>
      <c r="E478" s="1008" t="s">
        <v>1917</v>
      </c>
      <c r="F478" s="1009"/>
      <c r="G478" s="1008" t="str">
        <f>+VLOOKUP(Data_Validation!$A478,BV_Data_An_Cour!$L:$Q,6,0)</f>
        <v>9-Autres déductions</v>
      </c>
      <c r="H478" s="165"/>
    </row>
    <row r="479" spans="1:29" ht="15" customHeight="1">
      <c r="A479" s="168" t="s">
        <v>2478</v>
      </c>
      <c r="B479" s="169" t="s">
        <v>2477</v>
      </c>
      <c r="C479" s="956" t="s">
        <v>1642</v>
      </c>
      <c r="D479" s="956"/>
      <c r="E479" s="1011" t="s">
        <v>1915</v>
      </c>
      <c r="F479" s="1009"/>
      <c r="G479" s="1008" t="str">
        <f>+VLOOKUP(Data_Validation!$A479,BV_Data_An_Cour!$L:$Q,6,0)</f>
        <v>10-Compte compteur</v>
      </c>
      <c r="H479" s="163"/>
    </row>
    <row r="480" spans="1:29" ht="15" customHeight="1">
      <c r="A480" s="168" t="s">
        <v>2480</v>
      </c>
      <c r="B480" s="169" t="s">
        <v>2479</v>
      </c>
      <c r="C480" s="956" t="s">
        <v>1642</v>
      </c>
      <c r="D480" s="956"/>
      <c r="E480" s="1011" t="s">
        <v>1915</v>
      </c>
      <c r="F480" s="1009"/>
      <c r="G480" s="1008" t="str">
        <f>+VLOOKUP(Data_Validation!$A480,BV_Data_An_Cour!$L:$Q,6,0)</f>
        <v>10-Compte compteur</v>
      </c>
      <c r="H480" s="165"/>
    </row>
    <row r="481" spans="1:29" ht="15" customHeight="1">
      <c r="A481" s="168" t="s">
        <v>2483</v>
      </c>
      <c r="B481" s="169" t="s">
        <v>2482</v>
      </c>
      <c r="C481" s="956" t="s">
        <v>75</v>
      </c>
      <c r="D481" s="956" t="s">
        <v>96</v>
      </c>
      <c r="E481" s="1011" t="s">
        <v>1915</v>
      </c>
      <c r="F481" s="1011"/>
      <c r="G481" s="1008" t="str">
        <f>+VLOOKUP(Data_Validation!$A481,BV_Data_An_Cour!$L:$Q,6,0)</f>
        <v>10-Compte compteur</v>
      </c>
      <c r="H481" s="165"/>
    </row>
    <row r="482" spans="1:29" ht="15" customHeight="1">
      <c r="A482" s="168" t="s">
        <v>2485</v>
      </c>
      <c r="B482" s="169" t="s">
        <v>2484</v>
      </c>
      <c r="C482" s="956" t="s">
        <v>75</v>
      </c>
      <c r="D482" s="956" t="s">
        <v>89</v>
      </c>
      <c r="E482" s="1011" t="s">
        <v>1915</v>
      </c>
      <c r="F482" s="1011"/>
      <c r="G482" s="1008" t="e">
        <f>+VLOOKUP(Data_Validation!$A482,BV_Data_An_Cour!$L:$Q,6,0)</f>
        <v>#N/A</v>
      </c>
      <c r="H482" s="165"/>
    </row>
    <row r="483" spans="1:29" ht="15" customHeight="1">
      <c r="A483" s="168" t="s">
        <v>2487</v>
      </c>
      <c r="B483" s="169" t="s">
        <v>2486</v>
      </c>
      <c r="C483" s="956" t="s">
        <v>75</v>
      </c>
      <c r="D483" s="956" t="s">
        <v>89</v>
      </c>
      <c r="E483" s="1011" t="s">
        <v>1915</v>
      </c>
      <c r="F483" s="1011"/>
      <c r="G483" s="1008" t="e">
        <f>+VLOOKUP(Data_Validation!$A483,BV_Data_An_Cour!$L:$Q,6,0)</f>
        <v>#N/A</v>
      </c>
      <c r="H483" s="165"/>
    </row>
    <row r="484" spans="1:29" ht="15" customHeight="1">
      <c r="A484" s="168" t="s">
        <v>2489</v>
      </c>
      <c r="B484" s="169" t="s">
        <v>2488</v>
      </c>
      <c r="C484" s="956" t="s">
        <v>75</v>
      </c>
      <c r="D484" s="956" t="s">
        <v>89</v>
      </c>
      <c r="E484" s="1011" t="s">
        <v>1915</v>
      </c>
      <c r="F484" s="1011"/>
      <c r="G484" s="1008" t="str">
        <f>+VLOOKUP(Data_Validation!$A484,BV_Data_An_Cour!$L:$Q,6,0)</f>
        <v>10-Compte compteur</v>
      </c>
      <c r="H484" s="165"/>
    </row>
    <row r="485" spans="1:29" ht="15" customHeight="1">
      <c r="A485" s="1023" t="s">
        <v>2491</v>
      </c>
      <c r="B485" s="1026" t="s">
        <v>2490</v>
      </c>
      <c r="C485" s="1022" t="s">
        <v>75</v>
      </c>
      <c r="D485" s="956" t="s">
        <v>89</v>
      </c>
      <c r="E485" s="1011" t="s">
        <v>1915</v>
      </c>
      <c r="F485" s="1011"/>
      <c r="G485" s="1008" t="e">
        <f>+VLOOKUP(Data_Validation!$A485,BV_Data_An_Cour!$L:$Q,6,0)</f>
        <v>#N/A</v>
      </c>
      <c r="H485" s="165"/>
    </row>
    <row r="486" spans="1:29" ht="15" customHeight="1">
      <c r="A486" s="168" t="s">
        <v>2493</v>
      </c>
      <c r="B486" s="169" t="s">
        <v>2492</v>
      </c>
      <c r="C486" s="956" t="s">
        <v>75</v>
      </c>
      <c r="D486" s="956" t="s">
        <v>89</v>
      </c>
      <c r="E486" s="1011" t="s">
        <v>1915</v>
      </c>
      <c r="F486" s="1011"/>
      <c r="G486" s="1008" t="str">
        <f>+VLOOKUP(Data_Validation!$A486,BV_Data_An_Cour!$L:$Q,6,0)</f>
        <v>10-Compte compteur</v>
      </c>
      <c r="H486" s="165"/>
    </row>
    <row r="487" spans="1:29" ht="15" customHeight="1">
      <c r="A487" s="168" t="s">
        <v>2495</v>
      </c>
      <c r="B487" s="169" t="s">
        <v>2494</v>
      </c>
      <c r="C487" s="956" t="s">
        <v>75</v>
      </c>
      <c r="D487" s="956" t="s">
        <v>89</v>
      </c>
      <c r="E487" s="1011" t="s">
        <v>1915</v>
      </c>
      <c r="F487" s="1011"/>
      <c r="G487" s="1008" t="e">
        <f>+VLOOKUP(Data_Validation!$A487,BV_Data_An_Cour!$L:$Q,6,0)</f>
        <v>#N/A</v>
      </c>
      <c r="H487" s="165"/>
    </row>
    <row r="488" spans="1:29" ht="15" customHeight="1">
      <c r="A488" s="168" t="s">
        <v>2497</v>
      </c>
      <c r="B488" s="169" t="s">
        <v>2496</v>
      </c>
      <c r="C488" s="956" t="s">
        <v>75</v>
      </c>
      <c r="D488" s="956" t="s">
        <v>89</v>
      </c>
      <c r="E488" s="1011" t="s">
        <v>1915</v>
      </c>
      <c r="F488" s="1011"/>
      <c r="G488" s="1008" t="e">
        <f>+VLOOKUP(Data_Validation!$A488,BV_Data_An_Cour!$L:$Q,6,0)</f>
        <v>#N/A</v>
      </c>
      <c r="H488" s="165"/>
    </row>
    <row r="489" spans="1:29" ht="15" customHeight="1">
      <c r="A489" s="168" t="s">
        <v>2499</v>
      </c>
      <c r="B489" s="169" t="s">
        <v>2498</v>
      </c>
      <c r="C489" s="956" t="s">
        <v>75</v>
      </c>
      <c r="D489" s="956" t="s">
        <v>90</v>
      </c>
      <c r="E489" s="1011" t="s">
        <v>1915</v>
      </c>
      <c r="F489" s="1011"/>
      <c r="G489" s="1008" t="str">
        <f>+VLOOKUP(Data_Validation!$A489,BV_Data_An_Cour!$L:$Q,6,0)</f>
        <v>10-Compte compteur</v>
      </c>
      <c r="H489" s="165"/>
    </row>
    <row r="490" spans="1:29" ht="15" customHeight="1">
      <c r="A490" s="168" t="s">
        <v>2501</v>
      </c>
      <c r="B490" s="169" t="s">
        <v>2500</v>
      </c>
      <c r="C490" s="956" t="s">
        <v>75</v>
      </c>
      <c r="D490" s="956" t="s">
        <v>89</v>
      </c>
      <c r="E490" s="1011" t="s">
        <v>1915</v>
      </c>
      <c r="F490" s="1011"/>
      <c r="G490" s="1008" t="str">
        <f>+VLOOKUP(Data_Validation!$A490,BV_Data_An_Cour!$L:$Q,6,0)</f>
        <v>10-Compte compteur</v>
      </c>
      <c r="H490" s="165"/>
      <c r="I490" s="2"/>
      <c r="J490" s="2"/>
      <c r="L490" s="2"/>
      <c r="M490" s="2"/>
      <c r="N490" s="2"/>
      <c r="O490" s="2"/>
      <c r="P490" s="2"/>
      <c r="Q490" s="2"/>
      <c r="R490" s="2"/>
      <c r="S490" s="2"/>
      <c r="T490" s="2"/>
      <c r="U490" s="2"/>
      <c r="V490" s="2"/>
      <c r="W490" s="2"/>
      <c r="X490" s="2"/>
      <c r="Y490" s="2"/>
      <c r="Z490" s="2"/>
      <c r="AA490" s="2"/>
      <c r="AB490" s="2"/>
      <c r="AC490" s="2"/>
    </row>
    <row r="491" spans="1:29" ht="15" customHeight="1">
      <c r="A491" s="169" t="s">
        <v>2503</v>
      </c>
      <c r="B491" s="169" t="s">
        <v>2502</v>
      </c>
      <c r="C491" s="956" t="s">
        <v>75</v>
      </c>
      <c r="D491" s="956" t="s">
        <v>90</v>
      </c>
      <c r="E491" s="1011" t="s">
        <v>1915</v>
      </c>
      <c r="F491" s="1011"/>
      <c r="G491" s="1008" t="str">
        <f>+VLOOKUP(Data_Validation!$A491,BV_Data_An_Cour!$L:$Q,6,0)</f>
        <v>10-Compte compteur</v>
      </c>
      <c r="H491" s="165"/>
    </row>
    <row r="492" spans="1:29" ht="15" customHeight="1">
      <c r="A492" s="168" t="s">
        <v>2505</v>
      </c>
      <c r="B492" s="169" t="s">
        <v>2504</v>
      </c>
      <c r="C492" s="956" t="s">
        <v>75</v>
      </c>
      <c r="D492" s="956" t="s">
        <v>89</v>
      </c>
      <c r="E492" s="1011" t="s">
        <v>1915</v>
      </c>
      <c r="F492" s="1011"/>
      <c r="G492" s="1008" t="str">
        <f>+VLOOKUP(Data_Validation!$A492,BV_Data_An_Cour!$L:$Q,6,0)</f>
        <v>10-Compte compteur</v>
      </c>
      <c r="H492" s="165"/>
    </row>
    <row r="493" spans="1:29" ht="15" customHeight="1">
      <c r="A493" s="168" t="s">
        <v>2508</v>
      </c>
      <c r="B493" s="169" t="s">
        <v>2507</v>
      </c>
      <c r="C493" s="956" t="s">
        <v>75</v>
      </c>
      <c r="D493" s="956" t="s">
        <v>95</v>
      </c>
      <c r="E493" s="1011" t="s">
        <v>1915</v>
      </c>
      <c r="F493" s="1011"/>
      <c r="G493" s="1008" t="str">
        <f>+VLOOKUP(Data_Validation!$A493,BV_Data_An_Cour!$L:$Q,6,0)</f>
        <v>10-Compte compteur</v>
      </c>
      <c r="H493" s="165"/>
    </row>
    <row r="494" spans="1:29" ht="15" customHeight="1">
      <c r="A494" s="169" t="s">
        <v>2510</v>
      </c>
      <c r="B494" s="169" t="s">
        <v>2509</v>
      </c>
      <c r="C494" s="956" t="s">
        <v>75</v>
      </c>
      <c r="D494" s="956" t="s">
        <v>94</v>
      </c>
      <c r="E494" s="1011" t="s">
        <v>1915</v>
      </c>
      <c r="F494" s="1011"/>
      <c r="G494" s="1008" t="str">
        <f>+VLOOKUP(Data_Validation!$A494,BV_Data_An_Cour!$L:$Q,6,0)</f>
        <v>10-Compte compteur</v>
      </c>
      <c r="H494" s="165"/>
    </row>
    <row r="495" spans="1:29" ht="15" customHeight="1">
      <c r="A495" s="168" t="s">
        <v>2512</v>
      </c>
      <c r="B495" s="169" t="s">
        <v>2511</v>
      </c>
      <c r="C495" s="956" t="s">
        <v>144</v>
      </c>
      <c r="D495" s="956" t="s">
        <v>146</v>
      </c>
      <c r="E495" s="1011" t="s">
        <v>1915</v>
      </c>
      <c r="F495" s="1011"/>
      <c r="G495" s="1008" t="str">
        <f>+VLOOKUP(Data_Validation!$A495,BV_Data_An_Cour!$L:$Q,6,0)</f>
        <v>10-Compte compteur</v>
      </c>
      <c r="H495" s="165"/>
    </row>
    <row r="496" spans="1:29" ht="15" customHeight="1">
      <c r="A496" s="168" t="s">
        <v>2514</v>
      </c>
      <c r="B496" s="169" t="s">
        <v>2513</v>
      </c>
      <c r="C496" s="956" t="s">
        <v>144</v>
      </c>
      <c r="D496" s="956" t="s">
        <v>147</v>
      </c>
      <c r="E496" s="1011" t="s">
        <v>1915</v>
      </c>
      <c r="F496" s="1011"/>
      <c r="G496" s="1008" t="e">
        <f>+VLOOKUP(Data_Validation!$A496,BV_Data_An_Cour!$L:$Q,6,0)</f>
        <v>#N/A</v>
      </c>
      <c r="H496" s="165"/>
    </row>
    <row r="497" spans="1:8" ht="15" customHeight="1">
      <c r="A497" s="168" t="s">
        <v>2516</v>
      </c>
      <c r="B497" s="169" t="s">
        <v>2515</v>
      </c>
      <c r="C497" s="956" t="s">
        <v>144</v>
      </c>
      <c r="D497" s="956" t="s">
        <v>147</v>
      </c>
      <c r="E497" s="1011" t="s">
        <v>1915</v>
      </c>
      <c r="F497" s="1011"/>
      <c r="G497" s="1008" t="str">
        <f>+VLOOKUP(Data_Validation!$A497,BV_Data_An_Cour!$L:$Q,6,0)</f>
        <v>10-Compte compteur</v>
      </c>
      <c r="H497" s="165"/>
    </row>
    <row r="498" spans="1:8" ht="15" customHeight="1">
      <c r="A498" s="168" t="s">
        <v>2518</v>
      </c>
      <c r="B498" s="169" t="s">
        <v>2517</v>
      </c>
      <c r="C498" s="956" t="s">
        <v>144</v>
      </c>
      <c r="D498" s="956" t="s">
        <v>150</v>
      </c>
      <c r="E498" s="1011" t="s">
        <v>1915</v>
      </c>
      <c r="F498" s="1011"/>
      <c r="G498" s="1008" t="str">
        <f>+VLOOKUP(Data_Validation!$A498,BV_Data_An_Cour!$L:$Q,6,0)</f>
        <v>10-Compte compteur</v>
      </c>
      <c r="H498" s="165"/>
    </row>
    <row r="499" spans="1:8" ht="15" customHeight="1">
      <c r="A499" s="168" t="s">
        <v>2519</v>
      </c>
      <c r="B499" s="169" t="s">
        <v>2011</v>
      </c>
      <c r="C499" s="956" t="s">
        <v>155</v>
      </c>
      <c r="D499" s="956" t="s">
        <v>159</v>
      </c>
      <c r="E499" s="1011" t="s">
        <v>1915</v>
      </c>
      <c r="F499" s="1011"/>
      <c r="G499" s="1008" t="str">
        <f>+VLOOKUP(Data_Validation!$A499,BV_Data_An_Cour!$L:$Q,6,0)</f>
        <v>10-Compte compteur</v>
      </c>
      <c r="H499" s="165"/>
    </row>
    <row r="500" spans="1:8" ht="15" customHeight="1">
      <c r="A500" s="168" t="s">
        <v>2521</v>
      </c>
      <c r="B500" s="169" t="s">
        <v>2520</v>
      </c>
      <c r="C500" s="956" t="s">
        <v>155</v>
      </c>
      <c r="D500" s="956" t="s">
        <v>163</v>
      </c>
      <c r="E500" s="1011" t="s">
        <v>1915</v>
      </c>
      <c r="F500" s="1011"/>
      <c r="G500" s="1008" t="e">
        <f>+VLOOKUP(Data_Validation!$A500,BV_Data_An_Cour!$L:$Q,6,0)</f>
        <v>#N/A</v>
      </c>
      <c r="H500" s="165"/>
    </row>
    <row r="501" spans="1:8" ht="15" customHeight="1">
      <c r="A501" s="168" t="s">
        <v>2522</v>
      </c>
      <c r="B501" s="169" t="s">
        <v>2041</v>
      </c>
      <c r="C501" s="956" t="s">
        <v>155</v>
      </c>
      <c r="D501" s="956" t="s">
        <v>161</v>
      </c>
      <c r="E501" s="1011" t="s">
        <v>1915</v>
      </c>
      <c r="F501" s="1011"/>
      <c r="G501" s="1008" t="str">
        <f>+VLOOKUP(Data_Validation!$A501,BV_Data_An_Cour!$L:$Q,6,0)</f>
        <v>10-Compte compteur</v>
      </c>
      <c r="H501" s="165"/>
    </row>
    <row r="502" spans="1:8" ht="15" customHeight="1">
      <c r="A502" s="168" t="s">
        <v>2523</v>
      </c>
      <c r="B502" s="169" t="s">
        <v>2051</v>
      </c>
      <c r="C502" s="956" t="s">
        <v>155</v>
      </c>
      <c r="D502" s="956" t="s">
        <v>162</v>
      </c>
      <c r="E502" s="1011" t="s">
        <v>1915</v>
      </c>
      <c r="F502" s="1011"/>
      <c r="G502" s="1008" t="str">
        <f>+VLOOKUP(Data_Validation!$A502,BV_Data_An_Cour!$L:$Q,6,0)</f>
        <v>10-Compte compteur</v>
      </c>
      <c r="H502" s="165"/>
    </row>
    <row r="503" spans="1:8" ht="15" customHeight="1">
      <c r="A503" s="1017" t="s">
        <v>2525</v>
      </c>
      <c r="B503" s="1018" t="s">
        <v>2524</v>
      </c>
      <c r="C503" s="956" t="s">
        <v>155</v>
      </c>
      <c r="D503" s="956" t="s">
        <v>159</v>
      </c>
      <c r="E503" s="1011" t="s">
        <v>1915</v>
      </c>
      <c r="F503" s="1011"/>
      <c r="G503" s="1008" t="e">
        <f>+VLOOKUP(Data_Validation!$A503,BV_Data_An_Cour!$L:$Q,6,0)</f>
        <v>#N/A</v>
      </c>
      <c r="H503" s="165"/>
    </row>
    <row r="504" spans="1:8" ht="15" customHeight="1">
      <c r="A504" s="168" t="s">
        <v>2526</v>
      </c>
      <c r="B504" s="169" t="s">
        <v>2071</v>
      </c>
      <c r="C504" s="956" t="s">
        <v>175</v>
      </c>
      <c r="D504" s="956" t="s">
        <v>187</v>
      </c>
      <c r="E504" s="1011" t="s">
        <v>1915</v>
      </c>
      <c r="F504" s="1011"/>
      <c r="G504" s="1008" t="str">
        <f>+VLOOKUP(Data_Validation!$A504,BV_Data_An_Cour!$L:$Q,6,0)</f>
        <v>10-Compte compteur</v>
      </c>
      <c r="H504" s="165"/>
    </row>
    <row r="505" spans="1:8" ht="15" customHeight="1">
      <c r="A505" s="168" t="s">
        <v>2527</v>
      </c>
      <c r="B505" s="169" t="s">
        <v>2144</v>
      </c>
      <c r="C505" s="956" t="s">
        <v>155</v>
      </c>
      <c r="D505" s="956" t="s">
        <v>167</v>
      </c>
      <c r="E505" s="1011" t="s">
        <v>1915</v>
      </c>
      <c r="F505" s="1011"/>
      <c r="G505" s="1008" t="str">
        <f>+VLOOKUP(Data_Validation!$A505,BV_Data_An_Cour!$L:$Q,6,0)</f>
        <v>10-Compte compteur</v>
      </c>
      <c r="H505" s="165"/>
    </row>
    <row r="506" spans="1:8" ht="15" customHeight="1">
      <c r="A506" s="168" t="s">
        <v>2529</v>
      </c>
      <c r="B506" s="169" t="s">
        <v>2528</v>
      </c>
      <c r="C506" s="956" t="s">
        <v>155</v>
      </c>
      <c r="D506" s="956" t="s">
        <v>167</v>
      </c>
      <c r="E506" s="1011" t="s">
        <v>1915</v>
      </c>
      <c r="F506" s="1011"/>
      <c r="G506" s="1008" t="str">
        <f>+VLOOKUP(Data_Validation!$A506,BV_Data_An_Cour!$L:$Q,6,0)</f>
        <v>10-Compte compteur</v>
      </c>
      <c r="H506" s="165"/>
    </row>
    <row r="507" spans="1:8" ht="15" customHeight="1">
      <c r="A507" s="168" t="s">
        <v>2531</v>
      </c>
      <c r="B507" s="169" t="s">
        <v>2530</v>
      </c>
      <c r="C507" s="956" t="s">
        <v>155</v>
      </c>
      <c r="D507" s="956" t="s">
        <v>167</v>
      </c>
      <c r="E507" s="1011" t="s">
        <v>1915</v>
      </c>
      <c r="F507" s="1011"/>
      <c r="G507" s="1008" t="str">
        <f>+VLOOKUP(Data_Validation!$A507,BV_Data_An_Cour!$L:$Q,6,0)</f>
        <v>10-Compte compteur</v>
      </c>
      <c r="H507" s="165"/>
    </row>
    <row r="508" spans="1:8" ht="15" customHeight="1">
      <c r="A508" s="1017" t="s">
        <v>2533</v>
      </c>
      <c r="B508" s="1026" t="s">
        <v>2532</v>
      </c>
      <c r="C508" s="1022" t="s">
        <v>171</v>
      </c>
      <c r="D508" s="956" t="s">
        <v>172</v>
      </c>
      <c r="E508" s="1011" t="s">
        <v>1915</v>
      </c>
      <c r="F508" s="1011"/>
      <c r="G508" s="1008" t="str">
        <f>+VLOOKUP(Data_Validation!$A508,BV_Data_An_Cour!$L:$Q,6,0)</f>
        <v>10-Compte compteur</v>
      </c>
      <c r="H508" s="165"/>
    </row>
    <row r="509" spans="1:8" ht="15" customHeight="1">
      <c r="A509" s="168" t="s">
        <v>2535</v>
      </c>
      <c r="B509" s="169" t="s">
        <v>2534</v>
      </c>
      <c r="C509" s="956" t="s">
        <v>171</v>
      </c>
      <c r="D509" s="956" t="s">
        <v>172</v>
      </c>
      <c r="E509" s="1011" t="s">
        <v>1915</v>
      </c>
      <c r="F509" s="1011"/>
      <c r="G509" s="1008" t="str">
        <f>+VLOOKUP(Data_Validation!$A509,BV_Data_An_Cour!$L:$Q,6,0)</f>
        <v>10-Compte compteur</v>
      </c>
      <c r="H509" s="165"/>
    </row>
    <row r="510" spans="1:8" ht="15" customHeight="1">
      <c r="A510" s="1018" t="s">
        <v>2537</v>
      </c>
      <c r="B510" s="1027" t="s">
        <v>2536</v>
      </c>
      <c r="C510" s="956" t="s">
        <v>171</v>
      </c>
      <c r="D510" s="956" t="s">
        <v>172</v>
      </c>
      <c r="E510" s="1011" t="s">
        <v>1915</v>
      </c>
      <c r="F510" s="1011"/>
      <c r="G510" s="1008" t="str">
        <f>+VLOOKUP(Data_Validation!$A510,BV_Data_An_Cour!$L:$Q,6,0)</f>
        <v>10-Compte compteur</v>
      </c>
      <c r="H510" s="165"/>
    </row>
    <row r="511" spans="1:8" ht="15" customHeight="1">
      <c r="A511" s="1017" t="s">
        <v>2539</v>
      </c>
      <c r="B511" s="1026" t="s">
        <v>2538</v>
      </c>
      <c r="C511" s="1022" t="s">
        <v>175</v>
      </c>
      <c r="D511" s="956" t="s">
        <v>177</v>
      </c>
      <c r="E511" s="1011" t="s">
        <v>1915</v>
      </c>
      <c r="F511" s="1011"/>
      <c r="G511" s="1008" t="str">
        <f>+VLOOKUP(Data_Validation!$A511,BV_Data_An_Cour!$L:$Q,6,0)</f>
        <v>10-Compte compteur</v>
      </c>
      <c r="H511" s="165"/>
    </row>
    <row r="512" spans="1:8" ht="15" customHeight="1">
      <c r="A512" s="168" t="s">
        <v>2541</v>
      </c>
      <c r="B512" s="1026" t="s">
        <v>2540</v>
      </c>
      <c r="C512" s="1022" t="s">
        <v>175</v>
      </c>
      <c r="D512" s="956" t="s">
        <v>179</v>
      </c>
      <c r="E512" s="1011" t="s">
        <v>1915</v>
      </c>
      <c r="F512" s="1009"/>
      <c r="G512" s="1008" t="str">
        <f>+VLOOKUP(Data_Validation!$A512,BV_Data_An_Cour!$L:$Q,6,0)</f>
        <v>10-Compte compteur</v>
      </c>
      <c r="H512" s="165"/>
    </row>
    <row r="513" spans="1:11" ht="15" customHeight="1">
      <c r="A513" s="168" t="s">
        <v>2543</v>
      </c>
      <c r="B513" s="169" t="s">
        <v>2542</v>
      </c>
      <c r="C513" s="956" t="s">
        <v>175</v>
      </c>
      <c r="D513" s="956" t="s">
        <v>180</v>
      </c>
      <c r="E513" s="1011" t="s">
        <v>1915</v>
      </c>
      <c r="F513" s="1009"/>
      <c r="G513" s="1008" t="str">
        <f>+VLOOKUP(Data_Validation!$A513,BV_Data_An_Cour!$L:$Q,6,0)</f>
        <v>10-Compte compteur</v>
      </c>
      <c r="H513" s="165"/>
    </row>
    <row r="514" spans="1:11" ht="15" customHeight="1">
      <c r="A514" s="169" t="s">
        <v>2545</v>
      </c>
      <c r="B514" s="169" t="s">
        <v>2544</v>
      </c>
      <c r="C514" s="956" t="s">
        <v>175</v>
      </c>
      <c r="D514" s="956" t="s">
        <v>177</v>
      </c>
      <c r="E514" s="1011" t="s">
        <v>1915</v>
      </c>
      <c r="F514" s="1009"/>
      <c r="G514" s="1008" t="str">
        <f>+VLOOKUP(Data_Validation!$A514,BV_Data_An_Cour!$L:$Q,6,0)</f>
        <v>10-Compte compteur</v>
      </c>
      <c r="H514" s="165"/>
    </row>
    <row r="515" spans="1:11" ht="15" customHeight="1">
      <c r="A515" s="168" t="s">
        <v>2547</v>
      </c>
      <c r="B515" s="169" t="s">
        <v>2546</v>
      </c>
      <c r="C515" s="956" t="s">
        <v>175</v>
      </c>
      <c r="D515" s="956" t="s">
        <v>177</v>
      </c>
      <c r="E515" s="1011" t="s">
        <v>1915</v>
      </c>
      <c r="F515" s="1009"/>
      <c r="G515" s="1008" t="e">
        <f>+VLOOKUP(Data_Validation!$A515,BV_Data_An_Cour!$L:$Q,6,0)</f>
        <v>#N/A</v>
      </c>
      <c r="H515" s="165"/>
    </row>
    <row r="516" spans="1:11" ht="15" customHeight="1">
      <c r="A516" s="168" t="s">
        <v>2549</v>
      </c>
      <c r="B516" s="169" t="s">
        <v>2548</v>
      </c>
      <c r="C516" s="956" t="s">
        <v>175</v>
      </c>
      <c r="D516" s="956" t="s">
        <v>178</v>
      </c>
      <c r="E516" s="1011" t="s">
        <v>1915</v>
      </c>
      <c r="F516" s="1009"/>
      <c r="G516" s="1008" t="str">
        <f>+VLOOKUP(Data_Validation!$A516,BV_Data_An_Cour!$L:$Q,6,0)</f>
        <v>10-Compte compteur</v>
      </c>
      <c r="H516" s="165"/>
      <c r="K516" s="2"/>
    </row>
    <row r="517" spans="1:11" ht="15" customHeight="1">
      <c r="A517" s="954" t="s">
        <v>2551</v>
      </c>
      <c r="B517" s="959" t="s">
        <v>2550</v>
      </c>
      <c r="C517" s="956" t="s">
        <v>175</v>
      </c>
      <c r="D517" s="956" t="s">
        <v>178</v>
      </c>
      <c r="E517" s="1011" t="s">
        <v>1915</v>
      </c>
      <c r="F517" s="1009"/>
      <c r="G517" s="1008" t="str">
        <f>+VLOOKUP(Data_Validation!$A517,BV_Data_An_Cour!$L:$Q,6,0)</f>
        <v>10-Compte compteur</v>
      </c>
      <c r="H517" s="165"/>
    </row>
    <row r="518" spans="1:11" ht="15" customHeight="1">
      <c r="A518" s="954" t="s">
        <v>2553</v>
      </c>
      <c r="B518" s="959" t="s">
        <v>2552</v>
      </c>
      <c r="C518" s="956" t="s">
        <v>175</v>
      </c>
      <c r="D518" s="956" t="s">
        <v>178</v>
      </c>
      <c r="E518" s="1011" t="s">
        <v>1915</v>
      </c>
      <c r="F518" s="1009"/>
      <c r="G518" s="1008" t="str">
        <f>+VLOOKUP(Data_Validation!$A518,BV_Data_An_Cour!$L:$Q,6,0)</f>
        <v>10-Compte compteur</v>
      </c>
      <c r="H518" s="165"/>
    </row>
    <row r="519" spans="1:11" ht="15" customHeight="1">
      <c r="A519" s="954" t="s">
        <v>2555</v>
      </c>
      <c r="B519" s="959" t="s">
        <v>2554</v>
      </c>
      <c r="C519" s="956" t="s">
        <v>175</v>
      </c>
      <c r="D519" s="956" t="s">
        <v>181</v>
      </c>
      <c r="E519" s="1011" t="s">
        <v>1915</v>
      </c>
      <c r="F519" s="1009"/>
      <c r="G519" s="1008" t="str">
        <f>+VLOOKUP(Data_Validation!$A519,BV_Data_An_Cour!$L:$Q,6,0)</f>
        <v>10-Compte compteur</v>
      </c>
      <c r="H519" s="165"/>
    </row>
    <row r="520" spans="1:11" ht="15" customHeight="1">
      <c r="A520" s="954" t="s">
        <v>2557</v>
      </c>
      <c r="B520" s="959" t="s">
        <v>2556</v>
      </c>
      <c r="C520" s="956" t="s">
        <v>175</v>
      </c>
      <c r="D520" s="956" t="s">
        <v>182</v>
      </c>
      <c r="E520" s="1011" t="s">
        <v>1915</v>
      </c>
      <c r="F520" s="1009"/>
      <c r="G520" s="1008" t="str">
        <f>+VLOOKUP(Data_Validation!$A520,BV_Data_An_Cour!$L:$Q,6,0)</f>
        <v>10-Compte compteur</v>
      </c>
      <c r="H520" s="165"/>
    </row>
    <row r="521" spans="1:11" ht="15" customHeight="1">
      <c r="A521" s="954" t="s">
        <v>2558</v>
      </c>
      <c r="B521" s="959" t="s">
        <v>2034</v>
      </c>
      <c r="C521" s="956" t="s">
        <v>175</v>
      </c>
      <c r="D521" s="956" t="s">
        <v>186</v>
      </c>
      <c r="E521" s="1011" t="s">
        <v>1915</v>
      </c>
      <c r="F521" s="1009"/>
      <c r="G521" s="1008" t="str">
        <f>+VLOOKUP(Data_Validation!$A521,BV_Data_An_Cour!$L:$Q,6,0)</f>
        <v>10-Compte compteur</v>
      </c>
      <c r="H521" s="165"/>
    </row>
    <row r="522" spans="1:11" ht="15" customHeight="1">
      <c r="A522" s="1019" t="s">
        <v>2908</v>
      </c>
      <c r="B522" s="1013" t="s">
        <v>2907</v>
      </c>
      <c r="C522" s="956" t="s">
        <v>75</v>
      </c>
      <c r="D522" s="956" t="s">
        <v>90</v>
      </c>
      <c r="E522" s="1008" t="s">
        <v>1917</v>
      </c>
      <c r="F522" s="1009" t="s">
        <v>2858</v>
      </c>
      <c r="G522" s="1008" t="str">
        <f>+VLOOKUP(Data_Validation!$A522,BV_Data_An_Cour!$L:$Q,6,0)</f>
        <v>5-Ventes</v>
      </c>
      <c r="H522" s="165"/>
    </row>
    <row r="523" spans="1:11" ht="15" customHeight="1">
      <c r="A523" s="1019" t="s">
        <v>2910</v>
      </c>
      <c r="B523" s="1013" t="s">
        <v>2909</v>
      </c>
      <c r="C523" s="956" t="s">
        <v>75</v>
      </c>
      <c r="D523" s="956" t="s">
        <v>90</v>
      </c>
      <c r="E523" s="1011" t="s">
        <v>1915</v>
      </c>
      <c r="F523" s="1009"/>
      <c r="G523" s="1008" t="str">
        <f>+VLOOKUP(Data_Validation!$A523,BV_Data_An_Cour!$L:$Q,6,0)</f>
        <v>10-Compte compteur</v>
      </c>
      <c r="H523" s="165"/>
    </row>
    <row r="524" spans="1:11" ht="15" customHeight="1">
      <c r="A524" s="1019" t="s">
        <v>2912</v>
      </c>
      <c r="B524" s="1013" t="s">
        <v>2911</v>
      </c>
      <c r="C524" s="956" t="s">
        <v>75</v>
      </c>
      <c r="D524" s="956" t="s">
        <v>90</v>
      </c>
      <c r="E524" s="1008" t="s">
        <v>1917</v>
      </c>
      <c r="F524" s="1009"/>
      <c r="G524" s="1008" t="str">
        <f>+VLOOKUP(Data_Validation!$A524,BV_Data_An_Cour!$L:$Q,6,0)</f>
        <v>6-Coût des ventes</v>
      </c>
      <c r="H524" s="165"/>
    </row>
    <row r="525" spans="1:11" ht="15" customHeight="1">
      <c r="A525" s="951"/>
      <c r="B525" s="171"/>
      <c r="C525" s="956"/>
      <c r="D525" s="956"/>
      <c r="E525" s="1008"/>
      <c r="F525" s="1009"/>
      <c r="G525" s="1008">
        <f>+VLOOKUP(Data_Validation!$A525,BV_Data_An_Cour!$L:$Q,6,0)</f>
        <v>0</v>
      </c>
      <c r="H525" s="165"/>
    </row>
    <row r="526" spans="1:11" ht="15" customHeight="1">
      <c r="A526" s="951"/>
      <c r="B526" s="171"/>
      <c r="C526" s="956"/>
      <c r="D526" s="956"/>
      <c r="E526" s="1008"/>
      <c r="F526" s="1009"/>
      <c r="G526" s="1008">
        <f>+VLOOKUP(Data_Validation!$A526,BV_Data_An_Cour!$L:$Q,6,0)</f>
        <v>0</v>
      </c>
      <c r="H526" s="165"/>
    </row>
    <row r="527" spans="1:11" ht="15" customHeight="1">
      <c r="A527" s="951"/>
      <c r="B527" s="171"/>
      <c r="C527" s="956"/>
      <c r="D527" s="956"/>
      <c r="E527" s="1008"/>
      <c r="F527" s="1009"/>
      <c r="G527" s="1008">
        <f>+VLOOKUP(Data_Validation!$A527,BV_Data_An_Cour!$L:$Q,6,0)</f>
        <v>0</v>
      </c>
      <c r="H527" s="165"/>
    </row>
    <row r="528" spans="1:11" ht="15" customHeight="1">
      <c r="A528" s="951"/>
      <c r="B528" s="171"/>
      <c r="C528" s="956"/>
      <c r="D528" s="956"/>
      <c r="E528" s="1008"/>
      <c r="F528" s="1009"/>
      <c r="G528" s="1008">
        <f>+VLOOKUP(Data_Validation!$A528,BV_Data_An_Cour!$L:$Q,6,0)</f>
        <v>0</v>
      </c>
      <c r="H528" s="165"/>
    </row>
    <row r="529" spans="1:11" ht="15" customHeight="1">
      <c r="A529" s="951"/>
      <c r="B529" s="171"/>
      <c r="C529" s="956"/>
      <c r="D529" s="956"/>
      <c r="E529" s="1008"/>
      <c r="F529" s="1009"/>
      <c r="G529" s="1008">
        <f>+VLOOKUP(Data_Validation!$A529,BV_Data_An_Cour!$L:$Q,6,0)</f>
        <v>0</v>
      </c>
      <c r="H529" s="165"/>
      <c r="K529" s="2"/>
    </row>
    <row r="530" spans="1:11" ht="15" customHeight="1">
      <c r="A530" s="951"/>
      <c r="B530" s="171"/>
      <c r="C530" s="956"/>
      <c r="D530" s="956"/>
      <c r="E530" s="1008"/>
      <c r="F530" s="1009"/>
      <c r="G530" s="1008">
        <f>+VLOOKUP(Data_Validation!$A530,BV_Data_An_Cour!$L:$Q,6,0)</f>
        <v>0</v>
      </c>
      <c r="H530" s="165"/>
    </row>
    <row r="531" spans="1:11" ht="15" customHeight="1">
      <c r="A531" s="167"/>
      <c r="B531" s="171"/>
      <c r="C531" s="956"/>
      <c r="D531" s="956"/>
      <c r="E531" s="1008"/>
      <c r="F531" s="1009"/>
      <c r="G531" s="1008">
        <f>+VLOOKUP(Data_Validation!$A531,BV_Data_An_Cour!$L:$Q,6,0)</f>
        <v>0</v>
      </c>
      <c r="H531" s="165"/>
    </row>
    <row r="532" spans="1:11" ht="15" customHeight="1">
      <c r="A532" s="951"/>
      <c r="B532" s="171"/>
      <c r="C532" s="956"/>
      <c r="D532" s="956"/>
      <c r="E532" s="1008"/>
      <c r="F532" s="1009"/>
      <c r="G532" s="1008">
        <f>+VLOOKUP(Data_Validation!$A532,BV_Data_An_Cour!$L:$Q,6,0)</f>
        <v>0</v>
      </c>
      <c r="H532" s="165"/>
    </row>
    <row r="533" spans="1:11" ht="15" customHeight="1">
      <c r="A533" s="171"/>
      <c r="B533" s="171"/>
      <c r="C533" s="956"/>
      <c r="D533" s="956"/>
      <c r="E533" s="1008"/>
      <c r="F533" s="1009"/>
      <c r="G533" s="1008">
        <f>+VLOOKUP(Data_Validation!$A533,BV_Data_An_Cour!$L:$Q,6,0)</f>
        <v>0</v>
      </c>
      <c r="H533" s="165"/>
    </row>
    <row r="534" spans="1:11" ht="15" customHeight="1">
      <c r="A534" s="167"/>
      <c r="B534" s="166"/>
      <c r="C534" s="956"/>
      <c r="D534" s="956"/>
      <c r="E534" s="1008"/>
      <c r="F534" s="1009"/>
      <c r="G534" s="1008">
        <f>+VLOOKUP(Data_Validation!$A534,BV_Data_An_Cour!$L:$Q,6,0)</f>
        <v>0</v>
      </c>
      <c r="H534" s="165"/>
    </row>
    <row r="535" spans="1:11" ht="15" customHeight="1">
      <c r="A535" s="171"/>
      <c r="B535" s="171"/>
      <c r="C535" s="956"/>
      <c r="D535" s="956"/>
      <c r="E535" s="1008"/>
      <c r="F535" s="1009"/>
      <c r="G535" s="1008">
        <f>+VLOOKUP(Data_Validation!$A535,BV_Data_An_Cour!$L:$Q,6,0)</f>
        <v>0</v>
      </c>
      <c r="H535" s="165"/>
    </row>
    <row r="536" spans="1:11" ht="15" customHeight="1">
      <c r="A536" s="171"/>
      <c r="B536" s="171"/>
      <c r="C536" s="956"/>
      <c r="D536" s="956"/>
      <c r="E536" s="1008"/>
      <c r="F536" s="1009"/>
      <c r="G536" s="1008">
        <f>+VLOOKUP(Data_Validation!$A536,BV_Data_An_Cour!$L:$Q,6,0)</f>
        <v>0</v>
      </c>
      <c r="H536" s="165"/>
    </row>
    <row r="537" spans="1:11" ht="15" customHeight="1">
      <c r="A537" s="951"/>
      <c r="B537" s="171"/>
      <c r="C537" s="956"/>
      <c r="D537" s="956"/>
      <c r="E537" s="1008"/>
      <c r="F537" s="1009"/>
      <c r="G537" s="1008">
        <f>+VLOOKUP(Data_Validation!$A537,BV_Data_An_Cour!$L:$Q,6,0)</f>
        <v>0</v>
      </c>
      <c r="H537" s="165"/>
    </row>
    <row r="538" spans="1:11" ht="15" customHeight="1">
      <c r="A538" s="167"/>
      <c r="B538" s="166"/>
      <c r="C538" s="956"/>
      <c r="D538" s="956"/>
      <c r="E538" s="1008"/>
      <c r="F538" s="1009"/>
      <c r="G538" s="1008">
        <f>+VLOOKUP(Data_Validation!$A538,BV_Data_An_Cour!$L:$Q,6,0)</f>
        <v>0</v>
      </c>
      <c r="H538" s="165"/>
    </row>
    <row r="539" spans="1:11" ht="15" customHeight="1">
      <c r="A539" s="168"/>
      <c r="B539" s="169"/>
      <c r="C539" s="956"/>
      <c r="D539" s="956"/>
      <c r="E539" s="1008"/>
      <c r="F539" s="1009"/>
      <c r="G539" s="1008">
        <f>+VLOOKUP(Data_Validation!$A539,BV_Data_An_Cour!$L:$Q,6,0)</f>
        <v>0</v>
      </c>
      <c r="H539" s="165"/>
    </row>
    <row r="540" spans="1:11" ht="15" customHeight="1">
      <c r="A540" s="168"/>
      <c r="B540" s="169"/>
      <c r="C540" s="956"/>
      <c r="D540" s="956"/>
      <c r="E540" s="1008"/>
      <c r="F540" s="1009"/>
      <c r="G540" s="1008">
        <f>+VLOOKUP(Data_Validation!$A540,BV_Data_An_Cour!$L:$Q,6,0)</f>
        <v>0</v>
      </c>
      <c r="H540" s="165"/>
    </row>
    <row r="541" spans="1:11" ht="15" customHeight="1">
      <c r="A541" s="167"/>
      <c r="B541" s="171"/>
      <c r="C541" s="956"/>
      <c r="D541" s="956"/>
      <c r="E541" s="1008"/>
      <c r="F541" s="1009"/>
      <c r="G541" s="1008">
        <f>+VLOOKUP(Data_Validation!$A541,BV_Data_An_Cour!$L:$Q,6,0)</f>
        <v>0</v>
      </c>
      <c r="H541" s="165"/>
    </row>
    <row r="542" spans="1:11" ht="15" customHeight="1">
      <c r="A542" s="951"/>
      <c r="B542" s="171"/>
      <c r="C542" s="956"/>
      <c r="D542" s="956"/>
      <c r="E542" s="1008"/>
      <c r="F542" s="1009"/>
      <c r="G542" s="1008">
        <f>+VLOOKUP(Data_Validation!$A542,BV_Data_An_Cour!$L:$Q,6,0)</f>
        <v>0</v>
      </c>
      <c r="H542" s="165"/>
    </row>
    <row r="543" spans="1:11" ht="15" customHeight="1">
      <c r="A543" s="951"/>
      <c r="B543" s="171"/>
      <c r="C543" s="956"/>
      <c r="D543" s="956"/>
      <c r="E543" s="1008"/>
      <c r="F543" s="1009"/>
      <c r="G543" s="1008">
        <f>+VLOOKUP(Data_Validation!$A543,BV_Data_An_Cour!$L:$Q,6,0)</f>
        <v>0</v>
      </c>
      <c r="H543" s="165"/>
    </row>
    <row r="544" spans="1:11" ht="15" customHeight="1">
      <c r="A544" s="951"/>
      <c r="B544" s="171"/>
      <c r="C544" s="956"/>
      <c r="D544" s="956"/>
      <c r="E544" s="1008"/>
      <c r="F544" s="1009"/>
      <c r="G544" s="1008">
        <f>+VLOOKUP(Data_Validation!$A544,BV_Data_An_Cour!$L:$Q,6,0)</f>
        <v>0</v>
      </c>
      <c r="H544" s="165"/>
    </row>
    <row r="545" spans="1:8" ht="15" customHeight="1">
      <c r="A545" s="951"/>
      <c r="B545" s="171"/>
      <c r="C545" s="956"/>
      <c r="D545" s="956"/>
      <c r="E545" s="1008"/>
      <c r="F545" s="1009"/>
      <c r="G545" s="1008">
        <f>+VLOOKUP(Data_Validation!$A545,BV_Data_An_Cour!$L:$Q,6,0)</f>
        <v>0</v>
      </c>
      <c r="H545" s="165"/>
    </row>
    <row r="546" spans="1:8" ht="15" customHeight="1">
      <c r="A546" s="167"/>
      <c r="B546" s="166"/>
      <c r="C546" s="956"/>
      <c r="D546" s="956"/>
      <c r="E546" s="1008"/>
      <c r="F546" s="1009"/>
      <c r="G546" s="1008">
        <f>+VLOOKUP(Data_Validation!$A546,BV_Data_An_Cour!$L:$Q,6,0)</f>
        <v>0</v>
      </c>
      <c r="H546" s="165"/>
    </row>
    <row r="547" spans="1:8" ht="15" customHeight="1">
      <c r="A547" s="167"/>
      <c r="B547" s="166"/>
      <c r="C547" s="956"/>
      <c r="D547" s="956"/>
      <c r="E547" s="1008"/>
      <c r="F547" s="1009"/>
      <c r="G547" s="1008">
        <f>+VLOOKUP(Data_Validation!$A547,BV_Data_An_Cour!$L:$Q,6,0)</f>
        <v>0</v>
      </c>
      <c r="H547" s="165"/>
    </row>
    <row r="548" spans="1:8" ht="15" customHeight="1">
      <c r="A548" s="167"/>
      <c r="B548" s="166"/>
      <c r="C548" s="956"/>
      <c r="D548" s="956"/>
      <c r="E548" s="1008"/>
      <c r="F548" s="1009"/>
      <c r="G548" s="1008">
        <f>+VLOOKUP(Data_Validation!$A548,BV_Data_An_Cour!$L:$Q,6,0)</f>
        <v>0</v>
      </c>
      <c r="H548" s="165"/>
    </row>
    <row r="549" spans="1:8" ht="15" customHeight="1">
      <c r="A549" s="1028"/>
      <c r="B549" s="1029"/>
      <c r="C549" s="956"/>
      <c r="D549" s="956"/>
      <c r="E549" s="1008"/>
      <c r="F549" s="1009"/>
      <c r="G549" s="1008">
        <f>+VLOOKUP(Data_Validation!$A549,BV_Data_An_Cour!$L:$Q,6,0)</f>
        <v>0</v>
      </c>
      <c r="H549" s="165"/>
    </row>
    <row r="550" spans="1:8" ht="15" customHeight="1">
      <c r="A550" s="167"/>
      <c r="B550" s="166"/>
      <c r="C550" s="956"/>
      <c r="D550" s="956"/>
      <c r="E550" s="1008"/>
      <c r="F550" s="1009"/>
      <c r="G550" s="1008">
        <f>+VLOOKUP(Data_Validation!$A550,BV_Data_An_Cour!$L:$Q,6,0)</f>
        <v>0</v>
      </c>
      <c r="H550" s="165"/>
    </row>
    <row r="551" spans="1:8" ht="15" customHeight="1">
      <c r="A551" s="167"/>
      <c r="B551" s="166"/>
      <c r="C551" s="956"/>
      <c r="D551" s="956"/>
      <c r="E551" s="1008"/>
      <c r="F551" s="1009"/>
      <c r="G551" s="1008">
        <f>+VLOOKUP(Data_Validation!$A551,BV_Data_An_Cour!$L:$Q,6,0)</f>
        <v>0</v>
      </c>
      <c r="H551" s="165"/>
    </row>
    <row r="552" spans="1:8" ht="15" customHeight="1">
      <c r="A552" s="167"/>
      <c r="B552" s="166"/>
      <c r="C552" s="956"/>
      <c r="D552" s="956"/>
      <c r="E552" s="1008"/>
      <c r="F552" s="1009"/>
      <c r="G552" s="1008">
        <f>+VLOOKUP(Data_Validation!$A552,BV_Data_An_Cour!$L:$Q,6,0)</f>
        <v>0</v>
      </c>
      <c r="H552" s="165"/>
    </row>
    <row r="553" spans="1:8" ht="15" customHeight="1">
      <c r="A553" s="167"/>
      <c r="B553" s="166"/>
      <c r="C553" s="956"/>
      <c r="D553" s="956"/>
      <c r="E553" s="1008"/>
      <c r="F553" s="1009"/>
      <c r="G553" s="1008">
        <f>+VLOOKUP(Data_Validation!$A553,BV_Data_An_Cour!$L:$Q,6,0)</f>
        <v>0</v>
      </c>
      <c r="H553" s="165"/>
    </row>
    <row r="554" spans="1:8" ht="15" customHeight="1">
      <c r="A554" s="166"/>
      <c r="B554" s="166"/>
      <c r="C554" s="956"/>
      <c r="D554" s="956"/>
      <c r="E554" s="1008"/>
      <c r="F554" s="1009"/>
      <c r="G554" s="1008">
        <f>+VLOOKUP(Data_Validation!$A554,BV_Data_An_Cour!$L:$Q,6,0)</f>
        <v>0</v>
      </c>
      <c r="H554" s="165"/>
    </row>
    <row r="555" spans="1:8" ht="15" customHeight="1">
      <c r="A555" s="166"/>
      <c r="B555" s="166"/>
      <c r="C555" s="956"/>
      <c r="D555" s="956"/>
      <c r="E555" s="1008"/>
      <c r="F555" s="1009"/>
      <c r="G555" s="1008">
        <f>+VLOOKUP(Data_Validation!$A555,BV_Data_An_Cour!$L:$Q,6,0)</f>
        <v>0</v>
      </c>
      <c r="H555" s="165"/>
    </row>
    <row r="556" spans="1:8" ht="15" customHeight="1">
      <c r="A556" s="167"/>
      <c r="B556" s="166"/>
      <c r="C556" s="956"/>
      <c r="D556" s="956"/>
      <c r="E556" s="1008"/>
      <c r="F556" s="1009"/>
      <c r="G556" s="1008">
        <f>+VLOOKUP(Data_Validation!$A556,BV_Data_An_Cour!$L:$Q,6,0)</f>
        <v>0</v>
      </c>
      <c r="H556" s="165"/>
    </row>
    <row r="557" spans="1:8" ht="15" customHeight="1">
      <c r="A557" s="167"/>
      <c r="B557" s="166"/>
      <c r="C557" s="956"/>
      <c r="D557" s="956"/>
      <c r="E557" s="1008"/>
      <c r="F557" s="1009"/>
      <c r="G557" s="1008">
        <f>+VLOOKUP(Data_Validation!$A557,BV_Data_An_Cour!$L:$Q,6,0)</f>
        <v>0</v>
      </c>
      <c r="H557" s="165"/>
    </row>
    <row r="558" spans="1:8" ht="15" customHeight="1">
      <c r="A558" s="167"/>
      <c r="B558" s="166"/>
      <c r="C558" s="956"/>
      <c r="D558" s="956"/>
      <c r="E558" s="1008"/>
      <c r="F558" s="1009"/>
      <c r="G558" s="1008">
        <f>+VLOOKUP(Data_Validation!$A558,BV_Data_An_Cour!$L:$Q,6,0)</f>
        <v>0</v>
      </c>
      <c r="H558" s="165"/>
    </row>
    <row r="559" spans="1:8" ht="15" customHeight="1">
      <c r="A559" s="167"/>
      <c r="B559" s="166"/>
      <c r="C559" s="956"/>
      <c r="D559" s="956"/>
      <c r="E559" s="1008"/>
      <c r="F559" s="1009"/>
      <c r="G559" s="1008">
        <f>+VLOOKUP(Data_Validation!$A559,BV_Data_An_Cour!$L:$Q,6,0)</f>
        <v>0</v>
      </c>
      <c r="H559" s="165"/>
    </row>
    <row r="560" spans="1:8" ht="15" customHeight="1">
      <c r="A560" s="167"/>
      <c r="B560" s="166"/>
      <c r="C560" s="956"/>
      <c r="D560" s="956"/>
      <c r="E560" s="1008"/>
      <c r="F560" s="1009"/>
      <c r="G560" s="1008">
        <f>+VLOOKUP(Data_Validation!$A560,BV_Data_An_Cour!$L:$Q,6,0)</f>
        <v>0</v>
      </c>
      <c r="H560" s="165"/>
    </row>
    <row r="561" spans="1:29" ht="15" customHeight="1">
      <c r="A561" s="167"/>
      <c r="B561" s="166"/>
      <c r="C561" s="956"/>
      <c r="D561" s="956"/>
      <c r="E561" s="1008"/>
      <c r="F561" s="1009"/>
      <c r="G561" s="1008">
        <f>+VLOOKUP(Data_Validation!$A561,BV_Data_An_Cour!$L:$Q,6,0)</f>
        <v>0</v>
      </c>
      <c r="H561" s="165"/>
    </row>
    <row r="562" spans="1:29" ht="15" customHeight="1">
      <c r="A562" s="167"/>
      <c r="B562" s="166"/>
      <c r="C562" s="956"/>
      <c r="D562" s="956"/>
      <c r="E562" s="1008"/>
      <c r="F562" s="1009"/>
      <c r="G562" s="1008">
        <f>+VLOOKUP(Data_Validation!$A562,BV_Data_An_Cour!$L:$Q,6,0)</f>
        <v>0</v>
      </c>
      <c r="H562" s="165"/>
      <c r="I562" s="2"/>
      <c r="J562" s="2"/>
      <c r="L562" s="2"/>
      <c r="M562" s="2"/>
      <c r="N562" s="2"/>
      <c r="O562" s="2"/>
      <c r="P562" s="2"/>
      <c r="Q562" s="2"/>
      <c r="R562" s="2"/>
      <c r="S562" s="2"/>
      <c r="T562" s="2"/>
      <c r="U562" s="2"/>
      <c r="V562" s="2"/>
      <c r="W562" s="2"/>
      <c r="X562" s="2"/>
      <c r="Y562" s="2"/>
      <c r="Z562" s="2"/>
      <c r="AA562" s="2"/>
      <c r="AB562" s="2"/>
      <c r="AC562" s="2"/>
    </row>
    <row r="563" spans="1:29" ht="15" customHeight="1">
      <c r="A563" s="167"/>
      <c r="B563" s="166"/>
      <c r="C563" s="956"/>
      <c r="D563" s="956"/>
      <c r="E563" s="1008"/>
      <c r="F563" s="1009"/>
      <c r="G563" s="1008">
        <f>+VLOOKUP(Data_Validation!$A563,BV_Data_An_Cour!$L:$Q,6,0)</f>
        <v>0</v>
      </c>
      <c r="H563" s="165"/>
    </row>
    <row r="564" spans="1:29" ht="15" customHeight="1">
      <c r="A564" s="167"/>
      <c r="B564" s="166"/>
      <c r="C564" s="956"/>
      <c r="D564" s="956"/>
      <c r="E564" s="1008"/>
      <c r="F564" s="1009"/>
      <c r="G564" s="1008">
        <f>+VLOOKUP(Data_Validation!$A564,BV_Data_An_Cour!$L:$Q,6,0)</f>
        <v>0</v>
      </c>
      <c r="H564" s="165"/>
    </row>
    <row r="565" spans="1:29" ht="15" customHeight="1">
      <c r="A565" s="167"/>
      <c r="B565" s="166"/>
      <c r="C565" s="956"/>
      <c r="D565" s="956"/>
      <c r="E565" s="1008"/>
      <c r="F565" s="1009"/>
      <c r="G565" s="1008">
        <f>+VLOOKUP(Data_Validation!$A565,BV_Data_An_Cour!$L:$Q,6,0)</f>
        <v>0</v>
      </c>
      <c r="H565" s="165"/>
    </row>
    <row r="566" spans="1:29" ht="15" customHeight="1">
      <c r="A566" s="167"/>
      <c r="B566" s="166"/>
      <c r="C566" s="956"/>
      <c r="D566" s="956"/>
      <c r="E566" s="1008"/>
      <c r="F566" s="1009"/>
      <c r="G566" s="1008">
        <f>+VLOOKUP(Data_Validation!$A566,BV_Data_An_Cour!$L:$Q,6,0)</f>
        <v>0</v>
      </c>
      <c r="H566" s="165"/>
    </row>
    <row r="567" spans="1:29" ht="15" customHeight="1">
      <c r="A567" s="167"/>
      <c r="B567" s="166"/>
      <c r="C567" s="956"/>
      <c r="D567" s="956"/>
      <c r="E567" s="1008"/>
      <c r="F567" s="1009"/>
      <c r="G567" s="1008">
        <f>+VLOOKUP(Data_Validation!$A567,BV_Data_An_Cour!$L:$Q,6,0)</f>
        <v>0</v>
      </c>
      <c r="H567" s="165"/>
    </row>
    <row r="568" spans="1:29" ht="15" customHeight="1">
      <c r="A568" s="167"/>
      <c r="B568" s="166"/>
      <c r="C568" s="956"/>
      <c r="D568" s="956"/>
      <c r="E568" s="1008"/>
      <c r="F568" s="1009"/>
      <c r="G568" s="1008">
        <f>+VLOOKUP(Data_Validation!$A568,BV_Data_An_Cour!$L:$Q,6,0)</f>
        <v>0</v>
      </c>
      <c r="H568" s="165"/>
    </row>
    <row r="569" spans="1:29" ht="15" customHeight="1">
      <c r="A569" s="167"/>
      <c r="B569" s="166"/>
      <c r="C569" s="956"/>
      <c r="D569" s="956"/>
      <c r="E569" s="1008"/>
      <c r="F569" s="1009"/>
      <c r="G569" s="1008">
        <f>+VLOOKUP(Data_Validation!$A569,BV_Data_An_Cour!$L:$Q,6,0)</f>
        <v>0</v>
      </c>
      <c r="H569" s="165"/>
      <c r="K569" s="2"/>
    </row>
    <row r="570" spans="1:29" ht="15" customHeight="1">
      <c r="A570" s="167"/>
      <c r="B570" s="166"/>
      <c r="C570" s="956"/>
      <c r="D570" s="956"/>
      <c r="E570" s="1008"/>
      <c r="F570" s="1009"/>
      <c r="G570" s="1008">
        <f>+VLOOKUP(Data_Validation!$A570,BV_Data_An_Cour!$L:$Q,6,0)</f>
        <v>0</v>
      </c>
      <c r="H570" s="165"/>
    </row>
    <row r="571" spans="1:29" ht="15" customHeight="1">
      <c r="A571" s="167"/>
      <c r="B571" s="166"/>
      <c r="C571" s="956"/>
      <c r="D571" s="956"/>
      <c r="E571" s="1008"/>
      <c r="F571" s="1009"/>
      <c r="G571" s="1008">
        <f>+VLOOKUP(Data_Validation!$A571,BV_Data_An_Cour!$L:$Q,6,0)</f>
        <v>0</v>
      </c>
      <c r="H571" s="165"/>
    </row>
    <row r="572" spans="1:29" ht="15" customHeight="1">
      <c r="A572" s="167"/>
      <c r="B572" s="166"/>
      <c r="C572" s="956"/>
      <c r="D572" s="956"/>
      <c r="E572" s="1008"/>
      <c r="F572" s="1009"/>
      <c r="G572" s="1008">
        <f>+VLOOKUP(Data_Validation!$A572,BV_Data_An_Cour!$L:$Q,6,0)</f>
        <v>0</v>
      </c>
      <c r="H572" s="165"/>
    </row>
    <row r="573" spans="1:29" ht="15" customHeight="1">
      <c r="A573" s="167"/>
      <c r="B573" s="166"/>
      <c r="C573" s="956"/>
      <c r="D573" s="956"/>
      <c r="E573" s="1008"/>
      <c r="F573" s="1009"/>
      <c r="G573" s="1008">
        <f>+VLOOKUP(Data_Validation!$A573,BV_Data_An_Cour!$L:$Q,6,0)</f>
        <v>0</v>
      </c>
      <c r="H573" s="165"/>
    </row>
    <row r="574" spans="1:29" ht="15" customHeight="1">
      <c r="A574" s="166"/>
      <c r="B574" s="166"/>
      <c r="C574" s="956"/>
      <c r="D574" s="956"/>
      <c r="E574" s="1008"/>
      <c r="F574" s="1009"/>
      <c r="G574" s="1008">
        <f>+VLOOKUP(Data_Validation!$A574,BV_Data_An_Cour!$L:$Q,6,0)</f>
        <v>0</v>
      </c>
      <c r="H574" s="165"/>
    </row>
    <row r="575" spans="1:29" ht="15" customHeight="1">
      <c r="A575" s="166"/>
      <c r="B575" s="166"/>
      <c r="C575" s="956"/>
      <c r="D575" s="956"/>
      <c r="E575" s="1008"/>
      <c r="F575" s="1009"/>
      <c r="G575" s="1008">
        <f>+VLOOKUP(Data_Validation!$A575,BV_Data_An_Cour!$L:$Q,6,0)</f>
        <v>0</v>
      </c>
      <c r="H575" s="165"/>
    </row>
    <row r="576" spans="1:29" ht="15" customHeight="1">
      <c r="A576" s="167"/>
      <c r="B576" s="166"/>
      <c r="C576" s="956"/>
      <c r="D576" s="956"/>
      <c r="E576" s="1008"/>
      <c r="F576" s="1009"/>
      <c r="G576" s="1008">
        <f>+VLOOKUP(Data_Validation!$A576,BV_Data_An_Cour!$L:$Q,6,0)</f>
        <v>0</v>
      </c>
      <c r="H576" s="165"/>
    </row>
    <row r="577" spans="1:8" ht="15" customHeight="1">
      <c r="A577" s="167"/>
      <c r="B577" s="166"/>
      <c r="C577" s="956"/>
      <c r="D577" s="956"/>
      <c r="E577" s="1008"/>
      <c r="F577" s="1009"/>
      <c r="G577" s="1008">
        <f>+VLOOKUP(Data_Validation!$A577,BV_Data_An_Cour!$L:$Q,6,0)</f>
        <v>0</v>
      </c>
      <c r="H577" s="165"/>
    </row>
    <row r="578" spans="1:8" ht="15" customHeight="1">
      <c r="A578" s="167"/>
      <c r="B578" s="166"/>
      <c r="C578" s="956"/>
      <c r="D578" s="956"/>
      <c r="E578" s="1008"/>
      <c r="F578" s="1009"/>
      <c r="G578" s="1008">
        <f>+VLOOKUP(Data_Validation!$A578,BV_Data_An_Cour!$L:$Q,6,0)</f>
        <v>0</v>
      </c>
      <c r="H578" s="165"/>
    </row>
    <row r="579" spans="1:8" ht="15" customHeight="1">
      <c r="A579" s="167"/>
      <c r="B579" s="1030"/>
      <c r="C579" s="1022"/>
      <c r="D579" s="956"/>
      <c r="E579" s="1008"/>
      <c r="F579" s="1009"/>
      <c r="G579" s="1008">
        <f>+VLOOKUP(Data_Validation!$A579,BV_Data_An_Cour!$L:$Q,6,0)</f>
        <v>0</v>
      </c>
      <c r="H579" s="165"/>
    </row>
    <row r="580" spans="1:8" ht="15" customHeight="1">
      <c r="A580" s="167"/>
      <c r="B580" s="166"/>
      <c r="C580" s="956"/>
      <c r="D580" s="956"/>
      <c r="E580" s="1008"/>
      <c r="F580" s="1009"/>
      <c r="G580" s="1008">
        <f>+VLOOKUP(Data_Validation!$A580,BV_Data_An_Cour!$L:$Q,6,0)</f>
        <v>0</v>
      </c>
      <c r="H580" s="165"/>
    </row>
    <row r="581" spans="1:8" ht="15" customHeight="1">
      <c r="A581" s="167"/>
      <c r="B581" s="166"/>
      <c r="C581" s="956"/>
      <c r="D581" s="956"/>
      <c r="E581" s="1008"/>
      <c r="F581" s="1009"/>
      <c r="G581" s="1008">
        <f>+VLOOKUP(Data_Validation!$A581,BV_Data_An_Cour!$L:$Q,6,0)</f>
        <v>0</v>
      </c>
      <c r="H581" s="165"/>
    </row>
    <row r="582" spans="1:8" ht="15" customHeight="1">
      <c r="A582" s="167"/>
      <c r="B582" s="166"/>
      <c r="C582" s="956"/>
      <c r="D582" s="956"/>
      <c r="E582" s="1008"/>
      <c r="F582" s="1009"/>
      <c r="G582" s="1008">
        <f>+VLOOKUP(Data_Validation!$A582,BV_Data_An_Cour!$L:$Q,6,0)</f>
        <v>0</v>
      </c>
      <c r="H582" s="165"/>
    </row>
    <row r="583" spans="1:8" ht="15" customHeight="1">
      <c r="A583" s="167"/>
      <c r="B583" s="166"/>
      <c r="C583" s="956"/>
      <c r="D583" s="956"/>
      <c r="E583" s="1008"/>
      <c r="F583" s="1009"/>
      <c r="G583" s="1008">
        <f>+VLOOKUP(Data_Validation!$A583,BV_Data_An_Cour!$L:$Q,6,0)</f>
        <v>0</v>
      </c>
      <c r="H583" s="165"/>
    </row>
    <row r="584" spans="1:8" ht="15" customHeight="1">
      <c r="A584" s="167"/>
      <c r="B584" s="166"/>
      <c r="C584" s="956"/>
      <c r="D584" s="956"/>
      <c r="E584" s="1008"/>
      <c r="F584" s="1009"/>
      <c r="G584" s="1008">
        <f>+VLOOKUP(Data_Validation!$A584,BV_Data_An_Cour!$L:$Q,6,0)</f>
        <v>0</v>
      </c>
      <c r="H584" s="165"/>
    </row>
    <row r="585" spans="1:8" ht="15" customHeight="1">
      <c r="A585" s="167"/>
      <c r="B585" s="166"/>
      <c r="C585" s="956"/>
      <c r="D585" s="956"/>
      <c r="E585" s="1008"/>
      <c r="F585" s="1009"/>
      <c r="G585" s="1008">
        <f>+VLOOKUP(Data_Validation!$A585,BV_Data_An_Cour!$L:$Q,6,0)</f>
        <v>0</v>
      </c>
      <c r="H585" s="165"/>
    </row>
    <row r="586" spans="1:8" ht="15" customHeight="1">
      <c r="A586" s="167"/>
      <c r="B586" s="166"/>
      <c r="C586" s="956"/>
      <c r="D586" s="956"/>
      <c r="E586" s="1008"/>
      <c r="F586" s="1009"/>
      <c r="G586" s="1008">
        <f>+VLOOKUP(Data_Validation!$A586,BV_Data_An_Cour!$L:$Q,6,0)</f>
        <v>0</v>
      </c>
      <c r="H586" s="165"/>
    </row>
    <row r="587" spans="1:8" ht="15" customHeight="1">
      <c r="A587" s="167"/>
      <c r="B587" s="166"/>
      <c r="C587" s="956"/>
      <c r="D587" s="956"/>
      <c r="E587" s="1008"/>
      <c r="F587" s="1009"/>
      <c r="G587" s="1008">
        <f>+VLOOKUP(Data_Validation!$A587,BV_Data_An_Cour!$L:$Q,6,0)</f>
        <v>0</v>
      </c>
      <c r="H587" s="165"/>
    </row>
    <row r="588" spans="1:8" ht="15" customHeight="1">
      <c r="A588" s="167"/>
      <c r="B588" s="166"/>
      <c r="C588" s="956"/>
      <c r="D588" s="956"/>
      <c r="E588" s="1008"/>
      <c r="F588" s="1009"/>
      <c r="G588" s="1008">
        <f>+VLOOKUP(Data_Validation!$A588,BV_Data_An_Cour!$L:$Q,6,0)</f>
        <v>0</v>
      </c>
      <c r="H588" s="165"/>
    </row>
    <row r="589" spans="1:8" ht="15" customHeight="1">
      <c r="A589" s="167"/>
      <c r="B589" s="166"/>
      <c r="C589" s="956"/>
      <c r="D589" s="956"/>
      <c r="E589" s="1008"/>
      <c r="F589" s="1009"/>
      <c r="G589" s="1008">
        <f>+VLOOKUP(Data_Validation!$A589,BV_Data_An_Cour!$L:$Q,6,0)</f>
        <v>0</v>
      </c>
      <c r="H589" s="165"/>
    </row>
    <row r="590" spans="1:8" ht="15" customHeight="1">
      <c r="A590" s="167"/>
      <c r="B590" s="166"/>
      <c r="C590" s="956"/>
      <c r="D590" s="956"/>
      <c r="E590" s="1008"/>
      <c r="F590" s="1009"/>
      <c r="G590" s="1008">
        <f>+VLOOKUP(Data_Validation!$A590,BV_Data_An_Cour!$L:$Q,6,0)</f>
        <v>0</v>
      </c>
      <c r="H590" s="165"/>
    </row>
    <row r="591" spans="1:8" ht="15" customHeight="1">
      <c r="A591" s="167"/>
      <c r="B591" s="166"/>
      <c r="C591" s="956"/>
      <c r="D591" s="956"/>
      <c r="E591" s="1008"/>
      <c r="F591" s="1009"/>
      <c r="G591" s="1008">
        <f>+VLOOKUP(Data_Validation!$A591,BV_Data_An_Cour!$L:$Q,6,0)</f>
        <v>0</v>
      </c>
      <c r="H591" s="165"/>
    </row>
    <row r="592" spans="1:8" ht="15" customHeight="1">
      <c r="A592" s="167"/>
      <c r="B592" s="166"/>
      <c r="C592" s="956"/>
      <c r="D592" s="956"/>
      <c r="E592" s="1008"/>
      <c r="F592" s="1009"/>
      <c r="G592" s="1008">
        <f>+VLOOKUP(Data_Validation!$A592,BV_Data_An_Cour!$L:$Q,6,0)</f>
        <v>0</v>
      </c>
      <c r="H592" s="165"/>
    </row>
    <row r="593" spans="1:29" ht="15" customHeight="1">
      <c r="A593" s="167"/>
      <c r="B593" s="166"/>
      <c r="C593" s="956"/>
      <c r="D593" s="956"/>
      <c r="E593" s="1008"/>
      <c r="F593" s="1009"/>
      <c r="G593" s="1008">
        <f>+VLOOKUP(Data_Validation!$A593,BV_Data_An_Cour!$L:$Q,6,0)</f>
        <v>0</v>
      </c>
      <c r="H593" s="165"/>
      <c r="I593" s="2"/>
      <c r="J593" s="2"/>
      <c r="L593" s="2"/>
      <c r="M593" s="2"/>
      <c r="N593" s="2"/>
      <c r="O593" s="2"/>
      <c r="P593" s="2"/>
      <c r="Q593" s="2"/>
      <c r="R593" s="2"/>
      <c r="S593" s="2"/>
      <c r="T593" s="2"/>
      <c r="U593" s="2"/>
      <c r="V593" s="2"/>
      <c r="W593" s="2"/>
      <c r="X593" s="2"/>
      <c r="Y593" s="2"/>
      <c r="Z593" s="2"/>
      <c r="AA593" s="2"/>
      <c r="AB593" s="2"/>
      <c r="AC593" s="2"/>
    </row>
    <row r="594" spans="1:29" ht="15" customHeight="1">
      <c r="A594" s="167"/>
      <c r="B594" s="166"/>
      <c r="C594" s="956"/>
      <c r="D594" s="956"/>
      <c r="E594" s="1008"/>
      <c r="F594" s="1009"/>
      <c r="G594" s="1008">
        <f>+VLOOKUP(Data_Validation!$A594,BV_Data_An_Cour!$L:$Q,6,0)</f>
        <v>0</v>
      </c>
      <c r="H594" s="165"/>
    </row>
    <row r="595" spans="1:29" ht="15" customHeight="1">
      <c r="A595" s="167"/>
      <c r="B595" s="166"/>
      <c r="C595" s="956"/>
      <c r="D595" s="956"/>
      <c r="E595" s="1008"/>
      <c r="F595" s="1009"/>
      <c r="G595" s="1008">
        <f>+VLOOKUP(Data_Validation!$A595,BV_Data_An_Cour!$L:$Q,6,0)</f>
        <v>0</v>
      </c>
      <c r="H595" s="165"/>
    </row>
    <row r="596" spans="1:29" ht="15" customHeight="1">
      <c r="A596" s="167"/>
      <c r="B596" s="166"/>
      <c r="C596" s="956"/>
      <c r="D596" s="956"/>
      <c r="E596" s="1008"/>
      <c r="F596" s="1009"/>
      <c r="G596" s="1008">
        <f>+VLOOKUP(Data_Validation!$A596,BV_Data_An_Cour!$L:$Q,6,0)</f>
        <v>0</v>
      </c>
      <c r="H596" s="165"/>
    </row>
    <row r="597" spans="1:29" ht="15" customHeight="1">
      <c r="A597" s="167"/>
      <c r="B597" s="166"/>
      <c r="C597" s="956"/>
      <c r="D597" s="956"/>
      <c r="E597" s="1008"/>
      <c r="F597" s="1009"/>
      <c r="G597" s="1008">
        <f>+VLOOKUP(Data_Validation!$A597,BV_Data_An_Cour!$L:$Q,6,0)</f>
        <v>0</v>
      </c>
      <c r="H597" s="165"/>
    </row>
    <row r="598" spans="1:29" ht="15" customHeight="1">
      <c r="A598" s="167"/>
      <c r="B598" s="166"/>
      <c r="C598" s="956"/>
      <c r="D598" s="956"/>
      <c r="E598" s="1008"/>
      <c r="F598" s="1009"/>
      <c r="G598" s="1008">
        <f>+VLOOKUP(Data_Validation!$A598,BV_Data_An_Cour!$L:$Q,6,0)</f>
        <v>0</v>
      </c>
      <c r="H598" s="165"/>
    </row>
    <row r="599" spans="1:29" ht="15" customHeight="1">
      <c r="A599" s="167"/>
      <c r="B599" s="166"/>
      <c r="C599" s="956"/>
      <c r="D599" s="956"/>
      <c r="E599" s="1008"/>
      <c r="F599" s="1009"/>
      <c r="G599" s="1008">
        <f>+VLOOKUP(Data_Validation!$A599,BV_Data_An_Cour!$L:$Q,6,0)</f>
        <v>0</v>
      </c>
      <c r="H599" s="165"/>
    </row>
    <row r="600" spans="1:29" ht="15" customHeight="1">
      <c r="A600" s="167"/>
      <c r="B600" s="166"/>
      <c r="C600" s="956"/>
      <c r="D600" s="956"/>
      <c r="E600" s="1008"/>
      <c r="F600" s="1009"/>
      <c r="G600" s="1008">
        <f>+VLOOKUP(Data_Validation!$A600,BV_Data_An_Cour!$L:$Q,6,0)</f>
        <v>0</v>
      </c>
      <c r="H600" s="165"/>
    </row>
    <row r="601" spans="1:29" ht="15" customHeight="1">
      <c r="A601" s="167"/>
      <c r="B601" s="166"/>
      <c r="C601" s="956"/>
      <c r="D601" s="956"/>
      <c r="E601" s="1008"/>
      <c r="F601" s="1009"/>
      <c r="G601" s="1008">
        <f>+VLOOKUP(Data_Validation!$A601,BV_Data_An_Cour!$L:$Q,6,0)</f>
        <v>0</v>
      </c>
      <c r="H601" s="165"/>
    </row>
    <row r="602" spans="1:29" ht="15" customHeight="1">
      <c r="A602" s="167"/>
      <c r="B602" s="166"/>
      <c r="C602" s="956"/>
      <c r="D602" s="956"/>
      <c r="E602" s="1008"/>
      <c r="F602" s="1009"/>
      <c r="G602" s="1008">
        <f>+VLOOKUP(Data_Validation!$A602,BV_Data_An_Cour!$L:$Q,6,0)</f>
        <v>0</v>
      </c>
      <c r="H602" s="165"/>
    </row>
    <row r="603" spans="1:29" ht="15" customHeight="1">
      <c r="A603" s="167"/>
      <c r="B603" s="166"/>
      <c r="C603" s="956"/>
      <c r="D603" s="956"/>
      <c r="E603" s="1008"/>
      <c r="F603" s="1009"/>
      <c r="G603" s="1008">
        <f>+VLOOKUP(Data_Validation!$A603,BV_Data_An_Cour!$L:$Q,6,0)</f>
        <v>0</v>
      </c>
      <c r="H603" s="165"/>
    </row>
    <row r="604" spans="1:29" ht="15" customHeight="1">
      <c r="A604" s="167"/>
      <c r="B604" s="166"/>
      <c r="C604" s="956"/>
      <c r="D604" s="956"/>
      <c r="E604" s="1008"/>
      <c r="F604" s="1009"/>
      <c r="G604" s="1008">
        <f>+VLOOKUP(Data_Validation!$A604,BV_Data_An_Cour!$L:$Q,6,0)</f>
        <v>0</v>
      </c>
      <c r="H604" s="165"/>
    </row>
    <row r="605" spans="1:29" ht="15" customHeight="1">
      <c r="A605" s="167"/>
      <c r="B605" s="166"/>
      <c r="C605" s="956"/>
      <c r="D605" s="956"/>
      <c r="E605" s="1008"/>
      <c r="F605" s="1009"/>
      <c r="G605" s="1008">
        <f>+VLOOKUP(Data_Validation!$A605,BV_Data_An_Cour!$L:$Q,6,0)</f>
        <v>0</v>
      </c>
      <c r="H605" s="165"/>
    </row>
    <row r="606" spans="1:29" ht="15" customHeight="1">
      <c r="A606" s="167"/>
      <c r="B606" s="166"/>
      <c r="C606" s="956"/>
      <c r="D606" s="956"/>
      <c r="E606" s="1008"/>
      <c r="F606" s="1009"/>
      <c r="G606" s="1008">
        <f>+VLOOKUP(Data_Validation!$A606,BV_Data_An_Cour!$L:$Q,6,0)</f>
        <v>0</v>
      </c>
      <c r="H606" s="165"/>
    </row>
    <row r="607" spans="1:29" ht="15" customHeight="1">
      <c r="A607" s="167"/>
      <c r="B607" s="1029"/>
      <c r="C607" s="956"/>
      <c r="D607" s="956"/>
      <c r="E607" s="1008"/>
      <c r="F607" s="1009"/>
      <c r="G607" s="1008">
        <f>+VLOOKUP(Data_Validation!$A607,BV_Data_An_Cour!$L:$Q,6,0)</f>
        <v>0</v>
      </c>
      <c r="H607" s="165"/>
    </row>
    <row r="608" spans="1:29" ht="15" customHeight="1">
      <c r="A608" s="167"/>
      <c r="B608" s="1029"/>
      <c r="C608" s="956"/>
      <c r="D608" s="956"/>
      <c r="E608" s="1008"/>
      <c r="F608" s="1009"/>
      <c r="G608" s="1008">
        <f>+VLOOKUP(Data_Validation!$A608,BV_Data_An_Cour!$L:$Q,6,0)</f>
        <v>0</v>
      </c>
      <c r="H608" s="165"/>
    </row>
    <row r="609" spans="1:8" ht="15" customHeight="1">
      <c r="A609" s="167"/>
      <c r="B609" s="166"/>
      <c r="C609" s="956"/>
      <c r="D609" s="956"/>
      <c r="E609" s="1008"/>
      <c r="F609" s="1009"/>
      <c r="G609" s="1008">
        <f>+VLOOKUP(Data_Validation!$A609,BV_Data_An_Cour!$L:$Q,6,0)</f>
        <v>0</v>
      </c>
      <c r="H609" s="165"/>
    </row>
    <row r="610" spans="1:8" ht="15" customHeight="1">
      <c r="A610" s="167"/>
      <c r="B610" s="166"/>
      <c r="C610" s="956"/>
      <c r="D610" s="956"/>
      <c r="E610" s="1008"/>
      <c r="F610" s="1009"/>
      <c r="G610" s="1008">
        <f>+VLOOKUP(Data_Validation!$A610,BV_Data_An_Cour!$L:$Q,6,0)</f>
        <v>0</v>
      </c>
      <c r="H610" s="165"/>
    </row>
    <row r="611" spans="1:8" ht="15" customHeight="1">
      <c r="A611" s="167"/>
      <c r="B611" s="166"/>
      <c r="C611" s="956"/>
      <c r="D611" s="956"/>
      <c r="E611" s="1008"/>
      <c r="F611" s="1009"/>
      <c r="G611" s="1008">
        <f>+VLOOKUP(Data_Validation!$A611,BV_Data_An_Cour!$L:$Q,6,0)</f>
        <v>0</v>
      </c>
      <c r="H611" s="165"/>
    </row>
    <row r="612" spans="1:8" ht="15" customHeight="1">
      <c r="A612" s="167"/>
      <c r="B612" s="166"/>
      <c r="C612" s="956"/>
      <c r="D612" s="956"/>
      <c r="E612" s="1008"/>
      <c r="F612" s="1009"/>
      <c r="G612" s="1008">
        <f>+VLOOKUP(Data_Validation!$A612,BV_Data_An_Cour!$L:$Q,6,0)</f>
        <v>0</v>
      </c>
      <c r="H612" s="165"/>
    </row>
    <row r="613" spans="1:8" ht="15" customHeight="1">
      <c r="A613" s="167"/>
      <c r="B613" s="166"/>
      <c r="C613" s="956"/>
      <c r="D613" s="956"/>
      <c r="E613" s="1008"/>
      <c r="F613" s="1009"/>
      <c r="G613" s="1008">
        <f>+VLOOKUP(Data_Validation!$A613,BV_Data_An_Cour!$L:$Q,6,0)</f>
        <v>0</v>
      </c>
      <c r="H613" s="165"/>
    </row>
    <row r="614" spans="1:8" ht="15" customHeight="1">
      <c r="A614" s="167"/>
      <c r="B614" s="166"/>
      <c r="C614" s="956"/>
      <c r="D614" s="956"/>
      <c r="E614" s="1008"/>
      <c r="F614" s="1009"/>
      <c r="G614" s="1008">
        <f>+VLOOKUP(Data_Validation!$A614,BV_Data_An_Cour!$L:$Q,6,0)</f>
        <v>0</v>
      </c>
      <c r="H614" s="165"/>
    </row>
    <row r="615" spans="1:8" ht="15" customHeight="1">
      <c r="A615" s="167"/>
      <c r="B615" s="166"/>
      <c r="C615" s="956"/>
      <c r="D615" s="956"/>
      <c r="E615" s="1008"/>
      <c r="F615" s="1009"/>
      <c r="G615" s="1008">
        <f>+VLOOKUP(Data_Validation!$A615,BV_Data_An_Cour!$L:$Q,6,0)</f>
        <v>0</v>
      </c>
      <c r="H615" s="165"/>
    </row>
    <row r="616" spans="1:8" ht="15" customHeight="1">
      <c r="A616" s="167"/>
      <c r="B616" s="166"/>
      <c r="C616" s="956"/>
      <c r="D616" s="956"/>
      <c r="E616" s="1008"/>
      <c r="F616" s="1009"/>
      <c r="G616" s="1008">
        <f>+VLOOKUP(Data_Validation!$A616,BV_Data_An_Cour!$L:$Q,6,0)</f>
        <v>0</v>
      </c>
      <c r="H616" s="165"/>
    </row>
    <row r="617" spans="1:8" ht="15" customHeight="1">
      <c r="A617" s="167"/>
      <c r="B617" s="166"/>
      <c r="C617" s="956"/>
      <c r="D617" s="956"/>
      <c r="E617" s="1008"/>
      <c r="F617" s="1009"/>
      <c r="G617" s="1008">
        <f>+VLOOKUP(Data_Validation!$A617,BV_Data_An_Cour!$L:$Q,6,0)</f>
        <v>0</v>
      </c>
      <c r="H617" s="165"/>
    </row>
    <row r="618" spans="1:8" ht="15" customHeight="1">
      <c r="A618" s="167"/>
      <c r="B618" s="166"/>
      <c r="C618" s="956"/>
      <c r="D618" s="956"/>
      <c r="E618" s="1008"/>
      <c r="F618" s="1009"/>
      <c r="G618" s="1008">
        <f>+VLOOKUP(Data_Validation!$A618,BV_Data_An_Cour!$L:$Q,6,0)</f>
        <v>0</v>
      </c>
      <c r="H618" s="165"/>
    </row>
    <row r="619" spans="1:8" ht="15" customHeight="1">
      <c r="A619" s="167"/>
      <c r="B619" s="166"/>
      <c r="C619" s="956"/>
      <c r="D619" s="956"/>
      <c r="E619" s="1008"/>
      <c r="F619" s="1009"/>
      <c r="G619" s="1008">
        <f>+VLOOKUP(Data_Validation!$A619,BV_Data_An_Cour!$L:$Q,6,0)</f>
        <v>0</v>
      </c>
      <c r="H619" s="165"/>
    </row>
    <row r="620" spans="1:8" ht="15" customHeight="1">
      <c r="A620" s="167"/>
      <c r="B620" s="166"/>
      <c r="C620" s="956"/>
      <c r="D620" s="956"/>
      <c r="E620" s="1008"/>
      <c r="F620" s="1009"/>
      <c r="G620" s="1008">
        <f>+VLOOKUP(Data_Validation!$A620,BV_Data_An_Cour!$L:$Q,6,0)</f>
        <v>0</v>
      </c>
      <c r="H620" s="165"/>
    </row>
    <row r="621" spans="1:8" ht="15" customHeight="1">
      <c r="A621" s="167"/>
      <c r="B621" s="166"/>
      <c r="C621" s="956"/>
      <c r="D621" s="956"/>
      <c r="E621" s="1008"/>
      <c r="F621" s="1009"/>
      <c r="G621" s="1008">
        <f>+VLOOKUP(Data_Validation!$A621,BV_Data_An_Cour!$L:$Q,6,0)</f>
        <v>0</v>
      </c>
      <c r="H621" s="165"/>
    </row>
    <row r="622" spans="1:8" ht="15" customHeight="1">
      <c r="A622" s="168"/>
      <c r="B622" s="169"/>
      <c r="C622" s="956"/>
      <c r="D622" s="956"/>
      <c r="E622" s="1008"/>
      <c r="F622" s="1009"/>
      <c r="G622" s="1008">
        <f>+VLOOKUP(Data_Validation!$A622,BV_Data_An_Cour!$L:$Q,6,0)</f>
        <v>0</v>
      </c>
      <c r="H622" s="165"/>
    </row>
    <row r="623" spans="1:8" ht="15" customHeight="1">
      <c r="A623" s="167"/>
      <c r="B623" s="166"/>
      <c r="C623" s="956"/>
      <c r="D623" s="956"/>
      <c r="E623" s="1008"/>
      <c r="F623" s="1009"/>
      <c r="G623" s="1008">
        <f>+VLOOKUP(Data_Validation!$A623,BV_Data_An_Cour!$L:$Q,6,0)</f>
        <v>0</v>
      </c>
      <c r="H623" s="165"/>
    </row>
    <row r="624" spans="1:8" ht="15" customHeight="1">
      <c r="A624" s="169"/>
      <c r="B624" s="169"/>
      <c r="C624" s="956"/>
      <c r="D624" s="956"/>
      <c r="E624" s="1008"/>
      <c r="F624" s="1009"/>
      <c r="G624" s="1008">
        <f>+VLOOKUP(Data_Validation!$A624,BV_Data_An_Cour!$L:$Q,6,0)</f>
        <v>0</v>
      </c>
      <c r="H624" s="165"/>
    </row>
    <row r="625" spans="1:29" ht="15" customHeight="1">
      <c r="A625" s="166"/>
      <c r="B625" s="166"/>
      <c r="C625" s="956"/>
      <c r="D625" s="956"/>
      <c r="E625" s="1008"/>
      <c r="F625" s="1009"/>
      <c r="G625" s="1008">
        <f>+VLOOKUP(Data_Validation!$A625,BV_Data_An_Cour!$L:$Q,6,0)</f>
        <v>0</v>
      </c>
      <c r="H625" s="165"/>
    </row>
    <row r="626" spans="1:29" ht="15" customHeight="1">
      <c r="A626" s="168"/>
      <c r="B626" s="169"/>
      <c r="C626" s="956"/>
      <c r="D626" s="956"/>
      <c r="E626" s="1008"/>
      <c r="F626" s="1009"/>
      <c r="G626" s="1008">
        <f>+VLOOKUP(Data_Validation!$A626,BV_Data_An_Cour!$L:$Q,6,0)</f>
        <v>0</v>
      </c>
      <c r="H626" s="165"/>
    </row>
    <row r="627" spans="1:29" ht="15" customHeight="1">
      <c r="A627" s="166"/>
      <c r="B627" s="166"/>
      <c r="C627" s="956"/>
      <c r="D627" s="956"/>
      <c r="E627" s="1008"/>
      <c r="F627" s="1009"/>
      <c r="G627" s="1008">
        <f>+VLOOKUP(Data_Validation!$A627,BV_Data_An_Cour!$L:$Q,6,0)</f>
        <v>0</v>
      </c>
      <c r="H627" s="165"/>
    </row>
    <row r="628" spans="1:29" ht="15" customHeight="1">
      <c r="A628" s="168"/>
      <c r="B628" s="169"/>
      <c r="C628" s="956"/>
      <c r="D628" s="956"/>
      <c r="E628" s="1008"/>
      <c r="F628" s="1009"/>
      <c r="G628" s="1008">
        <f>+VLOOKUP(Data_Validation!$A628,BV_Data_An_Cour!$L:$Q,6,0)</f>
        <v>0</v>
      </c>
      <c r="H628" s="165"/>
      <c r="I628" s="2"/>
      <c r="J628" s="2"/>
      <c r="L628" s="2"/>
      <c r="M628" s="2"/>
      <c r="N628" s="2"/>
      <c r="O628" s="2"/>
      <c r="P628" s="2"/>
      <c r="Q628" s="2"/>
      <c r="R628" s="2"/>
      <c r="S628" s="2"/>
      <c r="T628" s="2"/>
      <c r="U628" s="2"/>
      <c r="V628" s="2"/>
      <c r="W628" s="2"/>
      <c r="X628" s="2"/>
      <c r="Y628" s="2"/>
      <c r="Z628" s="2"/>
      <c r="AA628" s="2"/>
      <c r="AB628" s="2"/>
      <c r="AC628" s="2"/>
    </row>
    <row r="629" spans="1:29" ht="15" customHeight="1">
      <c r="A629" s="166"/>
      <c r="B629" s="166"/>
      <c r="C629" s="956"/>
      <c r="D629" s="956"/>
      <c r="E629" s="1008"/>
      <c r="F629" s="1009"/>
      <c r="G629" s="1008">
        <f>+VLOOKUP(Data_Validation!$A629,BV_Data_An_Cour!$L:$Q,6,0)</f>
        <v>0</v>
      </c>
      <c r="H629" s="165"/>
    </row>
    <row r="630" spans="1:29" ht="15" customHeight="1">
      <c r="A630" s="167"/>
      <c r="B630" s="166"/>
      <c r="C630" s="956"/>
      <c r="D630" s="956"/>
      <c r="E630" s="1008"/>
      <c r="F630" s="1009"/>
      <c r="G630" s="1008">
        <f>+VLOOKUP(Data_Validation!$A630,BV_Data_An_Cour!$L:$Q,6,0)</f>
        <v>0</v>
      </c>
      <c r="H630" s="165"/>
    </row>
    <row r="631" spans="1:29" ht="15" customHeight="1">
      <c r="A631" s="167"/>
      <c r="B631" s="166"/>
      <c r="C631" s="956"/>
      <c r="D631" s="956"/>
      <c r="E631" s="1008"/>
      <c r="F631" s="1009"/>
      <c r="G631" s="1008">
        <f>+VLOOKUP(Data_Validation!$A631,BV_Data_An_Cour!$L:$Q,6,0)</f>
        <v>0</v>
      </c>
      <c r="H631" s="165"/>
    </row>
    <row r="632" spans="1:29" ht="15" customHeight="1">
      <c r="A632" s="167"/>
      <c r="B632" s="166"/>
      <c r="C632" s="956"/>
      <c r="D632" s="956"/>
      <c r="E632" s="1008"/>
      <c r="F632" s="1009"/>
      <c r="G632" s="1008">
        <f>+VLOOKUP(Data_Validation!$A632,BV_Data_An_Cour!$L:$Q,6,0)</f>
        <v>0</v>
      </c>
      <c r="H632" s="165"/>
    </row>
    <row r="633" spans="1:29" ht="15" customHeight="1">
      <c r="A633" s="166"/>
      <c r="B633" s="166"/>
      <c r="C633" s="956"/>
      <c r="D633" s="956"/>
      <c r="E633" s="1008"/>
      <c r="F633" s="1009"/>
      <c r="G633" s="1008">
        <f>+VLOOKUP(Data_Validation!$A633,BV_Data_An_Cour!$L:$Q,6,0)</f>
        <v>0</v>
      </c>
      <c r="H633" s="165"/>
    </row>
    <row r="634" spans="1:29" ht="15" customHeight="1">
      <c r="A634" s="166"/>
      <c r="B634" s="166"/>
      <c r="C634" s="956"/>
      <c r="D634" s="956"/>
      <c r="E634" s="1008"/>
      <c r="F634" s="1009"/>
      <c r="G634" s="1008">
        <f>+VLOOKUP(Data_Validation!$A634,BV_Data_An_Cour!$L:$Q,6,0)</f>
        <v>0</v>
      </c>
      <c r="H634" s="165"/>
    </row>
    <row r="635" spans="1:29" ht="15" customHeight="1">
      <c r="A635" s="167"/>
      <c r="B635" s="166"/>
      <c r="C635" s="956"/>
      <c r="D635" s="956"/>
      <c r="E635" s="1008"/>
      <c r="F635" s="1009"/>
      <c r="G635" s="1008">
        <f>+VLOOKUP(Data_Validation!$A635,BV_Data_An_Cour!$L:$Q,6,0)</f>
        <v>0</v>
      </c>
      <c r="H635" s="165"/>
    </row>
    <row r="636" spans="1:29" ht="15" customHeight="1">
      <c r="A636" s="167"/>
      <c r="B636" s="166"/>
      <c r="C636" s="956"/>
      <c r="D636" s="956"/>
      <c r="E636" s="1008"/>
      <c r="F636" s="1009"/>
      <c r="G636" s="1008">
        <f>+VLOOKUP(Data_Validation!$A636,BV_Data_An_Cour!$L:$Q,6,0)</f>
        <v>0</v>
      </c>
      <c r="H636" s="165"/>
    </row>
    <row r="637" spans="1:29" ht="15" customHeight="1">
      <c r="A637" s="167"/>
      <c r="B637" s="166"/>
      <c r="C637" s="956"/>
      <c r="D637" s="956"/>
      <c r="E637" s="1008"/>
      <c r="F637" s="1009"/>
      <c r="G637" s="1008">
        <f>+VLOOKUP(Data_Validation!$A637,BV_Data_An_Cour!$L:$Q,6,0)</f>
        <v>0</v>
      </c>
      <c r="H637" s="165"/>
    </row>
    <row r="638" spans="1:29" ht="15" customHeight="1">
      <c r="A638" s="167"/>
      <c r="B638" s="166"/>
      <c r="C638" s="956"/>
      <c r="D638" s="956"/>
      <c r="E638" s="1008"/>
      <c r="F638" s="1009"/>
      <c r="G638" s="1008">
        <f>+VLOOKUP(Data_Validation!$A638,BV_Data_An_Cour!$L:$Q,6,0)</f>
        <v>0</v>
      </c>
      <c r="H638" s="165"/>
    </row>
    <row r="639" spans="1:29" ht="15" customHeight="1">
      <c r="A639" s="167"/>
      <c r="B639" s="166"/>
      <c r="C639" s="956"/>
      <c r="D639" s="956"/>
      <c r="E639" s="1008"/>
      <c r="F639" s="1009"/>
      <c r="G639" s="1008">
        <f>+VLOOKUP(Data_Validation!$A639,BV_Data_An_Cour!$L:$Q,6,0)</f>
        <v>0</v>
      </c>
      <c r="H639" s="165"/>
    </row>
    <row r="640" spans="1:29" ht="15" customHeight="1">
      <c r="A640" s="167"/>
      <c r="B640" s="166"/>
      <c r="C640" s="956"/>
      <c r="D640" s="956"/>
      <c r="E640" s="1008"/>
      <c r="F640" s="1009"/>
      <c r="G640" s="1008">
        <f>+VLOOKUP(Data_Validation!$A640,BV_Data_An_Cour!$L:$Q,6,0)</f>
        <v>0</v>
      </c>
      <c r="H640" s="165"/>
    </row>
    <row r="641" spans="1:29" ht="15" customHeight="1">
      <c r="A641" s="167"/>
      <c r="B641" s="166"/>
      <c r="C641" s="956"/>
      <c r="D641" s="956"/>
      <c r="E641" s="1008"/>
      <c r="F641" s="1009"/>
      <c r="G641" s="1008">
        <f>+VLOOKUP(Data_Validation!$A641,BV_Data_An_Cour!$L:$Q,6,0)</f>
        <v>0</v>
      </c>
      <c r="H641" s="165"/>
      <c r="I641" s="2"/>
      <c r="J641" s="2"/>
      <c r="L641" s="2"/>
      <c r="M641" s="2"/>
      <c r="N641" s="2"/>
      <c r="O641" s="2"/>
      <c r="P641" s="2"/>
      <c r="Q641" s="2"/>
      <c r="R641" s="2"/>
      <c r="S641" s="2"/>
      <c r="T641" s="2"/>
      <c r="U641" s="2"/>
      <c r="V641" s="2"/>
      <c r="W641" s="2"/>
      <c r="X641" s="2"/>
      <c r="Y641" s="2"/>
      <c r="Z641" s="2"/>
      <c r="AA641" s="2"/>
      <c r="AB641" s="2"/>
      <c r="AC641" s="2"/>
    </row>
    <row r="642" spans="1:29" ht="15" customHeight="1">
      <c r="A642" s="167"/>
      <c r="B642" s="166"/>
      <c r="C642" s="956"/>
      <c r="D642" s="956"/>
      <c r="E642" s="1008"/>
      <c r="F642" s="1009"/>
      <c r="G642" s="1008">
        <f>+VLOOKUP(Data_Validation!$A642,BV_Data_An_Cour!$L:$Q,6,0)</f>
        <v>0</v>
      </c>
      <c r="H642" s="165"/>
    </row>
    <row r="643" spans="1:29" ht="15" customHeight="1">
      <c r="A643" s="167"/>
      <c r="B643" s="166"/>
      <c r="C643" s="956"/>
      <c r="D643" s="956"/>
      <c r="E643" s="1008"/>
      <c r="F643" s="1009"/>
      <c r="G643" s="1008">
        <f>+VLOOKUP(Data_Validation!$A643,BV_Data_An_Cour!$L:$Q,6,0)</f>
        <v>0</v>
      </c>
      <c r="H643" s="165"/>
      <c r="I643" s="2"/>
      <c r="J643" s="2"/>
      <c r="L643" s="2"/>
      <c r="M643" s="2"/>
      <c r="N643" s="2"/>
      <c r="O643" s="2"/>
      <c r="P643" s="2"/>
      <c r="Q643" s="2"/>
      <c r="R643" s="2"/>
      <c r="S643" s="2"/>
      <c r="T643" s="2"/>
      <c r="U643" s="2"/>
      <c r="V643" s="2"/>
      <c r="W643" s="2"/>
      <c r="X643" s="2"/>
      <c r="Y643" s="2"/>
      <c r="Z643" s="2"/>
      <c r="AA643" s="2"/>
      <c r="AB643" s="2"/>
      <c r="AC643" s="2"/>
    </row>
    <row r="644" spans="1:29" ht="15" customHeight="1">
      <c r="A644" s="167"/>
      <c r="B644" s="166"/>
      <c r="C644" s="956"/>
      <c r="D644" s="956"/>
      <c r="E644" s="1008"/>
      <c r="F644" s="1009"/>
      <c r="G644" s="1008">
        <f>+VLOOKUP(Data_Validation!$A644,BV_Data_An_Cour!$L:$Q,6,0)</f>
        <v>0</v>
      </c>
      <c r="H644" s="165"/>
      <c r="K644" s="2"/>
    </row>
    <row r="645" spans="1:29" ht="15" customHeight="1">
      <c r="A645" s="167"/>
      <c r="B645" s="166"/>
      <c r="C645" s="956"/>
      <c r="D645" s="956"/>
      <c r="E645" s="1008"/>
      <c r="F645" s="1009"/>
      <c r="G645" s="1008">
        <f>+VLOOKUP(Data_Validation!$A645,BV_Data_An_Cour!$L:$Q,6,0)</f>
        <v>0</v>
      </c>
      <c r="H645" s="165"/>
    </row>
    <row r="646" spans="1:29" ht="15" customHeight="1">
      <c r="A646" s="176"/>
      <c r="B646" s="1030"/>
      <c r="C646" s="1022"/>
      <c r="D646" s="956"/>
      <c r="E646" s="1008"/>
      <c r="F646" s="1009"/>
      <c r="G646" s="1008">
        <f>+VLOOKUP(Data_Validation!$A646,BV_Data_An_Cour!$L:$Q,6,0)</f>
        <v>0</v>
      </c>
      <c r="H646" s="165"/>
    </row>
    <row r="647" spans="1:29" ht="15" customHeight="1">
      <c r="A647" s="167"/>
      <c r="B647" s="166"/>
      <c r="C647" s="956"/>
      <c r="D647" s="956"/>
      <c r="E647" s="1008"/>
      <c r="F647" s="1009"/>
      <c r="G647" s="1008">
        <f>+VLOOKUP(Data_Validation!$A647,BV_Data_An_Cour!$L:$Q,6,0)</f>
        <v>0</v>
      </c>
      <c r="H647" s="165"/>
    </row>
    <row r="648" spans="1:29" ht="15" customHeight="1">
      <c r="A648" s="167"/>
      <c r="B648" s="166"/>
      <c r="C648" s="956"/>
      <c r="D648" s="956"/>
      <c r="E648" s="1008"/>
      <c r="F648" s="1009"/>
      <c r="G648" s="1008">
        <f>+VLOOKUP(Data_Validation!$A648,BV_Data_An_Cour!$L:$Q,6,0)</f>
        <v>0</v>
      </c>
      <c r="H648" s="165"/>
    </row>
    <row r="649" spans="1:29" ht="15" customHeight="1">
      <c r="A649" s="167"/>
      <c r="B649" s="166"/>
      <c r="C649" s="956"/>
      <c r="D649" s="956"/>
      <c r="E649" s="1008"/>
      <c r="F649" s="1009"/>
      <c r="G649" s="1008">
        <f>+VLOOKUP(Data_Validation!$A649,BV_Data_An_Cour!$L:$Q,6,0)</f>
        <v>0</v>
      </c>
      <c r="H649" s="165"/>
    </row>
    <row r="650" spans="1:29" ht="15" customHeight="1">
      <c r="A650" s="167"/>
      <c r="B650" s="166"/>
      <c r="C650" s="956"/>
      <c r="D650" s="956"/>
      <c r="E650" s="1008"/>
      <c r="F650" s="1009"/>
      <c r="G650" s="1008">
        <f>+VLOOKUP(Data_Validation!$A650,BV_Data_An_Cour!$L:$Q,6,0)</f>
        <v>0</v>
      </c>
      <c r="H650" s="165"/>
    </row>
    <row r="651" spans="1:29" ht="15" customHeight="1">
      <c r="A651" s="167"/>
      <c r="B651" s="166"/>
      <c r="C651" s="956"/>
      <c r="D651" s="956"/>
      <c r="E651" s="1008"/>
      <c r="F651" s="1009"/>
      <c r="G651" s="1008">
        <f>+VLOOKUP(Data_Validation!$A651,BV_Data_An_Cour!$L:$Q,6,0)</f>
        <v>0</v>
      </c>
      <c r="H651" s="165"/>
    </row>
    <row r="652" spans="1:29" ht="15" customHeight="1">
      <c r="A652" s="167"/>
      <c r="B652" s="166"/>
      <c r="C652" s="956"/>
      <c r="D652" s="956"/>
      <c r="E652" s="1008"/>
      <c r="F652" s="1009"/>
      <c r="G652" s="1008">
        <f>+VLOOKUP(Data_Validation!$A652,BV_Data_An_Cour!$L:$Q,6,0)</f>
        <v>0</v>
      </c>
      <c r="H652" s="165"/>
    </row>
    <row r="653" spans="1:29" ht="15" customHeight="1">
      <c r="A653" s="167"/>
      <c r="B653" s="166"/>
      <c r="C653" s="956"/>
      <c r="D653" s="956"/>
      <c r="E653" s="1008"/>
      <c r="F653" s="1009"/>
      <c r="G653" s="1008">
        <f>+VLOOKUP(Data_Validation!$A653,BV_Data_An_Cour!$L:$Q,6,0)</f>
        <v>0</v>
      </c>
      <c r="H653" s="165"/>
    </row>
    <row r="654" spans="1:29" ht="15" customHeight="1">
      <c r="A654" s="167"/>
      <c r="B654" s="166"/>
      <c r="C654" s="956"/>
      <c r="D654" s="956"/>
      <c r="E654" s="1008"/>
      <c r="F654" s="1009"/>
      <c r="G654" s="1008">
        <f>+VLOOKUP(Data_Validation!$A654,BV_Data_An_Cour!$L:$Q,6,0)</f>
        <v>0</v>
      </c>
      <c r="H654" s="165"/>
    </row>
    <row r="655" spans="1:29" ht="15" customHeight="1">
      <c r="A655" s="167"/>
      <c r="B655" s="166"/>
      <c r="C655" s="956"/>
      <c r="D655" s="956"/>
      <c r="E655" s="1008"/>
      <c r="F655" s="1009"/>
      <c r="G655" s="1008">
        <f>+VLOOKUP(Data_Validation!$A655,BV_Data_An_Cour!$L:$Q,6,0)</f>
        <v>0</v>
      </c>
      <c r="H655" s="165"/>
    </row>
    <row r="656" spans="1:29" ht="15" customHeight="1">
      <c r="A656" s="176"/>
      <c r="B656" s="571"/>
      <c r="C656" s="956"/>
      <c r="D656" s="956"/>
      <c r="E656" s="1008"/>
      <c r="F656" s="1009"/>
      <c r="G656" s="1008">
        <f>+VLOOKUP(Data_Validation!$A656,BV_Data_An_Cour!$L:$Q,6,0)</f>
        <v>0</v>
      </c>
      <c r="H656" s="165"/>
    </row>
    <row r="657" spans="1:8" ht="15" customHeight="1">
      <c r="A657" s="167"/>
      <c r="B657" s="171"/>
      <c r="C657" s="956"/>
      <c r="D657" s="956"/>
      <c r="E657" s="1008"/>
      <c r="F657" s="1009"/>
      <c r="G657" s="1008">
        <f>+VLOOKUP(Data_Validation!$A657,BV_Data_An_Cour!$L:$Q,6,0)</f>
        <v>0</v>
      </c>
      <c r="H657" s="165"/>
    </row>
    <row r="658" spans="1:8" ht="15" customHeight="1">
      <c r="A658" s="167"/>
      <c r="B658" s="166"/>
      <c r="C658" s="956"/>
      <c r="D658" s="956"/>
      <c r="E658" s="1008"/>
      <c r="F658" s="1009"/>
      <c r="G658" s="1008">
        <f>+VLOOKUP(Data_Validation!$A658,BV_Data_An_Cour!$L:$Q,6,0)</f>
        <v>0</v>
      </c>
      <c r="H658" s="165"/>
    </row>
    <row r="659" spans="1:8" ht="15" customHeight="1">
      <c r="A659" s="167"/>
      <c r="B659" s="166"/>
      <c r="C659" s="956"/>
      <c r="D659" s="956"/>
      <c r="E659" s="1008"/>
      <c r="F659" s="1009"/>
      <c r="G659" s="1008">
        <f>+VLOOKUP(Data_Validation!$A659,BV_Data_An_Cour!$L:$Q,6,0)</f>
        <v>0</v>
      </c>
      <c r="H659" s="165"/>
    </row>
    <row r="660" spans="1:8" ht="15" customHeight="1">
      <c r="A660" s="167"/>
      <c r="B660" s="166"/>
      <c r="C660" s="956"/>
      <c r="D660" s="956"/>
      <c r="E660" s="1008"/>
      <c r="F660" s="1009"/>
      <c r="G660" s="1008">
        <f>+VLOOKUP(Data_Validation!$A660,BV_Data_An_Cour!$L:$Q,6,0)</f>
        <v>0</v>
      </c>
      <c r="H660" s="165"/>
    </row>
    <row r="661" spans="1:8" ht="15" customHeight="1">
      <c r="A661" s="167"/>
      <c r="B661" s="166"/>
      <c r="C661" s="956"/>
      <c r="D661" s="956"/>
      <c r="E661" s="1008"/>
      <c r="F661" s="1009"/>
      <c r="G661" s="1008">
        <f>+VLOOKUP(Data_Validation!$A661,BV_Data_An_Cour!$L:$Q,6,0)</f>
        <v>0</v>
      </c>
      <c r="H661" s="165"/>
    </row>
    <row r="662" spans="1:8" ht="15" customHeight="1">
      <c r="A662" s="167"/>
      <c r="B662" s="166"/>
      <c r="C662" s="956"/>
      <c r="D662" s="956"/>
      <c r="E662" s="1008"/>
      <c r="F662" s="1009"/>
      <c r="G662" s="1008">
        <f>+VLOOKUP(Data_Validation!$A662,BV_Data_An_Cour!$L:$Q,6,0)</f>
        <v>0</v>
      </c>
      <c r="H662" s="165"/>
    </row>
    <row r="663" spans="1:8" ht="15" customHeight="1">
      <c r="A663" s="168"/>
      <c r="B663" s="169"/>
      <c r="C663" s="956"/>
      <c r="D663" s="956"/>
      <c r="E663" s="1008"/>
      <c r="F663" s="1009"/>
      <c r="G663" s="1008">
        <f>+VLOOKUP(Data_Validation!$A663,BV_Data_An_Cour!$L:$Q,6,0)</f>
        <v>0</v>
      </c>
      <c r="H663" s="165"/>
    </row>
    <row r="664" spans="1:8" ht="15" customHeight="1">
      <c r="A664" s="167"/>
      <c r="B664" s="166"/>
      <c r="C664" s="956"/>
      <c r="D664" s="956"/>
      <c r="E664" s="1008"/>
      <c r="F664" s="1009"/>
      <c r="G664" s="1008">
        <f>+VLOOKUP(Data_Validation!$A664,BV_Data_An_Cour!$L:$Q,6,0)</f>
        <v>0</v>
      </c>
      <c r="H664" s="165"/>
    </row>
    <row r="665" spans="1:8" ht="15" customHeight="1">
      <c r="A665" s="167"/>
      <c r="B665" s="166"/>
      <c r="C665" s="956"/>
      <c r="D665" s="956"/>
      <c r="E665" s="1008"/>
      <c r="F665" s="1009"/>
      <c r="G665" s="1008">
        <f>+VLOOKUP(Data_Validation!$A665,BV_Data_An_Cour!$L:$Q,6,0)</f>
        <v>0</v>
      </c>
      <c r="H665" s="165"/>
    </row>
    <row r="666" spans="1:8" ht="15" customHeight="1">
      <c r="A666" s="167"/>
      <c r="B666" s="166"/>
      <c r="C666" s="956"/>
      <c r="D666" s="956"/>
      <c r="E666" s="1008"/>
      <c r="F666" s="1009"/>
      <c r="G666" s="1008">
        <f>+VLOOKUP(Data_Validation!$A666,BV_Data_An_Cour!$L:$Q,6,0)</f>
        <v>0</v>
      </c>
      <c r="H666" s="165"/>
    </row>
    <row r="667" spans="1:8" ht="15" customHeight="1">
      <c r="A667" s="167"/>
      <c r="B667" s="166"/>
      <c r="C667" s="956"/>
      <c r="D667" s="956"/>
      <c r="E667" s="1008"/>
      <c r="F667" s="1009"/>
      <c r="G667" s="1008">
        <f>+VLOOKUP(Data_Validation!$A667,BV_Data_An_Cour!$L:$Q,6,0)</f>
        <v>0</v>
      </c>
      <c r="H667" s="165"/>
    </row>
    <row r="668" spans="1:8" ht="15" customHeight="1">
      <c r="A668" s="167"/>
      <c r="B668" s="166"/>
      <c r="C668" s="956"/>
      <c r="D668" s="956"/>
      <c r="E668" s="1008"/>
      <c r="F668" s="1009"/>
      <c r="G668" s="1008">
        <f>+VLOOKUP(Data_Validation!$A668,BV_Data_An_Cour!$L:$Q,6,0)</f>
        <v>0</v>
      </c>
      <c r="H668" s="165"/>
    </row>
    <row r="669" spans="1:8" ht="15" customHeight="1">
      <c r="A669" s="167"/>
      <c r="B669" s="166"/>
      <c r="C669" s="956"/>
      <c r="D669" s="956"/>
      <c r="E669" s="1008"/>
      <c r="F669" s="1009"/>
      <c r="G669" s="1008">
        <f>+VLOOKUP(Data_Validation!$A669,BV_Data_An_Cour!$L:$Q,6,0)</f>
        <v>0</v>
      </c>
      <c r="H669" s="165"/>
    </row>
    <row r="670" spans="1:8" ht="15" customHeight="1">
      <c r="A670" s="167"/>
      <c r="B670" s="166"/>
      <c r="C670" s="956"/>
      <c r="D670" s="956"/>
      <c r="E670" s="1008"/>
      <c r="F670" s="1009"/>
      <c r="G670" s="1008">
        <f>+VLOOKUP(Data_Validation!$A670,BV_Data_An_Cour!$L:$Q,6,0)</f>
        <v>0</v>
      </c>
      <c r="H670" s="165"/>
    </row>
    <row r="671" spans="1:8" ht="15" customHeight="1">
      <c r="A671" s="167"/>
      <c r="B671" s="166"/>
      <c r="C671" s="956"/>
      <c r="D671" s="956"/>
      <c r="E671" s="1008"/>
      <c r="F671" s="1009"/>
      <c r="G671" s="1008">
        <f>+VLOOKUP(Data_Validation!$A671,BV_Data_An_Cour!$L:$Q,6,0)</f>
        <v>0</v>
      </c>
      <c r="H671" s="165"/>
    </row>
    <row r="672" spans="1:8" ht="15" customHeight="1">
      <c r="A672" s="167"/>
      <c r="B672" s="1030"/>
      <c r="C672" s="1022"/>
      <c r="D672" s="956"/>
      <c r="E672" s="1008"/>
      <c r="F672" s="1009"/>
      <c r="G672" s="1008">
        <f>+VLOOKUP(Data_Validation!$A672,BV_Data_An_Cour!$L:$Q,6,0)</f>
        <v>0</v>
      </c>
      <c r="H672" s="165"/>
    </row>
    <row r="673" spans="1:11" ht="15" customHeight="1">
      <c r="A673" s="167"/>
      <c r="B673" s="166"/>
      <c r="C673" s="956"/>
      <c r="D673" s="956"/>
      <c r="E673" s="1008"/>
      <c r="F673" s="1009"/>
      <c r="G673" s="1008">
        <f>+VLOOKUP(Data_Validation!$A673,BV_Data_An_Cour!$L:$Q,6,0)</f>
        <v>0</v>
      </c>
      <c r="H673" s="165"/>
    </row>
    <row r="674" spans="1:11" ht="15" customHeight="1">
      <c r="A674" s="167"/>
      <c r="B674" s="166"/>
      <c r="C674" s="956"/>
      <c r="D674" s="956"/>
      <c r="E674" s="1008"/>
      <c r="F674" s="1009"/>
      <c r="G674" s="1008">
        <f>+VLOOKUP(Data_Validation!$A674,BV_Data_An_Cour!$L:$Q,6,0)</f>
        <v>0</v>
      </c>
      <c r="H674" s="165"/>
    </row>
    <row r="675" spans="1:11" ht="15" customHeight="1">
      <c r="A675" s="167"/>
      <c r="B675" s="166"/>
      <c r="C675" s="956"/>
      <c r="D675" s="956"/>
      <c r="E675" s="1008"/>
      <c r="F675" s="1009"/>
      <c r="G675" s="1008">
        <f>+VLOOKUP(Data_Validation!$A675,BV_Data_An_Cour!$L:$Q,6,0)</f>
        <v>0</v>
      </c>
      <c r="H675" s="165"/>
    </row>
    <row r="676" spans="1:11" ht="15" customHeight="1">
      <c r="A676" s="167"/>
      <c r="B676" s="166"/>
      <c r="C676" s="956"/>
      <c r="D676" s="956"/>
      <c r="E676" s="1008"/>
      <c r="F676" s="1009"/>
      <c r="G676" s="1008">
        <f>+VLOOKUP(Data_Validation!$A676,BV_Data_An_Cour!$L:$Q,6,0)</f>
        <v>0</v>
      </c>
      <c r="H676" s="165"/>
    </row>
    <row r="677" spans="1:11" ht="15" customHeight="1">
      <c r="A677" s="167"/>
      <c r="B677" s="166"/>
      <c r="C677" s="956"/>
      <c r="D677" s="956"/>
      <c r="E677" s="1008"/>
      <c r="F677" s="1009"/>
      <c r="G677" s="1008">
        <f>+VLOOKUP(Data_Validation!$A677,BV_Data_An_Cour!$L:$Q,6,0)</f>
        <v>0</v>
      </c>
      <c r="H677" s="165"/>
    </row>
    <row r="678" spans="1:11" ht="15" customHeight="1">
      <c r="A678" s="167"/>
      <c r="B678" s="166"/>
      <c r="C678" s="956"/>
      <c r="D678" s="956"/>
      <c r="E678" s="1008"/>
      <c r="F678" s="1009"/>
      <c r="G678" s="1008">
        <f>+VLOOKUP(Data_Validation!$A678,BV_Data_An_Cour!$L:$Q,6,0)</f>
        <v>0</v>
      </c>
      <c r="H678" s="165"/>
    </row>
    <row r="679" spans="1:11" ht="15" customHeight="1">
      <c r="A679" s="167"/>
      <c r="B679" s="166"/>
      <c r="C679" s="956"/>
      <c r="D679" s="956"/>
      <c r="E679" s="1008"/>
      <c r="F679" s="1009"/>
      <c r="G679" s="1008">
        <f>+VLOOKUP(Data_Validation!$A679,BV_Data_An_Cour!$L:$Q,6,0)</f>
        <v>0</v>
      </c>
      <c r="H679" s="165"/>
      <c r="K679" s="2"/>
    </row>
    <row r="680" spans="1:11" ht="15" customHeight="1">
      <c r="A680" s="166"/>
      <c r="B680" s="166"/>
      <c r="C680" s="956"/>
      <c r="D680" s="956"/>
      <c r="E680" s="1008"/>
      <c r="F680" s="1009"/>
      <c r="G680" s="1008">
        <f>+VLOOKUP(Data_Validation!$A680,BV_Data_An_Cour!$L:$Q,6,0)</f>
        <v>0</v>
      </c>
      <c r="H680" s="165"/>
    </row>
    <row r="681" spans="1:11" ht="15" customHeight="1">
      <c r="A681" s="167"/>
      <c r="B681" s="166"/>
      <c r="C681" s="956"/>
      <c r="D681" s="956"/>
      <c r="E681" s="1008"/>
      <c r="F681" s="1009"/>
      <c r="G681" s="1008">
        <f>+VLOOKUP(Data_Validation!$A681,BV_Data_An_Cour!$L:$Q,6,0)</f>
        <v>0</v>
      </c>
      <c r="H681" s="165"/>
    </row>
    <row r="682" spans="1:11" ht="15" customHeight="1">
      <c r="A682" s="167"/>
      <c r="B682" s="166"/>
      <c r="C682" s="956"/>
      <c r="D682" s="956"/>
      <c r="E682" s="1008"/>
      <c r="F682" s="1009"/>
      <c r="G682" s="1008">
        <f>+VLOOKUP(Data_Validation!$A682,BV_Data_An_Cour!$L:$Q,6,0)</f>
        <v>0</v>
      </c>
      <c r="H682" s="165"/>
    </row>
    <row r="683" spans="1:11" ht="15" customHeight="1">
      <c r="A683" s="167"/>
      <c r="B683" s="166"/>
      <c r="C683" s="956"/>
      <c r="D683" s="956"/>
      <c r="E683" s="1008"/>
      <c r="F683" s="1009"/>
      <c r="G683" s="1008">
        <f>+VLOOKUP(Data_Validation!$A683,BV_Data_An_Cour!$L:$Q,6,0)</f>
        <v>0</v>
      </c>
      <c r="H683" s="165"/>
    </row>
    <row r="684" spans="1:11" ht="15" customHeight="1">
      <c r="A684" s="167"/>
      <c r="B684" s="166"/>
      <c r="C684" s="956"/>
      <c r="D684" s="956"/>
      <c r="E684" s="1008"/>
      <c r="F684" s="1009"/>
      <c r="G684" s="1008">
        <f>+VLOOKUP(Data_Validation!$A684,BV_Data_An_Cour!$L:$Q,6,0)</f>
        <v>0</v>
      </c>
      <c r="H684" s="165"/>
    </row>
    <row r="685" spans="1:11" ht="15" customHeight="1">
      <c r="A685" s="167"/>
      <c r="B685" s="166"/>
      <c r="C685" s="956"/>
      <c r="D685" s="956"/>
      <c r="E685" s="1008"/>
      <c r="F685" s="1009"/>
      <c r="G685" s="1008">
        <f>+VLOOKUP(Data_Validation!$A685,BV_Data_An_Cour!$L:$Q,6,0)</f>
        <v>0</v>
      </c>
      <c r="H685" s="165"/>
    </row>
    <row r="686" spans="1:11" ht="15" customHeight="1">
      <c r="A686" s="167"/>
      <c r="B686" s="166"/>
      <c r="C686" s="956"/>
      <c r="D686" s="956"/>
      <c r="E686" s="1008"/>
      <c r="F686" s="1009"/>
      <c r="G686" s="1008">
        <f>+VLOOKUP(Data_Validation!$A686,BV_Data_An_Cour!$L:$Q,6,0)</f>
        <v>0</v>
      </c>
      <c r="H686" s="165"/>
    </row>
    <row r="687" spans="1:11" ht="15" customHeight="1">
      <c r="A687" s="167"/>
      <c r="B687" s="166"/>
      <c r="C687" s="956"/>
      <c r="D687" s="956"/>
      <c r="E687" s="1008"/>
      <c r="F687" s="1009"/>
      <c r="G687" s="1008">
        <f>+VLOOKUP(Data_Validation!$A687,BV_Data_An_Cour!$L:$Q,6,0)</f>
        <v>0</v>
      </c>
      <c r="H687" s="165"/>
    </row>
    <row r="688" spans="1:11" ht="15" customHeight="1">
      <c r="A688" s="167"/>
      <c r="B688" s="166"/>
      <c r="C688" s="956"/>
      <c r="D688" s="956"/>
      <c r="E688" s="1008"/>
      <c r="F688" s="1009"/>
      <c r="G688" s="1008">
        <f>+VLOOKUP(Data_Validation!$A688,BV_Data_An_Cour!$L:$Q,6,0)</f>
        <v>0</v>
      </c>
      <c r="H688" s="165"/>
    </row>
    <row r="689" spans="1:29" ht="15" customHeight="1">
      <c r="A689" s="167"/>
      <c r="B689" s="166"/>
      <c r="C689" s="956"/>
      <c r="D689" s="956"/>
      <c r="E689" s="1008"/>
      <c r="F689" s="1009"/>
      <c r="G689" s="1008">
        <f>+VLOOKUP(Data_Validation!$A689,BV_Data_An_Cour!$L:$Q,6,0)</f>
        <v>0</v>
      </c>
      <c r="H689" s="165"/>
    </row>
    <row r="690" spans="1:29" ht="15" customHeight="1">
      <c r="A690" s="167"/>
      <c r="B690" s="166"/>
      <c r="C690" s="956"/>
      <c r="D690" s="956"/>
      <c r="E690" s="1008"/>
      <c r="F690" s="1009"/>
      <c r="G690" s="1008">
        <f>+VLOOKUP(Data_Validation!$A690,BV_Data_An_Cour!$L:$Q,6,0)</f>
        <v>0</v>
      </c>
      <c r="H690" s="165"/>
    </row>
    <row r="691" spans="1:29" ht="15" customHeight="1">
      <c r="A691" s="167"/>
      <c r="B691" s="166"/>
      <c r="C691" s="956"/>
      <c r="D691" s="956"/>
      <c r="E691" s="1008"/>
      <c r="F691" s="1009"/>
      <c r="G691" s="1008">
        <f>+VLOOKUP(Data_Validation!$A691,BV_Data_An_Cour!$L:$Q,6,0)</f>
        <v>0</v>
      </c>
      <c r="H691" s="165"/>
    </row>
    <row r="692" spans="1:29" ht="15" customHeight="1">
      <c r="A692" s="167"/>
      <c r="B692" s="166"/>
      <c r="C692" s="956"/>
      <c r="D692" s="956"/>
      <c r="E692" s="1008"/>
      <c r="F692" s="1009"/>
      <c r="G692" s="1008">
        <f>+VLOOKUP(Data_Validation!$A692,BV_Data_An_Cour!$L:$Q,6,0)</f>
        <v>0</v>
      </c>
      <c r="H692" s="165"/>
      <c r="K692" s="2"/>
    </row>
    <row r="693" spans="1:29" ht="15" customHeight="1">
      <c r="A693" s="167"/>
      <c r="B693" s="166"/>
      <c r="C693" s="956"/>
      <c r="D693" s="956"/>
      <c r="E693" s="1008"/>
      <c r="F693" s="1009"/>
      <c r="G693" s="1008">
        <f>+VLOOKUP(Data_Validation!$A693,BV_Data_An_Cour!$L:$Q,6,0)</f>
        <v>0</v>
      </c>
      <c r="H693" s="165"/>
    </row>
    <row r="694" spans="1:29" ht="15" customHeight="1">
      <c r="A694" s="167"/>
      <c r="B694" s="166"/>
      <c r="C694" s="956"/>
      <c r="D694" s="956"/>
      <c r="E694" s="1008"/>
      <c r="F694" s="1009"/>
      <c r="G694" s="1008">
        <f>+VLOOKUP(Data_Validation!$A694,BV_Data_An_Cour!$L:$Q,6,0)</f>
        <v>0</v>
      </c>
      <c r="H694" s="165"/>
      <c r="K694" s="2"/>
    </row>
    <row r="695" spans="1:29" ht="15" customHeight="1">
      <c r="A695" s="167"/>
      <c r="B695" s="166"/>
      <c r="C695" s="956"/>
      <c r="D695" s="956"/>
      <c r="E695" s="1008"/>
      <c r="F695" s="1009"/>
      <c r="G695" s="1008">
        <f>+VLOOKUP(Data_Validation!$A695,BV_Data_An_Cour!$L:$Q,6,0)</f>
        <v>0</v>
      </c>
      <c r="H695" s="165"/>
    </row>
    <row r="696" spans="1:29" ht="15" customHeight="1">
      <c r="A696" s="167"/>
      <c r="B696" s="166"/>
      <c r="C696" s="956"/>
      <c r="D696" s="956"/>
      <c r="E696" s="1008"/>
      <c r="F696" s="1009"/>
      <c r="G696" s="1008">
        <f>+VLOOKUP(Data_Validation!$A696,BV_Data_An_Cour!$L:$Q,6,0)</f>
        <v>0</v>
      </c>
      <c r="H696" s="165"/>
    </row>
    <row r="697" spans="1:29" ht="15" customHeight="1">
      <c r="A697" s="167"/>
      <c r="B697" s="166"/>
      <c r="C697" s="956"/>
      <c r="D697" s="956"/>
      <c r="E697" s="1008"/>
      <c r="F697" s="1009"/>
      <c r="G697" s="1008">
        <f>+VLOOKUP(Data_Validation!$A697,BV_Data_An_Cour!$L:$Q,6,0)</f>
        <v>0</v>
      </c>
      <c r="H697" s="165"/>
    </row>
    <row r="698" spans="1:29" ht="15" customHeight="1">
      <c r="A698" s="167"/>
      <c r="B698" s="166"/>
      <c r="C698" s="956"/>
      <c r="D698" s="956"/>
      <c r="E698" s="1008"/>
      <c r="F698" s="1009"/>
      <c r="G698" s="1008">
        <f>+VLOOKUP(Data_Validation!$A698,BV_Data_An_Cour!$L:$Q,6,0)</f>
        <v>0</v>
      </c>
      <c r="H698" s="165"/>
    </row>
    <row r="699" spans="1:29" ht="15" customHeight="1">
      <c r="A699" s="167"/>
      <c r="B699" s="166"/>
      <c r="C699" s="956"/>
      <c r="D699" s="956"/>
      <c r="E699" s="1008"/>
      <c r="F699" s="1009"/>
      <c r="G699" s="1008">
        <f>+VLOOKUP(Data_Validation!$A699,BV_Data_An_Cour!$L:$Q,6,0)</f>
        <v>0</v>
      </c>
      <c r="H699" s="165"/>
    </row>
    <row r="700" spans="1:29" ht="15" customHeight="1">
      <c r="A700" s="167"/>
      <c r="B700" s="166"/>
      <c r="C700" s="956"/>
      <c r="D700" s="956"/>
      <c r="E700" s="1008"/>
      <c r="F700" s="1009"/>
      <c r="G700" s="1008">
        <f>+VLOOKUP(Data_Validation!$A700,BV_Data_An_Cour!$L:$Q,6,0)</f>
        <v>0</v>
      </c>
      <c r="H700" s="165"/>
    </row>
    <row r="701" spans="1:29" ht="15" customHeight="1">
      <c r="A701" s="167"/>
      <c r="B701" s="166"/>
      <c r="C701" s="956"/>
      <c r="D701" s="956"/>
      <c r="E701" s="1008"/>
      <c r="F701" s="1009"/>
      <c r="G701" s="1008">
        <f>+VLOOKUP(Data_Validation!$A701,BV_Data_An_Cour!$L:$Q,6,0)</f>
        <v>0</v>
      </c>
      <c r="H701" s="165"/>
      <c r="I701" s="2"/>
      <c r="J701" s="2"/>
      <c r="L701" s="2"/>
      <c r="M701" s="2"/>
      <c r="N701" s="2"/>
      <c r="O701" s="2"/>
      <c r="P701" s="2"/>
      <c r="Q701" s="2"/>
      <c r="R701" s="2"/>
      <c r="S701" s="2"/>
      <c r="T701" s="2"/>
      <c r="U701" s="2"/>
      <c r="V701" s="2"/>
      <c r="W701" s="2"/>
      <c r="X701" s="2"/>
      <c r="Y701" s="2"/>
      <c r="Z701" s="2"/>
      <c r="AA701" s="2"/>
      <c r="AB701" s="2"/>
      <c r="AC701" s="2"/>
    </row>
    <row r="702" spans="1:29" ht="15" customHeight="1">
      <c r="A702" s="167"/>
      <c r="B702" s="166"/>
      <c r="C702" s="956"/>
      <c r="D702" s="956"/>
      <c r="E702" s="1008"/>
      <c r="F702" s="1009"/>
      <c r="G702" s="1008">
        <f>+VLOOKUP(Data_Validation!$A702,BV_Data_An_Cour!$L:$Q,6,0)</f>
        <v>0</v>
      </c>
      <c r="H702" s="165"/>
    </row>
    <row r="703" spans="1:29" ht="15" customHeight="1">
      <c r="A703" s="167"/>
      <c r="B703" s="166"/>
      <c r="C703" s="956"/>
      <c r="D703" s="956"/>
      <c r="E703" s="1008"/>
      <c r="F703" s="1009"/>
      <c r="G703" s="1008">
        <f>+VLOOKUP(Data_Validation!$A703,BV_Data_An_Cour!$L:$Q,6,0)</f>
        <v>0</v>
      </c>
      <c r="H703" s="165"/>
    </row>
    <row r="704" spans="1:29" ht="15" customHeight="1">
      <c r="A704" s="167"/>
      <c r="B704" s="166"/>
      <c r="C704" s="956"/>
      <c r="D704" s="956"/>
      <c r="E704" s="1008"/>
      <c r="F704" s="1009"/>
      <c r="G704" s="1008">
        <f>+VLOOKUP(Data_Validation!$A704,BV_Data_An_Cour!$L:$Q,6,0)</f>
        <v>0</v>
      </c>
      <c r="H704" s="165"/>
    </row>
    <row r="705" spans="1:8" ht="15" customHeight="1">
      <c r="A705" s="167"/>
      <c r="B705" s="166"/>
      <c r="C705" s="956"/>
      <c r="D705" s="956"/>
      <c r="E705" s="1008"/>
      <c r="F705" s="1009"/>
      <c r="G705" s="1008">
        <f>+VLOOKUP(Data_Validation!$A705,BV_Data_An_Cour!$L:$Q,6,0)</f>
        <v>0</v>
      </c>
      <c r="H705" s="165"/>
    </row>
    <row r="706" spans="1:8" ht="15" customHeight="1">
      <c r="A706" s="167"/>
      <c r="B706" s="166"/>
      <c r="C706" s="956"/>
      <c r="D706" s="956"/>
      <c r="E706" s="1008"/>
      <c r="F706" s="1009"/>
      <c r="G706" s="1008">
        <f>+VLOOKUP(Data_Validation!$A706,BV_Data_An_Cour!$L:$Q,6,0)</f>
        <v>0</v>
      </c>
      <c r="H706" s="165"/>
    </row>
    <row r="707" spans="1:8" ht="15" customHeight="1">
      <c r="A707" s="167"/>
      <c r="B707" s="166"/>
      <c r="C707" s="956"/>
      <c r="D707" s="956"/>
      <c r="E707" s="1008"/>
      <c r="F707" s="1009"/>
      <c r="G707" s="1008">
        <f>+VLOOKUP(Data_Validation!$A707,BV_Data_An_Cour!$L:$Q,6,0)</f>
        <v>0</v>
      </c>
      <c r="H707" s="165"/>
    </row>
    <row r="708" spans="1:8" ht="15" customHeight="1">
      <c r="A708" s="167"/>
      <c r="B708" s="166"/>
      <c r="C708" s="956"/>
      <c r="D708" s="956"/>
      <c r="E708" s="1008"/>
      <c r="F708" s="1009"/>
      <c r="G708" s="1008">
        <f>+VLOOKUP(Data_Validation!$A708,BV_Data_An_Cour!$L:$Q,6,0)</f>
        <v>0</v>
      </c>
      <c r="H708" s="165"/>
    </row>
    <row r="709" spans="1:8" ht="15" customHeight="1">
      <c r="A709" s="167"/>
      <c r="B709" s="166"/>
      <c r="C709" s="956"/>
      <c r="D709" s="956"/>
      <c r="E709" s="1008"/>
      <c r="F709" s="1009"/>
      <c r="G709" s="1008">
        <f>+VLOOKUP(Data_Validation!$A709,BV_Data_An_Cour!$L:$Q,6,0)</f>
        <v>0</v>
      </c>
      <c r="H709" s="165"/>
    </row>
    <row r="710" spans="1:8" ht="15" customHeight="1">
      <c r="A710" s="167"/>
      <c r="B710" s="166"/>
      <c r="C710" s="956"/>
      <c r="D710" s="956"/>
      <c r="E710" s="1008"/>
      <c r="F710" s="1009"/>
      <c r="G710" s="1008">
        <f>+VLOOKUP(Data_Validation!$A710,BV_Data_An_Cour!$L:$Q,6,0)</f>
        <v>0</v>
      </c>
      <c r="H710" s="165"/>
    </row>
    <row r="711" spans="1:8" ht="15" customHeight="1">
      <c r="A711" s="167"/>
      <c r="B711" s="166"/>
      <c r="C711" s="956"/>
      <c r="D711" s="956"/>
      <c r="E711" s="1008"/>
      <c r="F711" s="1009"/>
      <c r="G711" s="1008">
        <f>+VLOOKUP(Data_Validation!$A711,BV_Data_An_Cour!$L:$Q,6,0)</f>
        <v>0</v>
      </c>
      <c r="H711" s="165"/>
    </row>
    <row r="712" spans="1:8" ht="15" customHeight="1">
      <c r="A712" s="167"/>
      <c r="B712" s="166"/>
      <c r="C712" s="956"/>
      <c r="D712" s="956"/>
      <c r="E712" s="1008"/>
      <c r="F712" s="1009"/>
      <c r="G712" s="1008">
        <f>+VLOOKUP(Data_Validation!$A712,BV_Data_An_Cour!$L:$Q,6,0)</f>
        <v>0</v>
      </c>
      <c r="H712" s="165"/>
    </row>
    <row r="713" spans="1:8" ht="15" customHeight="1">
      <c r="A713" s="167"/>
      <c r="B713" s="166"/>
      <c r="C713" s="956"/>
      <c r="D713" s="956"/>
      <c r="E713" s="1008"/>
      <c r="F713" s="1009"/>
      <c r="G713" s="1008">
        <f>+VLOOKUP(Data_Validation!$A713,BV_Data_An_Cour!$L:$Q,6,0)</f>
        <v>0</v>
      </c>
      <c r="H713" s="165"/>
    </row>
    <row r="714" spans="1:8" ht="15" customHeight="1">
      <c r="A714" s="167"/>
      <c r="B714" s="166"/>
      <c r="C714" s="956"/>
      <c r="D714" s="956"/>
      <c r="E714" s="1008"/>
      <c r="F714" s="1009"/>
      <c r="G714" s="1008">
        <f>+VLOOKUP(Data_Validation!$A714,BV_Data_An_Cour!$L:$Q,6,0)</f>
        <v>0</v>
      </c>
      <c r="H714" s="165"/>
    </row>
    <row r="715" spans="1:8" ht="15" customHeight="1">
      <c r="A715" s="167"/>
      <c r="B715" s="166"/>
      <c r="C715" s="956"/>
      <c r="D715" s="956"/>
      <c r="E715" s="1008"/>
      <c r="F715" s="1009"/>
      <c r="G715" s="1008">
        <f>+VLOOKUP(Data_Validation!$A715,BV_Data_An_Cour!$L:$Q,6,0)</f>
        <v>0</v>
      </c>
      <c r="H715" s="165"/>
    </row>
    <row r="716" spans="1:8" ht="15" customHeight="1">
      <c r="A716" s="167"/>
      <c r="B716" s="166"/>
      <c r="C716" s="956"/>
      <c r="D716" s="956"/>
      <c r="E716" s="1008"/>
      <c r="F716" s="1009"/>
      <c r="G716" s="1008">
        <f>+VLOOKUP(Data_Validation!$A716,BV_Data_An_Cour!$L:$Q,6,0)</f>
        <v>0</v>
      </c>
      <c r="H716" s="165"/>
    </row>
    <row r="717" spans="1:8" ht="15" customHeight="1">
      <c r="A717" s="166"/>
      <c r="B717" s="166"/>
      <c r="C717" s="956"/>
      <c r="D717" s="956"/>
      <c r="E717" s="1008"/>
      <c r="F717" s="1009"/>
      <c r="G717" s="1008">
        <f>+VLOOKUP(Data_Validation!$A717,BV_Data_An_Cour!$L:$Q,6,0)</f>
        <v>0</v>
      </c>
      <c r="H717" s="165"/>
    </row>
    <row r="718" spans="1:8" ht="15" customHeight="1">
      <c r="A718" s="167"/>
      <c r="B718" s="166"/>
      <c r="C718" s="956"/>
      <c r="D718" s="956"/>
      <c r="E718" s="1008"/>
      <c r="F718" s="1009"/>
      <c r="G718" s="1008">
        <f>+VLOOKUP(Data_Validation!$A718,BV_Data_An_Cour!$L:$Q,6,0)</f>
        <v>0</v>
      </c>
      <c r="H718" s="165"/>
    </row>
    <row r="719" spans="1:8" ht="15" customHeight="1">
      <c r="A719" s="167"/>
      <c r="B719" s="166"/>
      <c r="C719" s="956"/>
      <c r="D719" s="956"/>
      <c r="E719" s="1008"/>
      <c r="F719" s="1009"/>
      <c r="G719" s="1008">
        <f>+VLOOKUP(Data_Validation!$A719,BV_Data_An_Cour!$L:$Q,6,0)</f>
        <v>0</v>
      </c>
      <c r="H719" s="165"/>
    </row>
    <row r="720" spans="1:8" ht="15" customHeight="1">
      <c r="A720" s="167"/>
      <c r="B720" s="166"/>
      <c r="C720" s="956"/>
      <c r="D720" s="956"/>
      <c r="E720" s="1008"/>
      <c r="F720" s="1009"/>
      <c r="G720" s="1008">
        <f>+VLOOKUP(Data_Validation!$A720,BV_Data_An_Cour!$L:$Q,6,0)</f>
        <v>0</v>
      </c>
      <c r="H720" s="165"/>
    </row>
    <row r="721" spans="1:8" ht="15" customHeight="1">
      <c r="A721" s="167"/>
      <c r="B721" s="166"/>
      <c r="C721" s="956"/>
      <c r="D721" s="956"/>
      <c r="E721" s="1008"/>
      <c r="F721" s="1009"/>
      <c r="G721" s="1008">
        <f>+VLOOKUP(Data_Validation!$A721,BV_Data_An_Cour!$L:$Q,6,0)</f>
        <v>0</v>
      </c>
      <c r="H721" s="165"/>
    </row>
    <row r="722" spans="1:8" ht="15" customHeight="1">
      <c r="A722" s="167"/>
      <c r="B722" s="166"/>
      <c r="C722" s="956"/>
      <c r="D722" s="956"/>
      <c r="E722" s="1008"/>
      <c r="F722" s="1009"/>
      <c r="G722" s="1008">
        <f>+VLOOKUP(Data_Validation!$A722,BV_Data_An_Cour!$L:$Q,6,0)</f>
        <v>0</v>
      </c>
      <c r="H722" s="165"/>
    </row>
    <row r="723" spans="1:8" ht="15" customHeight="1">
      <c r="A723" s="167"/>
      <c r="B723" s="166"/>
      <c r="C723" s="956"/>
      <c r="D723" s="956"/>
      <c r="E723" s="1008"/>
      <c r="F723" s="1009"/>
      <c r="G723" s="1008">
        <f>+VLOOKUP(Data_Validation!$A723,BV_Data_An_Cour!$L:$Q,6,0)</f>
        <v>0</v>
      </c>
      <c r="H723" s="165"/>
    </row>
    <row r="724" spans="1:8" ht="15" customHeight="1">
      <c r="A724" s="167"/>
      <c r="B724" s="166"/>
      <c r="C724" s="956"/>
      <c r="D724" s="956"/>
      <c r="E724" s="1008"/>
      <c r="F724" s="1009"/>
      <c r="G724" s="1008">
        <f>+VLOOKUP(Data_Validation!$A724,BV_Data_An_Cour!$L:$Q,6,0)</f>
        <v>0</v>
      </c>
      <c r="H724" s="165"/>
    </row>
    <row r="725" spans="1:8" ht="15" customHeight="1">
      <c r="A725" s="167"/>
      <c r="B725" s="166"/>
      <c r="C725" s="956"/>
      <c r="D725" s="956"/>
      <c r="E725" s="1008"/>
      <c r="F725" s="1009"/>
      <c r="G725" s="1008">
        <f>+VLOOKUP(Data_Validation!$A725,BV_Data_An_Cour!$L:$Q,6,0)</f>
        <v>0</v>
      </c>
      <c r="H725" s="165"/>
    </row>
    <row r="726" spans="1:8" ht="15" customHeight="1">
      <c r="A726" s="167"/>
      <c r="B726" s="166"/>
      <c r="C726" s="956"/>
      <c r="D726" s="956"/>
      <c r="E726" s="1008"/>
      <c r="F726" s="1009"/>
      <c r="G726" s="1008">
        <f>+VLOOKUP(Data_Validation!$A726,BV_Data_An_Cour!$L:$Q,6,0)</f>
        <v>0</v>
      </c>
      <c r="H726" s="165"/>
    </row>
    <row r="727" spans="1:8" ht="15" customHeight="1">
      <c r="A727" s="167"/>
      <c r="B727" s="166"/>
      <c r="C727" s="956"/>
      <c r="D727" s="956"/>
      <c r="E727" s="1008"/>
      <c r="F727" s="1009"/>
      <c r="G727" s="1008">
        <f>+VLOOKUP(Data_Validation!$A727,BV_Data_An_Cour!$L:$Q,6,0)</f>
        <v>0</v>
      </c>
      <c r="H727" s="165"/>
    </row>
    <row r="728" spans="1:8" ht="15" customHeight="1">
      <c r="A728" s="167"/>
      <c r="B728" s="166"/>
      <c r="C728" s="956"/>
      <c r="D728" s="956"/>
      <c r="E728" s="1008"/>
      <c r="F728" s="1009"/>
      <c r="G728" s="1008">
        <f>+VLOOKUP(Data_Validation!$A728,BV_Data_An_Cour!$L:$Q,6,0)</f>
        <v>0</v>
      </c>
      <c r="H728" s="165"/>
    </row>
    <row r="729" spans="1:8" ht="15" customHeight="1">
      <c r="A729" s="167"/>
      <c r="B729" s="166"/>
      <c r="C729" s="956"/>
      <c r="D729" s="956"/>
      <c r="E729" s="1008"/>
      <c r="F729" s="1009"/>
      <c r="G729" s="1008">
        <f>+VLOOKUP(Data_Validation!$A729,BV_Data_An_Cour!$L:$Q,6,0)</f>
        <v>0</v>
      </c>
      <c r="H729" s="165"/>
    </row>
    <row r="730" spans="1:8" ht="15" customHeight="1">
      <c r="A730" s="167"/>
      <c r="B730" s="166"/>
      <c r="C730" s="956"/>
      <c r="D730" s="956"/>
      <c r="E730" s="1008"/>
      <c r="F730" s="1009"/>
      <c r="G730" s="1008">
        <f>+VLOOKUP(Data_Validation!$A730,BV_Data_An_Cour!$L:$Q,6,0)</f>
        <v>0</v>
      </c>
      <c r="H730" s="165"/>
    </row>
    <row r="731" spans="1:8" ht="15" customHeight="1">
      <c r="A731" s="167"/>
      <c r="B731" s="166"/>
      <c r="C731" s="956"/>
      <c r="D731" s="956"/>
      <c r="E731" s="1008"/>
      <c r="F731" s="1009"/>
      <c r="G731" s="1008">
        <f>+VLOOKUP(Data_Validation!$A731,BV_Data_An_Cour!$L:$Q,6,0)</f>
        <v>0</v>
      </c>
      <c r="H731" s="165"/>
    </row>
    <row r="732" spans="1:8" ht="15" customHeight="1">
      <c r="A732" s="167"/>
      <c r="B732" s="166"/>
      <c r="C732" s="956"/>
      <c r="D732" s="956"/>
      <c r="E732" s="1008"/>
      <c r="F732" s="1009"/>
      <c r="G732" s="1008">
        <f>+VLOOKUP(Data_Validation!$A732,BV_Data_An_Cour!$L:$Q,6,0)</f>
        <v>0</v>
      </c>
      <c r="H732" s="165"/>
    </row>
    <row r="733" spans="1:8" ht="15" customHeight="1">
      <c r="A733" s="167"/>
      <c r="B733" s="166"/>
      <c r="C733" s="956"/>
      <c r="D733" s="956"/>
      <c r="E733" s="1008"/>
      <c r="F733" s="1009"/>
      <c r="G733" s="1008">
        <f>+VLOOKUP(Data_Validation!$A733,BV_Data_An_Cour!$L:$Q,6,0)</f>
        <v>0</v>
      </c>
      <c r="H733" s="165"/>
    </row>
    <row r="734" spans="1:8" ht="15" customHeight="1">
      <c r="A734" s="167"/>
      <c r="B734" s="166"/>
      <c r="C734" s="956"/>
      <c r="D734" s="956"/>
      <c r="E734" s="1008"/>
      <c r="F734" s="1009"/>
      <c r="G734" s="1008">
        <f>+VLOOKUP(Data_Validation!$A734,BV_Data_An_Cour!$L:$Q,6,0)</f>
        <v>0</v>
      </c>
      <c r="H734" s="165"/>
    </row>
    <row r="735" spans="1:8" ht="15" customHeight="1">
      <c r="A735" s="167"/>
      <c r="B735" s="166"/>
      <c r="C735" s="956"/>
      <c r="D735" s="956"/>
      <c r="E735" s="1008"/>
      <c r="F735" s="1009"/>
      <c r="G735" s="1008">
        <f>+VLOOKUP(Data_Validation!$A735,BV_Data_An_Cour!$L:$Q,6,0)</f>
        <v>0</v>
      </c>
      <c r="H735" s="165"/>
    </row>
    <row r="736" spans="1:8" ht="15" customHeight="1">
      <c r="A736" s="167"/>
      <c r="B736" s="166"/>
      <c r="C736" s="956"/>
      <c r="D736" s="956"/>
      <c r="E736" s="1008"/>
      <c r="F736" s="1009"/>
      <c r="G736" s="1008">
        <f>+VLOOKUP(Data_Validation!$A736,BV_Data_An_Cour!$L:$Q,6,0)</f>
        <v>0</v>
      </c>
      <c r="H736" s="165"/>
    </row>
    <row r="737" spans="1:29" ht="15" customHeight="1">
      <c r="A737" s="167"/>
      <c r="B737" s="166"/>
      <c r="C737" s="956"/>
      <c r="D737" s="956"/>
      <c r="E737" s="1008"/>
      <c r="F737" s="1009"/>
      <c r="G737" s="1008">
        <f>+VLOOKUP(Data_Validation!$A737,BV_Data_An_Cour!$L:$Q,6,0)</f>
        <v>0</v>
      </c>
      <c r="H737" s="165"/>
      <c r="I737" s="2"/>
      <c r="J737" s="2"/>
      <c r="L737" s="2"/>
      <c r="M737" s="2"/>
      <c r="N737" s="2"/>
      <c r="O737" s="2"/>
      <c r="P737" s="2"/>
      <c r="Q737" s="2"/>
      <c r="R737" s="2"/>
      <c r="S737" s="2"/>
      <c r="T737" s="2"/>
      <c r="U737" s="2"/>
      <c r="V737" s="2"/>
      <c r="W737" s="2"/>
      <c r="X737" s="2"/>
      <c r="Y737" s="2"/>
      <c r="Z737" s="2"/>
      <c r="AA737" s="2"/>
      <c r="AB737" s="2"/>
      <c r="AC737" s="2"/>
    </row>
    <row r="738" spans="1:29" ht="15" customHeight="1">
      <c r="A738" s="167"/>
      <c r="B738" s="166"/>
      <c r="C738" s="956"/>
      <c r="D738" s="956"/>
      <c r="E738" s="1008"/>
      <c r="F738" s="1009"/>
      <c r="G738" s="1008">
        <f>+VLOOKUP(Data_Validation!$A738,BV_Data_An_Cour!$L:$Q,6,0)</f>
        <v>0</v>
      </c>
      <c r="H738" s="165"/>
    </row>
    <row r="739" spans="1:29" ht="15" customHeight="1">
      <c r="A739" s="167"/>
      <c r="B739" s="571"/>
      <c r="C739" s="956"/>
      <c r="D739" s="956"/>
      <c r="E739" s="1008"/>
      <c r="F739" s="1009"/>
      <c r="G739" s="1008">
        <f>+VLOOKUP(Data_Validation!$A739,BV_Data_An_Cour!$L:$Q,6,0)</f>
        <v>0</v>
      </c>
      <c r="H739" s="165"/>
    </row>
    <row r="740" spans="1:29" ht="15" customHeight="1">
      <c r="A740" s="167"/>
      <c r="B740" s="166"/>
      <c r="C740" s="956"/>
      <c r="D740" s="956"/>
      <c r="E740" s="1008"/>
      <c r="F740" s="1009"/>
      <c r="G740" s="1008">
        <f>+VLOOKUP(Data_Validation!$A740,BV_Data_An_Cour!$L:$Q,6,0)</f>
        <v>0</v>
      </c>
      <c r="H740" s="165"/>
    </row>
    <row r="741" spans="1:29" ht="15" customHeight="1">
      <c r="A741" s="167"/>
      <c r="B741" s="166"/>
      <c r="C741" s="956"/>
      <c r="D741" s="956"/>
      <c r="E741" s="1008"/>
      <c r="F741" s="1009"/>
      <c r="G741" s="1008">
        <f>+VLOOKUP(Data_Validation!$A741,BV_Data_An_Cour!$L:$Q,6,0)</f>
        <v>0</v>
      </c>
      <c r="H741" s="165"/>
    </row>
    <row r="742" spans="1:29" ht="15" customHeight="1">
      <c r="A742" s="167"/>
      <c r="B742" s="166"/>
      <c r="C742" s="956"/>
      <c r="D742" s="956"/>
      <c r="E742" s="1008"/>
      <c r="F742" s="1009"/>
      <c r="G742" s="1008">
        <f>+VLOOKUP(Data_Validation!$A742,BV_Data_An_Cour!$L:$Q,6,0)</f>
        <v>0</v>
      </c>
      <c r="H742" s="165"/>
    </row>
    <row r="743" spans="1:29" ht="15" customHeight="1">
      <c r="A743" s="167"/>
      <c r="B743" s="166"/>
      <c r="C743" s="956"/>
      <c r="D743" s="956"/>
      <c r="E743" s="1008"/>
      <c r="F743" s="1009"/>
      <c r="G743" s="1008">
        <f>+VLOOKUP(Data_Validation!$A743,BV_Data_An_Cour!$L:$Q,6,0)</f>
        <v>0</v>
      </c>
      <c r="H743" s="165"/>
    </row>
    <row r="744" spans="1:29" ht="15" customHeight="1">
      <c r="A744" s="167"/>
      <c r="B744" s="166"/>
      <c r="C744" s="956"/>
      <c r="D744" s="956"/>
      <c r="E744" s="1008"/>
      <c r="F744" s="1009"/>
      <c r="G744" s="1008">
        <f>+VLOOKUP(Data_Validation!$A744,BV_Data_An_Cour!$L:$Q,6,0)</f>
        <v>0</v>
      </c>
      <c r="H744" s="165"/>
      <c r="K744" s="2"/>
    </row>
    <row r="745" spans="1:29" ht="15" customHeight="1">
      <c r="A745" s="167"/>
      <c r="B745" s="166"/>
      <c r="C745" s="956"/>
      <c r="D745" s="956"/>
      <c r="E745" s="1008"/>
      <c r="F745" s="1009"/>
      <c r="G745" s="1008">
        <f>+VLOOKUP(Data_Validation!$A745,BV_Data_An_Cour!$L:$Q,6,0)</f>
        <v>0</v>
      </c>
      <c r="H745" s="165"/>
    </row>
    <row r="746" spans="1:29" ht="15" customHeight="1">
      <c r="A746" s="167"/>
      <c r="B746" s="166"/>
      <c r="C746" s="956"/>
      <c r="D746" s="956"/>
      <c r="E746" s="1008"/>
      <c r="F746" s="1009"/>
      <c r="G746" s="1008">
        <f>+VLOOKUP(Data_Validation!$A746,BV_Data_An_Cour!$L:$Q,6,0)</f>
        <v>0</v>
      </c>
      <c r="H746" s="165"/>
    </row>
    <row r="747" spans="1:29" ht="15" customHeight="1">
      <c r="A747" s="167"/>
      <c r="B747" s="166"/>
      <c r="C747" s="956"/>
      <c r="D747" s="956"/>
      <c r="E747" s="1008"/>
      <c r="F747" s="1009"/>
      <c r="G747" s="1008">
        <f>+VLOOKUP(Data_Validation!$A747,BV_Data_An_Cour!$L:$Q,6,0)</f>
        <v>0</v>
      </c>
      <c r="H747" s="165"/>
    </row>
    <row r="748" spans="1:29" ht="15" customHeight="1">
      <c r="A748" s="167"/>
      <c r="B748" s="166"/>
      <c r="C748" s="956"/>
      <c r="D748" s="956"/>
      <c r="E748" s="1008"/>
      <c r="F748" s="1009"/>
      <c r="G748" s="1008">
        <f>+VLOOKUP(Data_Validation!$A748,BV_Data_An_Cour!$L:$Q,6,0)</f>
        <v>0</v>
      </c>
      <c r="H748" s="165"/>
    </row>
    <row r="749" spans="1:29" ht="15" customHeight="1">
      <c r="A749" s="167"/>
      <c r="B749" s="166"/>
      <c r="C749" s="956"/>
      <c r="D749" s="956"/>
      <c r="E749" s="1008"/>
      <c r="F749" s="1009"/>
      <c r="G749" s="1008">
        <f>+VLOOKUP(Data_Validation!$A749,BV_Data_An_Cour!$L:$Q,6,0)</f>
        <v>0</v>
      </c>
    </row>
    <row r="750" spans="1:29" ht="15" customHeight="1">
      <c r="A750" s="166"/>
      <c r="B750" s="166"/>
      <c r="C750" s="956"/>
      <c r="D750" s="956"/>
      <c r="E750" s="1008"/>
      <c r="F750" s="1009"/>
      <c r="G750" s="1008">
        <f>+VLOOKUP(Data_Validation!$A750,BV_Data_An_Cour!$L:$Q,6,0)</f>
        <v>0</v>
      </c>
    </row>
    <row r="751" spans="1:29" ht="15" customHeight="1">
      <c r="A751" s="166"/>
      <c r="B751" s="166"/>
      <c r="C751" s="956"/>
      <c r="D751" s="956"/>
      <c r="E751" s="1008"/>
      <c r="F751" s="1009"/>
      <c r="G751" s="1008">
        <f>+VLOOKUP(Data_Validation!$A751,BV_Data_An_Cour!$L:$Q,6,0)</f>
        <v>0</v>
      </c>
      <c r="H751" s="165"/>
    </row>
    <row r="752" spans="1:29" ht="15" customHeight="1">
      <c r="A752" s="167"/>
      <c r="B752" s="166"/>
      <c r="C752" s="956"/>
      <c r="D752" s="956"/>
      <c r="E752" s="1008"/>
      <c r="F752" s="1009"/>
      <c r="G752" s="1008">
        <f>+VLOOKUP(Data_Validation!$A752,BV_Data_An_Cour!$L:$Q,6,0)</f>
        <v>0</v>
      </c>
      <c r="H752" s="165"/>
    </row>
    <row r="753" spans="1:29" ht="15" customHeight="1">
      <c r="A753" s="167"/>
      <c r="B753" s="166"/>
      <c r="C753" s="956"/>
      <c r="D753" s="956"/>
      <c r="E753" s="1008"/>
      <c r="F753" s="1009"/>
      <c r="G753" s="1008">
        <f>+VLOOKUP(Data_Validation!$A753,BV_Data_An_Cour!$L:$Q,6,0)</f>
        <v>0</v>
      </c>
      <c r="H753" s="165"/>
      <c r="I753" s="2"/>
      <c r="J753" s="2"/>
      <c r="K753" s="2"/>
      <c r="L753" s="2"/>
      <c r="M753" s="2"/>
      <c r="N753" s="2"/>
      <c r="O753" s="2"/>
      <c r="P753" s="2"/>
      <c r="Q753" s="2"/>
      <c r="R753" s="2"/>
      <c r="S753" s="2"/>
      <c r="T753" s="2"/>
      <c r="U753" s="2"/>
      <c r="V753" s="2"/>
      <c r="W753" s="2"/>
      <c r="X753" s="2"/>
      <c r="Y753" s="2"/>
      <c r="Z753" s="2"/>
      <c r="AA753" s="2"/>
      <c r="AB753" s="2"/>
      <c r="AC753" s="2"/>
    </row>
    <row r="754" spans="1:29" ht="15" customHeight="1">
      <c r="A754" s="167"/>
      <c r="B754" s="166"/>
      <c r="C754" s="956"/>
      <c r="D754" s="956"/>
      <c r="E754" s="1008"/>
      <c r="F754" s="1009"/>
      <c r="G754" s="1008">
        <f>+VLOOKUP(Data_Validation!$A754,BV_Data_An_Cour!$L:$Q,6,0)</f>
        <v>0</v>
      </c>
      <c r="H754" s="165"/>
      <c r="I754" s="2"/>
      <c r="J754" s="2"/>
      <c r="L754" s="2"/>
      <c r="M754" s="2"/>
      <c r="N754" s="2"/>
      <c r="O754" s="2"/>
      <c r="P754" s="2"/>
      <c r="Q754" s="2"/>
      <c r="R754" s="2"/>
      <c r="S754" s="2"/>
      <c r="T754" s="2"/>
      <c r="U754" s="2"/>
      <c r="V754" s="2"/>
      <c r="W754" s="2"/>
      <c r="X754" s="2"/>
      <c r="Y754" s="2"/>
      <c r="Z754" s="2"/>
      <c r="AA754" s="2"/>
      <c r="AB754" s="2"/>
      <c r="AC754" s="2"/>
    </row>
    <row r="755" spans="1:29" ht="15" customHeight="1">
      <c r="A755" s="167"/>
      <c r="B755" s="166"/>
      <c r="C755" s="956"/>
      <c r="D755" s="956"/>
      <c r="E755" s="1008"/>
      <c r="F755" s="1009"/>
      <c r="G755" s="1008">
        <f>+VLOOKUP(Data_Validation!$A755,BV_Data_An_Cour!$L:$Q,6,0)</f>
        <v>0</v>
      </c>
      <c r="H755" s="165"/>
    </row>
    <row r="756" spans="1:29" ht="15" customHeight="1">
      <c r="A756" s="167"/>
      <c r="B756" s="166"/>
      <c r="C756" s="956"/>
      <c r="D756" s="956"/>
      <c r="E756" s="1008"/>
      <c r="F756" s="1009"/>
      <c r="G756" s="1008">
        <f>+VLOOKUP(Data_Validation!$A756,BV_Data_An_Cour!$L:$Q,6,0)</f>
        <v>0</v>
      </c>
      <c r="H756" s="165"/>
    </row>
    <row r="757" spans="1:29" ht="15" customHeight="1">
      <c r="A757" s="167"/>
      <c r="B757" s="166"/>
      <c r="C757" s="956"/>
      <c r="D757" s="956"/>
      <c r="E757" s="1008"/>
      <c r="F757" s="1009"/>
      <c r="G757" s="1008">
        <f>+VLOOKUP(Data_Validation!$A757,BV_Data_An_Cour!$L:$Q,6,0)</f>
        <v>0</v>
      </c>
      <c r="H757" s="165"/>
    </row>
    <row r="758" spans="1:29" ht="15" customHeight="1">
      <c r="A758" s="167"/>
      <c r="B758" s="1030"/>
      <c r="C758" s="1022"/>
      <c r="D758" s="956"/>
      <c r="E758" s="1008"/>
      <c r="F758" s="1009"/>
      <c r="G758" s="1008">
        <f>+VLOOKUP(Data_Validation!$A758,BV_Data_An_Cour!$L:$Q,6,0)</f>
        <v>0</v>
      </c>
      <c r="H758" s="165"/>
    </row>
    <row r="759" spans="1:29" ht="15" customHeight="1">
      <c r="A759" s="167"/>
      <c r="B759" s="166"/>
      <c r="C759" s="956"/>
      <c r="D759" s="956"/>
      <c r="E759" s="1008"/>
      <c r="F759" s="1009"/>
      <c r="G759" s="1008">
        <f>+VLOOKUP(Data_Validation!$A759,BV_Data_An_Cour!$L:$Q,6,0)</f>
        <v>0</v>
      </c>
      <c r="H759" s="188"/>
    </row>
    <row r="760" spans="1:29" ht="15" customHeight="1">
      <c r="A760" s="167"/>
      <c r="B760" s="166"/>
      <c r="C760" s="956"/>
      <c r="D760" s="956"/>
      <c r="E760" s="1008"/>
      <c r="F760" s="1009"/>
      <c r="G760" s="1008">
        <f>+VLOOKUP(Data_Validation!$A760,BV_Data_An_Cour!$L:$Q,6,0)</f>
        <v>0</v>
      </c>
      <c r="H760" s="188"/>
      <c r="I760" s="2"/>
      <c r="J760" s="2"/>
      <c r="L760" s="2"/>
      <c r="M760" s="2"/>
      <c r="N760" s="2"/>
      <c r="O760" s="2"/>
      <c r="P760" s="2"/>
      <c r="Q760" s="2"/>
      <c r="R760" s="2"/>
      <c r="S760" s="2"/>
      <c r="T760" s="2"/>
      <c r="U760" s="2"/>
      <c r="V760" s="2"/>
      <c r="W760" s="2"/>
      <c r="X760" s="2"/>
      <c r="Y760" s="2"/>
      <c r="Z760" s="2"/>
      <c r="AA760" s="2"/>
      <c r="AB760" s="2"/>
      <c r="AC760" s="2"/>
    </row>
    <row r="761" spans="1:29" ht="15" customHeight="1">
      <c r="A761" s="167"/>
      <c r="B761" s="166"/>
      <c r="C761" s="956"/>
      <c r="D761" s="956"/>
      <c r="E761" s="1008"/>
      <c r="F761" s="1009"/>
      <c r="G761" s="1008">
        <f>+VLOOKUP(Data_Validation!$A761,BV_Data_An_Cour!$L:$Q,6,0)</f>
        <v>0</v>
      </c>
      <c r="H761" s="188"/>
    </row>
    <row r="762" spans="1:29" ht="15" customHeight="1">
      <c r="A762" s="167"/>
      <c r="B762" s="166"/>
      <c r="C762" s="956"/>
      <c r="D762" s="956"/>
      <c r="E762" s="1008"/>
      <c r="F762" s="1009"/>
      <c r="G762" s="1008">
        <f>+VLOOKUP(Data_Validation!$A762,BV_Data_An_Cour!$L:$Q,6,0)</f>
        <v>0</v>
      </c>
      <c r="H762" s="188"/>
    </row>
    <row r="763" spans="1:29" ht="15" customHeight="1">
      <c r="A763" s="167"/>
      <c r="B763" s="166"/>
      <c r="C763" s="956"/>
      <c r="D763" s="956"/>
      <c r="E763" s="1008"/>
      <c r="F763" s="1009"/>
      <c r="G763" s="1008">
        <f>+VLOOKUP(Data_Validation!$A763,BV_Data_An_Cour!$L:$Q,6,0)</f>
        <v>0</v>
      </c>
      <c r="H763" s="188"/>
    </row>
    <row r="764" spans="1:29" ht="15" customHeight="1">
      <c r="A764" s="167"/>
      <c r="B764" s="166"/>
      <c r="C764" s="956"/>
      <c r="D764" s="956"/>
      <c r="E764" s="1008"/>
      <c r="F764" s="1009"/>
      <c r="G764" s="1008">
        <f>+VLOOKUP(Data_Validation!$A764,BV_Data_An_Cour!$L:$Q,6,0)</f>
        <v>0</v>
      </c>
      <c r="H764" s="188"/>
    </row>
    <row r="765" spans="1:29" ht="15" customHeight="1">
      <c r="A765" s="167"/>
      <c r="B765" s="166"/>
      <c r="C765" s="956"/>
      <c r="D765" s="956"/>
      <c r="E765" s="1008"/>
      <c r="F765" s="1009"/>
      <c r="G765" s="1008">
        <f>+VLOOKUP(Data_Validation!$A765,BV_Data_An_Cour!$L:$Q,6,0)</f>
        <v>0</v>
      </c>
      <c r="H765" s="188"/>
    </row>
    <row r="766" spans="1:29" ht="15" customHeight="1">
      <c r="A766" s="167"/>
      <c r="B766" s="166"/>
      <c r="C766" s="956"/>
      <c r="D766" s="956"/>
      <c r="E766" s="1008"/>
      <c r="F766" s="1009"/>
      <c r="G766" s="1008">
        <f>+VLOOKUP(Data_Validation!$A766,BV_Data_An_Cour!$L:$Q,6,0)</f>
        <v>0</v>
      </c>
      <c r="H766" s="188"/>
    </row>
    <row r="767" spans="1:29" ht="15" customHeight="1">
      <c r="A767" s="167"/>
      <c r="B767" s="166"/>
      <c r="C767" s="956"/>
      <c r="D767" s="956"/>
      <c r="E767" s="1008"/>
      <c r="F767" s="1009"/>
      <c r="G767" s="1008">
        <f>+VLOOKUP(Data_Validation!$A767,BV_Data_An_Cour!$L:$Q,6,0)</f>
        <v>0</v>
      </c>
      <c r="H767" s="188"/>
    </row>
    <row r="768" spans="1:29" ht="15" customHeight="1">
      <c r="A768" s="167"/>
      <c r="B768" s="166"/>
      <c r="C768" s="956"/>
      <c r="D768" s="956"/>
      <c r="E768" s="1008"/>
      <c r="F768" s="1009"/>
      <c r="G768" s="1008">
        <f>+VLOOKUP(Data_Validation!$A768,BV_Data_An_Cour!$L:$Q,6,0)</f>
        <v>0</v>
      </c>
      <c r="H768" s="188"/>
    </row>
    <row r="769" spans="1:8" ht="15" customHeight="1">
      <c r="A769" s="167"/>
      <c r="B769" s="166"/>
      <c r="C769" s="956"/>
      <c r="D769" s="956"/>
      <c r="E769" s="1008"/>
      <c r="F769" s="1009"/>
      <c r="G769" s="1008">
        <f>+VLOOKUP(Data_Validation!$A769,BV_Data_An_Cour!$L:$Q,6,0)</f>
        <v>0</v>
      </c>
      <c r="H769" s="188"/>
    </row>
    <row r="770" spans="1:8" ht="15" customHeight="1">
      <c r="A770" s="167"/>
      <c r="B770" s="166"/>
      <c r="C770" s="956"/>
      <c r="D770" s="956"/>
      <c r="E770" s="1008"/>
      <c r="F770" s="1009"/>
      <c r="G770" s="1008">
        <f>+VLOOKUP(Data_Validation!$A770,BV_Data_An_Cour!$L:$Q,6,0)</f>
        <v>0</v>
      </c>
      <c r="H770" s="188"/>
    </row>
    <row r="771" spans="1:8" ht="15" customHeight="1">
      <c r="A771" s="167"/>
      <c r="B771" s="166"/>
      <c r="C771" s="956"/>
      <c r="D771" s="956"/>
      <c r="E771" s="1008"/>
      <c r="F771" s="1009"/>
      <c r="G771" s="1008">
        <f>+VLOOKUP(Data_Validation!$A771,BV_Data_An_Cour!$L:$Q,6,0)</f>
        <v>0</v>
      </c>
      <c r="H771" s="188"/>
    </row>
    <row r="772" spans="1:8" ht="15" customHeight="1">
      <c r="A772" s="167"/>
      <c r="B772" s="166"/>
      <c r="C772" s="956"/>
      <c r="D772" s="956"/>
      <c r="E772" s="1008"/>
      <c r="F772" s="1009"/>
      <c r="G772" s="1008">
        <f>+VLOOKUP(Data_Validation!$A772,BV_Data_An_Cour!$L:$Q,6,0)</f>
        <v>0</v>
      </c>
      <c r="H772" s="165"/>
    </row>
    <row r="773" spans="1:8" ht="15" customHeight="1">
      <c r="A773" s="167"/>
      <c r="B773" s="166"/>
      <c r="C773" s="956"/>
      <c r="D773" s="956"/>
      <c r="E773" s="1008"/>
      <c r="F773" s="1009"/>
      <c r="G773" s="1008">
        <f>+VLOOKUP(Data_Validation!$A773,BV_Data_An_Cour!$L:$Q,6,0)</f>
        <v>0</v>
      </c>
      <c r="H773" s="165"/>
    </row>
    <row r="774" spans="1:8" ht="15" customHeight="1">
      <c r="A774" s="167"/>
      <c r="B774" s="166"/>
      <c r="C774" s="956"/>
      <c r="D774" s="956"/>
      <c r="E774" s="1008"/>
      <c r="F774" s="1009"/>
      <c r="G774" s="1008">
        <f>+VLOOKUP(Data_Validation!$A774,BV_Data_An_Cour!$L:$Q,6,0)</f>
        <v>0</v>
      </c>
      <c r="H774" s="165"/>
    </row>
    <row r="775" spans="1:8" ht="15" customHeight="1">
      <c r="A775" s="167"/>
      <c r="B775" s="166"/>
      <c r="C775" s="956"/>
      <c r="D775" s="956"/>
      <c r="E775" s="1008"/>
      <c r="F775" s="1009"/>
      <c r="G775" s="1008">
        <f>+VLOOKUP(Data_Validation!$A775,BV_Data_An_Cour!$L:$Q,6,0)</f>
        <v>0</v>
      </c>
      <c r="H775" s="165"/>
    </row>
    <row r="776" spans="1:8" ht="15" customHeight="1">
      <c r="A776" s="167"/>
      <c r="B776" s="166"/>
      <c r="C776" s="956"/>
      <c r="D776" s="956"/>
      <c r="E776" s="1008"/>
      <c r="F776" s="1009"/>
      <c r="G776" s="1008">
        <f>+VLOOKUP(Data_Validation!$A776,BV_Data_An_Cour!$L:$Q,6,0)</f>
        <v>0</v>
      </c>
      <c r="H776" s="165"/>
    </row>
    <row r="777" spans="1:8" ht="15" customHeight="1">
      <c r="A777" s="167"/>
      <c r="B777" s="166"/>
      <c r="C777" s="956"/>
      <c r="D777" s="956"/>
      <c r="E777" s="1008"/>
      <c r="F777" s="1009"/>
      <c r="G777" s="1008">
        <f>+VLOOKUP(Data_Validation!$A777,BV_Data_An_Cour!$L:$Q,6,0)</f>
        <v>0</v>
      </c>
      <c r="H777" s="165"/>
    </row>
    <row r="778" spans="1:8" ht="15" customHeight="1">
      <c r="A778" s="167"/>
      <c r="B778" s="166"/>
      <c r="C778" s="956"/>
      <c r="D778" s="956"/>
      <c r="E778" s="1008"/>
      <c r="F778" s="1009"/>
      <c r="G778" s="1008">
        <f>+VLOOKUP(Data_Validation!$A778,BV_Data_An_Cour!$L:$Q,6,0)</f>
        <v>0</v>
      </c>
      <c r="H778" s="165"/>
    </row>
    <row r="779" spans="1:8" ht="15" customHeight="1">
      <c r="A779" s="167"/>
      <c r="B779" s="166"/>
      <c r="C779" s="956"/>
      <c r="D779" s="956"/>
      <c r="E779" s="1008"/>
      <c r="F779" s="1009"/>
      <c r="G779" s="1008">
        <f>+VLOOKUP(Data_Validation!$A779,BV_Data_An_Cour!$L:$Q,6,0)</f>
        <v>0</v>
      </c>
      <c r="H779" s="165"/>
    </row>
    <row r="780" spans="1:8" ht="15" customHeight="1">
      <c r="A780" s="176"/>
      <c r="B780" s="1029"/>
      <c r="C780" s="956"/>
      <c r="D780" s="956"/>
      <c r="E780" s="1008"/>
      <c r="F780" s="1009"/>
      <c r="G780" s="1008">
        <f>+VLOOKUP(Data_Validation!$A780,BV_Data_An_Cour!$L:$Q,6,0)</f>
        <v>0</v>
      </c>
      <c r="H780" s="165"/>
    </row>
    <row r="781" spans="1:8" ht="15" customHeight="1">
      <c r="A781" s="167"/>
      <c r="B781" s="166"/>
      <c r="C781" s="956"/>
      <c r="D781" s="956"/>
      <c r="E781" s="1008"/>
      <c r="F781" s="1009"/>
      <c r="G781" s="1008">
        <f>+VLOOKUP(Data_Validation!$A781,BV_Data_An_Cour!$L:$Q,6,0)</f>
        <v>0</v>
      </c>
      <c r="H781" s="165"/>
    </row>
    <row r="782" spans="1:8" ht="15" customHeight="1">
      <c r="A782" s="167"/>
      <c r="B782" s="166"/>
      <c r="C782" s="956"/>
      <c r="D782" s="956"/>
      <c r="E782" s="1008"/>
      <c r="F782" s="1009"/>
      <c r="G782" s="1008">
        <f>+VLOOKUP(Data_Validation!$A782,BV_Data_An_Cour!$L:$Q,6,0)</f>
        <v>0</v>
      </c>
      <c r="H782" s="188"/>
    </row>
    <row r="783" spans="1:8" ht="15" customHeight="1">
      <c r="A783" s="167"/>
      <c r="B783" s="166"/>
      <c r="C783" s="956"/>
      <c r="D783" s="956"/>
      <c r="E783" s="1008"/>
      <c r="F783" s="1009"/>
      <c r="G783" s="1008">
        <f>+VLOOKUP(Data_Validation!$A783,BV_Data_An_Cour!$L:$Q,6,0)</f>
        <v>0</v>
      </c>
      <c r="H783" s="188"/>
    </row>
    <row r="784" spans="1:8" ht="15" customHeight="1">
      <c r="A784" s="167"/>
      <c r="B784" s="166"/>
      <c r="C784" s="956"/>
      <c r="D784" s="956"/>
      <c r="E784" s="1008"/>
      <c r="F784" s="1009"/>
      <c r="G784" s="1008">
        <f>+VLOOKUP(Data_Validation!$A784,BV_Data_An_Cour!$L:$Q,6,0)</f>
        <v>0</v>
      </c>
      <c r="H784" s="188"/>
    </row>
    <row r="785" spans="1:8" ht="15" customHeight="1">
      <c r="A785" s="166"/>
      <c r="B785" s="166"/>
      <c r="C785" s="956"/>
      <c r="D785" s="956"/>
      <c r="E785" s="1008"/>
      <c r="F785" s="1009"/>
      <c r="G785" s="1008">
        <f>+VLOOKUP(Data_Validation!$A785,BV_Data_An_Cour!$L:$Q,6,0)</f>
        <v>0</v>
      </c>
      <c r="H785" s="188"/>
    </row>
    <row r="786" spans="1:8" ht="15" customHeight="1">
      <c r="A786" s="167"/>
      <c r="B786" s="166"/>
      <c r="C786" s="956"/>
      <c r="D786" s="956"/>
      <c r="E786" s="1008"/>
      <c r="F786" s="1009"/>
      <c r="G786" s="1008">
        <f>+VLOOKUP(Data_Validation!$A786,BV_Data_An_Cour!$L:$Q,6,0)</f>
        <v>0</v>
      </c>
      <c r="H786" s="188"/>
    </row>
    <row r="787" spans="1:8" ht="15" customHeight="1">
      <c r="A787" s="167"/>
      <c r="B787" s="166"/>
      <c r="C787" s="956"/>
      <c r="D787" s="956"/>
      <c r="E787" s="1008"/>
      <c r="F787" s="1009"/>
      <c r="G787" s="1008">
        <f>+VLOOKUP(Data_Validation!$A787,BV_Data_An_Cour!$L:$Q,6,0)</f>
        <v>0</v>
      </c>
      <c r="H787" s="188"/>
    </row>
    <row r="788" spans="1:8" ht="15" customHeight="1">
      <c r="A788" s="167"/>
      <c r="B788" s="166"/>
      <c r="C788" s="956"/>
      <c r="D788" s="956"/>
      <c r="E788" s="1008"/>
      <c r="F788" s="1009"/>
      <c r="G788" s="1008">
        <f>+VLOOKUP(Data_Validation!$A788,BV_Data_An_Cour!$L:$Q,6,0)</f>
        <v>0</v>
      </c>
      <c r="H788" s="188"/>
    </row>
    <row r="789" spans="1:8" ht="15" customHeight="1">
      <c r="A789" s="167"/>
      <c r="B789" s="166"/>
      <c r="C789" s="956"/>
      <c r="D789" s="956"/>
      <c r="E789" s="1008"/>
      <c r="F789" s="1009"/>
      <c r="G789" s="1008">
        <f>+VLOOKUP(Data_Validation!$A789,BV_Data_An_Cour!$L:$Q,6,0)</f>
        <v>0</v>
      </c>
      <c r="H789" s="188"/>
    </row>
    <row r="790" spans="1:8" ht="15" customHeight="1">
      <c r="A790" s="167"/>
      <c r="B790" s="166"/>
      <c r="C790" s="956"/>
      <c r="D790" s="956"/>
      <c r="E790" s="1008"/>
      <c r="F790" s="1009"/>
      <c r="G790" s="1008">
        <f>+VLOOKUP(Data_Validation!$A790,BV_Data_An_Cour!$L:$Q,6,0)</f>
        <v>0</v>
      </c>
      <c r="H790" s="188"/>
    </row>
    <row r="791" spans="1:8" ht="15" customHeight="1">
      <c r="A791" s="167"/>
      <c r="B791" s="166"/>
      <c r="C791" s="956"/>
      <c r="D791" s="956"/>
      <c r="E791" s="1008"/>
      <c r="F791" s="1009"/>
      <c r="G791" s="1008">
        <f>+VLOOKUP(Data_Validation!$A791,BV_Data_An_Cour!$L:$Q,6,0)</f>
        <v>0</v>
      </c>
      <c r="H791" s="188"/>
    </row>
    <row r="792" spans="1:8" ht="15" customHeight="1">
      <c r="A792" s="167"/>
      <c r="B792" s="166"/>
      <c r="C792" s="956"/>
      <c r="D792" s="956"/>
      <c r="E792" s="1008"/>
      <c r="F792" s="1009"/>
      <c r="G792" s="1008">
        <f>+VLOOKUP(Data_Validation!$A792,BV_Data_An_Cour!$L:$Q,6,0)</f>
        <v>0</v>
      </c>
      <c r="H792" s="188"/>
    </row>
    <row r="793" spans="1:8" ht="15" customHeight="1">
      <c r="A793" s="167"/>
      <c r="B793" s="166"/>
      <c r="C793" s="956"/>
      <c r="D793" s="956"/>
      <c r="E793" s="1008"/>
      <c r="F793" s="1009"/>
      <c r="G793" s="1008">
        <f>+VLOOKUP(Data_Validation!$A793,BV_Data_An_Cour!$L:$Q,6,0)</f>
        <v>0</v>
      </c>
      <c r="H793" s="188"/>
    </row>
    <row r="794" spans="1:8" ht="15" customHeight="1">
      <c r="A794" s="167"/>
      <c r="B794" s="166"/>
      <c r="C794" s="956"/>
      <c r="D794" s="956"/>
      <c r="E794" s="1008"/>
      <c r="F794" s="1009"/>
      <c r="G794" s="1008">
        <f>+VLOOKUP(Data_Validation!$A794,BV_Data_An_Cour!$L:$Q,6,0)</f>
        <v>0</v>
      </c>
      <c r="H794" s="188"/>
    </row>
    <row r="795" spans="1:8" ht="15" customHeight="1">
      <c r="A795" s="167"/>
      <c r="B795" s="166"/>
      <c r="C795" s="956"/>
      <c r="D795" s="956"/>
      <c r="E795" s="1008"/>
      <c r="F795" s="1009"/>
      <c r="G795" s="1008">
        <f>+VLOOKUP(Data_Validation!$A795,BV_Data_An_Cour!$L:$Q,6,0)</f>
        <v>0</v>
      </c>
      <c r="H795" s="188"/>
    </row>
    <row r="796" spans="1:8" ht="15" customHeight="1">
      <c r="A796" s="167"/>
      <c r="B796" s="166"/>
      <c r="C796" s="956"/>
      <c r="D796" s="956"/>
      <c r="E796" s="1008"/>
      <c r="F796" s="1009"/>
      <c r="G796" s="1008">
        <f>+VLOOKUP(Data_Validation!$A796,BV_Data_An_Cour!$L:$Q,6,0)</f>
        <v>0</v>
      </c>
      <c r="H796" s="188"/>
    </row>
    <row r="797" spans="1:8" ht="15" customHeight="1">
      <c r="A797" s="167"/>
      <c r="B797" s="166"/>
      <c r="C797" s="956"/>
      <c r="D797" s="956"/>
      <c r="E797" s="1008"/>
      <c r="F797" s="1009"/>
      <c r="G797" s="1008">
        <f>+VLOOKUP(Data_Validation!$A797,BV_Data_An_Cour!$L:$Q,6,0)</f>
        <v>0</v>
      </c>
      <c r="H797" s="188"/>
    </row>
    <row r="798" spans="1:8" ht="15" customHeight="1">
      <c r="A798" s="167"/>
      <c r="B798" s="166"/>
      <c r="C798" s="956"/>
      <c r="D798" s="956"/>
      <c r="E798" s="1008"/>
      <c r="F798" s="1009"/>
      <c r="G798" s="1008">
        <f>+VLOOKUP(Data_Validation!$A798,BV_Data_An_Cour!$L:$Q,6,0)</f>
        <v>0</v>
      </c>
      <c r="H798" s="188"/>
    </row>
    <row r="799" spans="1:8" ht="15" customHeight="1">
      <c r="A799" s="167"/>
      <c r="B799" s="166"/>
      <c r="C799" s="956"/>
      <c r="D799" s="956"/>
      <c r="E799" s="1008"/>
      <c r="F799" s="1009"/>
      <c r="G799" s="1008">
        <f>+VLOOKUP(Data_Validation!$A799,BV_Data_An_Cour!$L:$Q,6,0)</f>
        <v>0</v>
      </c>
      <c r="H799" s="188"/>
    </row>
    <row r="800" spans="1:8" ht="15" customHeight="1">
      <c r="A800" s="167"/>
      <c r="B800" s="166"/>
      <c r="C800" s="956"/>
      <c r="D800" s="956"/>
      <c r="E800" s="1008"/>
      <c r="F800" s="1009"/>
      <c r="G800" s="1008">
        <f>+VLOOKUP(Data_Validation!$A800,BV_Data_An_Cour!$L:$Q,6,0)</f>
        <v>0</v>
      </c>
      <c r="H800" s="188"/>
    </row>
    <row r="801" spans="1:29" ht="15" customHeight="1">
      <c r="A801" s="167"/>
      <c r="B801" s="166"/>
      <c r="C801" s="956"/>
      <c r="D801" s="956"/>
      <c r="E801" s="1008"/>
      <c r="F801" s="1009"/>
      <c r="G801" s="1008">
        <f>+VLOOKUP(Data_Validation!$A801,BV_Data_An_Cour!$L:$Q,6,0)</f>
        <v>0</v>
      </c>
      <c r="H801" s="188"/>
    </row>
    <row r="802" spans="1:29" ht="15" customHeight="1">
      <c r="A802" s="167"/>
      <c r="B802" s="166"/>
      <c r="C802" s="956"/>
      <c r="D802" s="956"/>
      <c r="E802" s="1008"/>
      <c r="F802" s="1009"/>
      <c r="G802" s="1008">
        <f>+VLOOKUP(Data_Validation!$A802,BV_Data_An_Cour!$L:$Q,6,0)</f>
        <v>0</v>
      </c>
      <c r="H802" s="188"/>
    </row>
    <row r="803" spans="1:29" ht="15" customHeight="1">
      <c r="A803" s="167"/>
      <c r="B803" s="166"/>
      <c r="C803" s="956"/>
      <c r="D803" s="956"/>
      <c r="E803" s="1008"/>
      <c r="F803" s="1009"/>
      <c r="G803" s="1008">
        <f>+VLOOKUP(Data_Validation!$A803,BV_Data_An_Cour!$L:$Q,6,0)</f>
        <v>0</v>
      </c>
      <c r="H803" s="188"/>
    </row>
    <row r="804" spans="1:29" ht="15" customHeight="1">
      <c r="A804" s="167"/>
      <c r="B804" s="166"/>
      <c r="C804" s="956"/>
      <c r="D804" s="956"/>
      <c r="E804" s="1008"/>
      <c r="F804" s="1009"/>
      <c r="G804" s="1008">
        <f>+VLOOKUP(Data_Validation!$A804,BV_Data_An_Cour!$L:$Q,6,0)</f>
        <v>0</v>
      </c>
      <c r="H804" s="188"/>
      <c r="K804" s="2"/>
    </row>
    <row r="805" spans="1:29" ht="15" customHeight="1">
      <c r="A805" s="167"/>
      <c r="B805" s="166"/>
      <c r="C805" s="956"/>
      <c r="D805" s="956"/>
      <c r="E805" s="1008"/>
      <c r="F805" s="1009"/>
      <c r="G805" s="1008">
        <f>+VLOOKUP(Data_Validation!$A805,BV_Data_An_Cour!$L:$Q,6,0)</f>
        <v>0</v>
      </c>
      <c r="H805" s="188"/>
      <c r="K805" s="2"/>
    </row>
    <row r="806" spans="1:29" ht="15" customHeight="1">
      <c r="A806" s="166"/>
      <c r="B806" s="166"/>
      <c r="C806" s="956"/>
      <c r="D806" s="956"/>
      <c r="E806" s="1008"/>
      <c r="F806" s="1009"/>
      <c r="G806" s="1008">
        <f>+VLOOKUP(Data_Validation!$A806,BV_Data_An_Cour!$L:$Q,6,0)</f>
        <v>0</v>
      </c>
      <c r="H806" s="188"/>
    </row>
    <row r="807" spans="1:29" ht="15" customHeight="1">
      <c r="A807" s="167"/>
      <c r="B807" s="166"/>
      <c r="C807" s="956"/>
      <c r="D807" s="956"/>
      <c r="E807" s="1008"/>
      <c r="F807" s="1009"/>
      <c r="G807" s="1008">
        <f>+VLOOKUP(Data_Validation!$A807,BV_Data_An_Cour!$L:$Q,6,0)</f>
        <v>0</v>
      </c>
      <c r="H807" s="188"/>
    </row>
    <row r="808" spans="1:29" ht="15" customHeight="1">
      <c r="A808" s="167"/>
      <c r="B808" s="166"/>
      <c r="C808" s="956"/>
      <c r="D808" s="956"/>
      <c r="E808" s="1008"/>
      <c r="F808" s="1009"/>
      <c r="G808" s="1008">
        <f>+VLOOKUP(Data_Validation!$A808,BV_Data_An_Cour!$L:$Q,6,0)</f>
        <v>0</v>
      </c>
      <c r="H808" s="188"/>
    </row>
    <row r="809" spans="1:29" ht="15" customHeight="1">
      <c r="A809" s="167"/>
      <c r="B809" s="166"/>
      <c r="C809" s="956"/>
      <c r="D809" s="956"/>
      <c r="E809" s="1008"/>
      <c r="F809" s="1009"/>
      <c r="G809" s="1008">
        <f>+VLOOKUP(Data_Validation!$A809,BV_Data_An_Cour!$L:$Q,6,0)</f>
        <v>0</v>
      </c>
      <c r="H809" s="188"/>
      <c r="I809" s="2"/>
      <c r="J809" s="2"/>
      <c r="L809" s="2"/>
      <c r="M809" s="2"/>
      <c r="N809" s="2"/>
      <c r="O809" s="2"/>
      <c r="P809" s="2"/>
      <c r="Q809" s="2"/>
      <c r="R809" s="2"/>
      <c r="S809" s="2"/>
      <c r="T809" s="2"/>
      <c r="U809" s="2"/>
      <c r="V809" s="2"/>
      <c r="W809" s="2"/>
      <c r="X809" s="2"/>
      <c r="Y809" s="2"/>
      <c r="Z809" s="2"/>
      <c r="AA809" s="2"/>
      <c r="AB809" s="2"/>
      <c r="AC809" s="2"/>
    </row>
    <row r="810" spans="1:29" ht="15" customHeight="1">
      <c r="A810" s="167"/>
      <c r="B810" s="166"/>
      <c r="C810" s="956"/>
      <c r="D810" s="956"/>
      <c r="E810" s="1008"/>
      <c r="F810" s="1009"/>
      <c r="G810" s="1008">
        <f>+VLOOKUP(Data_Validation!$A810,BV_Data_An_Cour!$L:$Q,6,0)</f>
        <v>0</v>
      </c>
      <c r="H810" s="188"/>
    </row>
    <row r="811" spans="1:29" ht="15" customHeight="1">
      <c r="A811" s="167"/>
      <c r="B811" s="166"/>
      <c r="C811" s="956"/>
      <c r="D811" s="956"/>
      <c r="E811" s="1008"/>
      <c r="F811" s="1009"/>
      <c r="G811" s="1008">
        <f>+VLOOKUP(Data_Validation!$A811,BV_Data_An_Cour!$L:$Q,6,0)</f>
        <v>0</v>
      </c>
      <c r="H811" s="188"/>
      <c r="K811" s="2"/>
    </row>
    <row r="812" spans="1:29" ht="15" customHeight="1">
      <c r="A812" s="167"/>
      <c r="B812" s="166"/>
      <c r="C812" s="956"/>
      <c r="D812" s="956"/>
      <c r="E812" s="1008"/>
      <c r="F812" s="1009"/>
      <c r="G812" s="1008">
        <f>+VLOOKUP(Data_Validation!$A812,BV_Data_An_Cour!$L:$Q,6,0)</f>
        <v>0</v>
      </c>
      <c r="H812" s="188"/>
    </row>
    <row r="813" spans="1:29" ht="15" customHeight="1">
      <c r="A813" s="167"/>
      <c r="B813" s="166"/>
      <c r="C813" s="956"/>
      <c r="D813" s="956"/>
      <c r="E813" s="1008"/>
      <c r="F813" s="1009"/>
      <c r="G813" s="1008">
        <f>+VLOOKUP(Data_Validation!$A813,BV_Data_An_Cour!$L:$Q,6,0)</f>
        <v>0</v>
      </c>
      <c r="H813" s="188"/>
    </row>
    <row r="814" spans="1:29" ht="15" customHeight="1">
      <c r="A814" s="167"/>
      <c r="B814" s="166"/>
      <c r="C814" s="956"/>
      <c r="D814" s="956"/>
      <c r="E814" s="1008"/>
      <c r="F814" s="1009"/>
      <c r="G814" s="1008">
        <f>+VLOOKUP(Data_Validation!$A814,BV_Data_An_Cour!$L:$Q,6,0)</f>
        <v>0</v>
      </c>
      <c r="H814" s="188"/>
    </row>
    <row r="815" spans="1:29" ht="15" customHeight="1">
      <c r="A815" s="167"/>
      <c r="B815" s="166"/>
      <c r="C815" s="956"/>
      <c r="D815" s="956"/>
      <c r="E815" s="1008"/>
      <c r="F815" s="1009"/>
      <c r="G815" s="1008">
        <f>+VLOOKUP(Data_Validation!$A815,BV_Data_An_Cour!$L:$Q,6,0)</f>
        <v>0</v>
      </c>
      <c r="H815" s="188"/>
    </row>
    <row r="816" spans="1:29" ht="15" customHeight="1">
      <c r="A816" s="167"/>
      <c r="B816" s="166"/>
      <c r="C816" s="956"/>
      <c r="D816" s="956"/>
      <c r="E816" s="1008"/>
      <c r="F816" s="1009"/>
      <c r="G816" s="1008">
        <f>+VLOOKUP(Data_Validation!$A816,BV_Data_An_Cour!$L:$Q,6,0)</f>
        <v>0</v>
      </c>
      <c r="H816" s="188"/>
      <c r="K816" s="2"/>
    </row>
    <row r="817" spans="1:8" ht="15" customHeight="1">
      <c r="A817" s="166"/>
      <c r="B817" s="166"/>
      <c r="C817" s="956"/>
      <c r="D817" s="956"/>
      <c r="E817" s="1008"/>
      <c r="F817" s="1009"/>
      <c r="G817" s="1008">
        <f>+VLOOKUP(Data_Validation!$A817,BV_Data_An_Cour!$L:$Q,6,0)</f>
        <v>0</v>
      </c>
      <c r="H817" s="188"/>
    </row>
    <row r="818" spans="1:8" ht="15" customHeight="1">
      <c r="A818" s="166"/>
      <c r="B818" s="166"/>
      <c r="C818" s="956"/>
      <c r="D818" s="956"/>
      <c r="E818" s="1008"/>
      <c r="F818" s="1009"/>
      <c r="G818" s="1008">
        <f>+VLOOKUP(Data_Validation!$A818,BV_Data_An_Cour!$L:$Q,6,0)</f>
        <v>0</v>
      </c>
      <c r="H818" s="188"/>
    </row>
    <row r="819" spans="1:8" ht="15" customHeight="1">
      <c r="A819" s="167"/>
      <c r="B819" s="166"/>
      <c r="C819" s="956"/>
      <c r="D819" s="956"/>
      <c r="E819" s="1008"/>
      <c r="F819" s="1009"/>
      <c r="G819" s="1008">
        <f>+VLOOKUP(Data_Validation!$A819,BV_Data_An_Cour!$L:$Q,6,0)</f>
        <v>0</v>
      </c>
      <c r="H819" s="188"/>
    </row>
    <row r="820" spans="1:8" ht="15" customHeight="1">
      <c r="A820" s="167"/>
      <c r="B820" s="166"/>
      <c r="C820" s="956"/>
      <c r="D820" s="956"/>
      <c r="E820" s="1008"/>
      <c r="F820" s="1009"/>
      <c r="G820" s="1008">
        <f>+VLOOKUP(Data_Validation!$A820,BV_Data_An_Cour!$L:$Q,6,0)</f>
        <v>0</v>
      </c>
      <c r="H820" s="188"/>
    </row>
    <row r="821" spans="1:8" ht="15" customHeight="1">
      <c r="A821" s="167"/>
      <c r="B821" s="166"/>
      <c r="C821" s="956"/>
      <c r="D821" s="956"/>
      <c r="E821" s="1008"/>
      <c r="F821" s="1009"/>
      <c r="G821" s="1008">
        <f>+VLOOKUP(Data_Validation!$A821,BV_Data_An_Cour!$L:$Q,6,0)</f>
        <v>0</v>
      </c>
      <c r="H821" s="188"/>
    </row>
    <row r="822" spans="1:8" ht="15" customHeight="1">
      <c r="A822" s="167"/>
      <c r="B822" s="166"/>
      <c r="C822" s="956"/>
      <c r="D822" s="956"/>
      <c r="E822" s="1008"/>
      <c r="F822" s="1009"/>
      <c r="G822" s="1008">
        <f>+VLOOKUP(Data_Validation!$A822,BV_Data_An_Cour!$L:$Q,6,0)</f>
        <v>0</v>
      </c>
      <c r="H822" s="188"/>
    </row>
    <row r="823" spans="1:8" ht="15" customHeight="1">
      <c r="A823" s="167"/>
      <c r="B823" s="166"/>
      <c r="C823" s="956"/>
      <c r="D823" s="956"/>
      <c r="E823" s="1008"/>
      <c r="F823" s="1009"/>
      <c r="G823" s="1008">
        <f>+VLOOKUP(Data_Validation!$A823,BV_Data_An_Cour!$L:$Q,6,0)</f>
        <v>0</v>
      </c>
      <c r="H823" s="188"/>
    </row>
    <row r="824" spans="1:8" ht="15" customHeight="1">
      <c r="A824" s="167"/>
      <c r="B824" s="166"/>
      <c r="C824" s="956"/>
      <c r="D824" s="956"/>
      <c r="E824" s="1008"/>
      <c r="F824" s="1009"/>
      <c r="G824" s="1008">
        <f>+VLOOKUP(Data_Validation!$A824,BV_Data_An_Cour!$L:$Q,6,0)</f>
        <v>0</v>
      </c>
      <c r="H824" s="188"/>
    </row>
    <row r="825" spans="1:8" ht="15" customHeight="1">
      <c r="A825" s="167"/>
      <c r="B825" s="166"/>
      <c r="C825" s="956"/>
      <c r="D825" s="956"/>
      <c r="E825" s="1008"/>
      <c r="F825" s="1009"/>
      <c r="G825" s="1008">
        <f>+VLOOKUP(Data_Validation!$A825,BV_Data_An_Cour!$L:$Q,6,0)</f>
        <v>0</v>
      </c>
      <c r="H825" s="188"/>
    </row>
    <row r="826" spans="1:8" ht="15" customHeight="1">
      <c r="A826" s="167"/>
      <c r="B826" s="166"/>
      <c r="C826" s="956"/>
      <c r="D826" s="956"/>
      <c r="E826" s="1008"/>
      <c r="F826" s="1009"/>
      <c r="G826" s="1008">
        <f>+VLOOKUP(Data_Validation!$A826,BV_Data_An_Cour!$L:$Q,6,0)</f>
        <v>0</v>
      </c>
      <c r="H826" s="188"/>
    </row>
    <row r="827" spans="1:8" ht="15" customHeight="1">
      <c r="A827" s="167"/>
      <c r="B827" s="166"/>
      <c r="C827" s="956"/>
      <c r="D827" s="956"/>
      <c r="E827" s="1008"/>
      <c r="F827" s="1009"/>
      <c r="G827" s="1008">
        <f>+VLOOKUP(Data_Validation!$A827,BV_Data_An_Cour!$L:$Q,6,0)</f>
        <v>0</v>
      </c>
      <c r="H827" s="188"/>
    </row>
    <row r="828" spans="1:8" ht="15" customHeight="1">
      <c r="A828" s="167"/>
      <c r="B828" s="166"/>
      <c r="C828" s="956"/>
      <c r="D828" s="956"/>
      <c r="E828" s="1008"/>
      <c r="F828" s="1009"/>
      <c r="G828" s="1008">
        <f>+VLOOKUP(Data_Validation!$A828,BV_Data_An_Cour!$L:$Q,6,0)</f>
        <v>0</v>
      </c>
      <c r="H828" s="188"/>
    </row>
    <row r="829" spans="1:8" ht="15" customHeight="1">
      <c r="A829" s="167"/>
      <c r="B829" s="166"/>
      <c r="C829" s="956"/>
      <c r="D829" s="956"/>
      <c r="E829" s="1008"/>
      <c r="F829" s="1009"/>
      <c r="G829" s="1008">
        <f>+VLOOKUP(Data_Validation!$A829,BV_Data_An_Cour!$L:$Q,6,0)</f>
        <v>0</v>
      </c>
      <c r="H829" s="188"/>
    </row>
    <row r="830" spans="1:8" ht="15" customHeight="1">
      <c r="A830" s="167"/>
      <c r="B830" s="166"/>
      <c r="C830" s="956"/>
      <c r="D830" s="956"/>
      <c r="E830" s="1008"/>
      <c r="F830" s="1009"/>
      <c r="G830" s="1008">
        <f>+VLOOKUP(Data_Validation!$A830,BV_Data_An_Cour!$L:$Q,6,0)</f>
        <v>0</v>
      </c>
      <c r="H830" s="188"/>
    </row>
    <row r="831" spans="1:8" ht="15" customHeight="1">
      <c r="A831" s="167"/>
      <c r="B831" s="166"/>
      <c r="C831" s="956"/>
      <c r="D831" s="956"/>
      <c r="E831" s="1008"/>
      <c r="F831" s="1009"/>
      <c r="G831" s="1008">
        <f>+VLOOKUP(Data_Validation!$A831,BV_Data_An_Cour!$L:$Q,6,0)</f>
        <v>0</v>
      </c>
      <c r="H831" s="188"/>
    </row>
    <row r="832" spans="1:8" ht="15" customHeight="1">
      <c r="A832" s="167"/>
      <c r="B832" s="166"/>
      <c r="C832" s="956"/>
      <c r="D832" s="956"/>
      <c r="E832" s="1008"/>
      <c r="F832" s="1009"/>
      <c r="G832" s="1008">
        <f>+VLOOKUP(Data_Validation!$A832,BV_Data_An_Cour!$L:$Q,6,0)</f>
        <v>0</v>
      </c>
      <c r="H832" s="188"/>
    </row>
    <row r="833" spans="1:8" ht="15" customHeight="1">
      <c r="A833" s="167"/>
      <c r="B833" s="166"/>
      <c r="C833" s="956"/>
      <c r="D833" s="956"/>
      <c r="E833" s="1008"/>
      <c r="F833" s="1009"/>
      <c r="G833" s="1008">
        <f>+VLOOKUP(Data_Validation!$A833,BV_Data_An_Cour!$L:$Q,6,0)</f>
        <v>0</v>
      </c>
      <c r="H833" s="188"/>
    </row>
    <row r="834" spans="1:8" ht="15" customHeight="1">
      <c r="A834" s="167"/>
      <c r="B834" s="166"/>
      <c r="C834" s="956"/>
      <c r="D834" s="956"/>
      <c r="E834" s="1008"/>
      <c r="F834" s="1009"/>
      <c r="G834" s="1008">
        <f>+VLOOKUP(Data_Validation!$A834,BV_Data_An_Cour!$L:$Q,6,0)</f>
        <v>0</v>
      </c>
      <c r="H834" s="188"/>
    </row>
    <row r="835" spans="1:8" ht="15" customHeight="1">
      <c r="A835" s="167"/>
      <c r="B835" s="166"/>
      <c r="C835" s="956"/>
      <c r="D835" s="956"/>
      <c r="E835" s="1008"/>
      <c r="F835" s="1009"/>
      <c r="G835" s="1008">
        <f>+VLOOKUP(Data_Validation!$A835,BV_Data_An_Cour!$L:$Q,6,0)</f>
        <v>0</v>
      </c>
      <c r="H835" s="188"/>
    </row>
    <row r="836" spans="1:8" ht="15" customHeight="1">
      <c r="A836" s="167"/>
      <c r="B836" s="166"/>
      <c r="C836" s="956"/>
      <c r="D836" s="956"/>
      <c r="E836" s="1008"/>
      <c r="F836" s="1009"/>
      <c r="G836" s="1008">
        <f>+VLOOKUP(Data_Validation!$A836,BV_Data_An_Cour!$L:$Q,6,0)</f>
        <v>0</v>
      </c>
      <c r="H836" s="188"/>
    </row>
    <row r="837" spans="1:8" ht="15" customHeight="1">
      <c r="A837" s="167"/>
      <c r="B837" s="166"/>
      <c r="C837" s="956"/>
      <c r="D837" s="956"/>
      <c r="E837" s="1008"/>
      <c r="F837" s="1009"/>
      <c r="G837" s="1008">
        <f>+VLOOKUP(Data_Validation!$A837,BV_Data_An_Cour!$L:$Q,6,0)</f>
        <v>0</v>
      </c>
      <c r="H837" s="188"/>
    </row>
    <row r="838" spans="1:8" ht="15" customHeight="1">
      <c r="A838" s="167"/>
      <c r="B838" s="166"/>
      <c r="C838" s="956"/>
      <c r="D838" s="956"/>
      <c r="E838" s="1008"/>
      <c r="F838" s="1009"/>
      <c r="G838" s="1008">
        <f>+VLOOKUP(Data_Validation!$A838,BV_Data_An_Cour!$L:$Q,6,0)</f>
        <v>0</v>
      </c>
      <c r="H838" s="188"/>
    </row>
    <row r="839" spans="1:8" ht="15" customHeight="1">
      <c r="A839" s="167"/>
      <c r="B839" s="166"/>
      <c r="C839" s="956"/>
      <c r="D839" s="956"/>
      <c r="E839" s="1008"/>
      <c r="F839" s="1009"/>
      <c r="G839" s="1008">
        <f>+VLOOKUP(Data_Validation!$A839,BV_Data_An_Cour!$L:$Q,6,0)</f>
        <v>0</v>
      </c>
      <c r="H839" s="188"/>
    </row>
    <row r="840" spans="1:8" ht="15" customHeight="1">
      <c r="A840" s="167"/>
      <c r="B840" s="166"/>
      <c r="C840" s="956"/>
      <c r="D840" s="956"/>
      <c r="E840" s="1008"/>
      <c r="F840" s="1009"/>
      <c r="G840" s="1008">
        <f>+VLOOKUP(Data_Validation!$A840,BV_Data_An_Cour!$L:$Q,6,0)</f>
        <v>0</v>
      </c>
      <c r="H840" s="188"/>
    </row>
    <row r="841" spans="1:8" ht="15" customHeight="1">
      <c r="A841" s="168"/>
      <c r="B841" s="169"/>
      <c r="C841" s="956"/>
      <c r="D841" s="956"/>
      <c r="E841" s="1008"/>
      <c r="F841" s="1009"/>
      <c r="G841" s="1008">
        <f>+VLOOKUP(Data_Validation!$A841,BV_Data_An_Cour!$L:$Q,6,0)</f>
        <v>0</v>
      </c>
      <c r="H841" s="188"/>
    </row>
    <row r="842" spans="1:8" ht="15" customHeight="1">
      <c r="A842" s="166"/>
      <c r="B842" s="166"/>
      <c r="C842" s="956"/>
      <c r="D842" s="956"/>
      <c r="E842" s="1008"/>
      <c r="F842" s="1009"/>
      <c r="G842" s="1008">
        <f>+VLOOKUP(Data_Validation!$A842,BV_Data_An_Cour!$L:$Q,6,0)</f>
        <v>0</v>
      </c>
      <c r="H842" s="188"/>
    </row>
    <row r="843" spans="1:8" ht="15" customHeight="1">
      <c r="A843" s="166"/>
      <c r="B843" s="166"/>
      <c r="C843" s="956"/>
      <c r="D843" s="956"/>
      <c r="E843" s="1008"/>
      <c r="F843" s="1009"/>
      <c r="G843" s="1008">
        <f>+VLOOKUP(Data_Validation!$A843,BV_Data_An_Cour!$L:$Q,6,0)</f>
        <v>0</v>
      </c>
      <c r="H843" s="188"/>
    </row>
    <row r="844" spans="1:8" ht="15" customHeight="1">
      <c r="A844" s="167"/>
      <c r="B844" s="166"/>
      <c r="C844" s="956"/>
      <c r="D844" s="956"/>
      <c r="E844" s="1008"/>
      <c r="F844" s="1009"/>
      <c r="G844" s="1008">
        <f>+VLOOKUP(Data_Validation!$A844,BV_Data_An_Cour!$L:$Q,6,0)</f>
        <v>0</v>
      </c>
      <c r="H844" s="188"/>
    </row>
    <row r="845" spans="1:8" ht="15" customHeight="1">
      <c r="A845" s="167"/>
      <c r="B845" s="166"/>
      <c r="C845" s="956"/>
      <c r="D845" s="956"/>
      <c r="E845" s="1008"/>
      <c r="F845" s="1009"/>
      <c r="G845" s="1008">
        <f>+VLOOKUP(Data_Validation!$A845,BV_Data_An_Cour!$L:$Q,6,0)</f>
        <v>0</v>
      </c>
      <c r="H845" s="188"/>
    </row>
    <row r="846" spans="1:8" ht="15" customHeight="1">
      <c r="A846" s="167"/>
      <c r="B846" s="166"/>
      <c r="C846" s="956"/>
      <c r="D846" s="956"/>
      <c r="E846" s="1008"/>
      <c r="F846" s="1009"/>
      <c r="G846" s="1008">
        <f>+VLOOKUP(Data_Validation!$A846,BV_Data_An_Cour!$L:$Q,6,0)</f>
        <v>0</v>
      </c>
      <c r="H846" s="188"/>
    </row>
    <row r="847" spans="1:8" ht="15" customHeight="1">
      <c r="A847" s="167"/>
      <c r="B847" s="166"/>
      <c r="C847" s="956"/>
      <c r="D847" s="956"/>
      <c r="E847" s="1008"/>
      <c r="F847" s="1009"/>
      <c r="G847" s="1008">
        <f>+VLOOKUP(Data_Validation!$A847,BV_Data_An_Cour!$L:$Q,6,0)</f>
        <v>0</v>
      </c>
      <c r="H847" s="188"/>
    </row>
    <row r="848" spans="1:8" ht="15" customHeight="1">
      <c r="A848" s="167"/>
      <c r="B848" s="166"/>
      <c r="C848" s="956"/>
      <c r="D848" s="956"/>
      <c r="E848" s="1008"/>
      <c r="F848" s="1009"/>
      <c r="G848" s="1008">
        <f>+VLOOKUP(Data_Validation!$A848,BV_Data_An_Cour!$L:$Q,6,0)</f>
        <v>0</v>
      </c>
      <c r="H848" s="188"/>
    </row>
    <row r="849" spans="1:29" ht="15" customHeight="1">
      <c r="A849" s="168"/>
      <c r="B849" s="169"/>
      <c r="C849" s="956"/>
      <c r="D849" s="956"/>
      <c r="E849" s="1011"/>
      <c r="F849" s="1011"/>
      <c r="G849" s="1011">
        <f>+VLOOKUP(Data_Validation!$A849,BV_Data_An_Cour!$L:$Q,6,0)</f>
        <v>0</v>
      </c>
    </row>
    <row r="850" spans="1:29" ht="15" customHeight="1">
      <c r="A850" s="167"/>
      <c r="B850" s="166"/>
      <c r="C850" s="956"/>
      <c r="D850" s="956"/>
      <c r="E850" s="1008"/>
      <c r="F850" s="1009"/>
      <c r="G850" s="1008">
        <f>+VLOOKUP(Data_Validation!$A850,BV_Data_An_Cour!$L:$Q,6,0)</f>
        <v>0</v>
      </c>
    </row>
    <row r="851" spans="1:29" ht="15" customHeight="1">
      <c r="A851" s="168"/>
      <c r="B851" s="169"/>
      <c r="C851" s="956"/>
      <c r="D851" s="956"/>
      <c r="E851" s="1011"/>
      <c r="F851" s="1011"/>
      <c r="G851" s="1011">
        <f>+VLOOKUP(Data_Validation!$A851,BV_Data_An_Cour!$L:$Q,6,0)</f>
        <v>0</v>
      </c>
    </row>
    <row r="852" spans="1:29" ht="15" customHeight="1">
      <c r="A852" s="167"/>
      <c r="B852" s="166"/>
      <c r="C852" s="956"/>
      <c r="D852" s="956"/>
      <c r="E852" s="1008"/>
      <c r="F852" s="1009"/>
      <c r="G852" s="1008">
        <f>+VLOOKUP(Data_Validation!$A852,BV_Data_An_Cour!$L:$Q,6,0)</f>
        <v>0</v>
      </c>
    </row>
    <row r="853" spans="1:29" ht="15" customHeight="1">
      <c r="A853" s="167"/>
      <c r="B853" s="166"/>
      <c r="C853" s="956"/>
      <c r="D853" s="956"/>
      <c r="E853" s="1008"/>
      <c r="F853" s="1009"/>
      <c r="G853" s="1008">
        <f>+VLOOKUP(Data_Validation!$A853,BV_Data_An_Cour!$L:$Q,6,0)</f>
        <v>0</v>
      </c>
    </row>
    <row r="854" spans="1:29" ht="15" customHeight="1">
      <c r="A854" s="168"/>
      <c r="B854" s="169"/>
      <c r="C854" s="956"/>
      <c r="D854" s="956"/>
      <c r="E854" s="1011"/>
      <c r="F854" s="1011"/>
      <c r="G854" s="1011">
        <f>+VLOOKUP(Data_Validation!$A854,BV_Data_An_Cour!$L:$Q,6,0)</f>
        <v>0</v>
      </c>
    </row>
    <row r="855" spans="1:29" ht="15" customHeight="1">
      <c r="A855" s="166"/>
      <c r="B855" s="166"/>
      <c r="C855" s="956"/>
      <c r="D855" s="956"/>
      <c r="E855" s="1008"/>
      <c r="F855" s="1009"/>
      <c r="G855" s="1008">
        <f>+VLOOKUP(Data_Validation!$A855,BV_Data_An_Cour!$L:$Q,6,0)</f>
        <v>0</v>
      </c>
    </row>
    <row r="856" spans="1:29" ht="15" customHeight="1">
      <c r="A856" s="168"/>
      <c r="B856" s="169"/>
      <c r="C856" s="956"/>
      <c r="D856" s="956"/>
      <c r="E856" s="1011"/>
      <c r="F856" s="1011"/>
      <c r="G856" s="1011">
        <f>+VLOOKUP(Data_Validation!$A856,BV_Data_An_Cour!$L:$Q,6,0)</f>
        <v>0</v>
      </c>
    </row>
    <row r="857" spans="1:29" ht="15" customHeight="1">
      <c r="A857" s="167"/>
      <c r="B857" s="166"/>
      <c r="C857" s="956"/>
      <c r="D857" s="956"/>
      <c r="E857" s="1008"/>
      <c r="F857" s="1009"/>
      <c r="G857" s="1008">
        <f>+VLOOKUP(Data_Validation!$A857,BV_Data_An_Cour!$L:$Q,6,0)</f>
        <v>0</v>
      </c>
      <c r="I857" s="2"/>
      <c r="J857" s="2"/>
      <c r="L857" s="2"/>
      <c r="M857" s="2"/>
      <c r="N857" s="2"/>
      <c r="O857" s="2"/>
      <c r="P857" s="2"/>
      <c r="Q857" s="2"/>
      <c r="R857" s="2"/>
      <c r="S857" s="2"/>
      <c r="T857" s="2"/>
      <c r="U857" s="2"/>
      <c r="V857" s="2"/>
      <c r="W857" s="2"/>
      <c r="X857" s="2"/>
      <c r="Y857" s="2"/>
      <c r="Z857" s="2"/>
      <c r="AA857" s="2"/>
      <c r="AB857" s="2"/>
      <c r="AC857" s="2"/>
    </row>
    <row r="858" spans="1:29" ht="15" customHeight="1">
      <c r="A858" s="168"/>
      <c r="B858" s="169"/>
      <c r="C858" s="956"/>
      <c r="D858" s="956"/>
      <c r="E858" s="1011"/>
      <c r="F858" s="1011"/>
      <c r="G858" s="1011">
        <f>+VLOOKUP(Data_Validation!$A858,BV_Data_An_Cour!$L:$Q,6,0)</f>
        <v>0</v>
      </c>
    </row>
    <row r="859" spans="1:29" ht="15" customHeight="1">
      <c r="A859" s="167"/>
      <c r="B859" s="166"/>
      <c r="C859" s="956"/>
      <c r="D859" s="956"/>
      <c r="E859" s="1008"/>
      <c r="F859" s="1009"/>
      <c r="G859" s="1008">
        <f>+VLOOKUP(Data_Validation!$A859,BV_Data_An_Cour!$L:$Q,6,0)</f>
        <v>0</v>
      </c>
    </row>
    <row r="860" spans="1:29" ht="15" customHeight="1">
      <c r="A860" s="168"/>
      <c r="B860" s="169"/>
      <c r="C860" s="956"/>
      <c r="D860" s="956"/>
      <c r="E860" s="1011"/>
      <c r="F860" s="1011"/>
      <c r="G860" s="1011">
        <f>+VLOOKUP(Data_Validation!$A860,BV_Data_An_Cour!$L:$Q,6,0)</f>
        <v>0</v>
      </c>
    </row>
    <row r="861" spans="1:29" ht="15" customHeight="1">
      <c r="A861" s="167"/>
      <c r="B861" s="166"/>
      <c r="C861" s="956"/>
      <c r="D861" s="956"/>
      <c r="E861" s="1008"/>
      <c r="F861" s="1009"/>
      <c r="G861" s="1008">
        <f>+VLOOKUP(Data_Validation!$A861,BV_Data_An_Cour!$L:$Q,6,0)</f>
        <v>0</v>
      </c>
    </row>
    <row r="862" spans="1:29" ht="15" customHeight="1">
      <c r="A862" s="168"/>
      <c r="B862" s="169"/>
      <c r="C862" s="956"/>
      <c r="D862" s="956"/>
      <c r="E862" s="1011"/>
      <c r="F862" s="1011"/>
      <c r="G862" s="1011">
        <f>+VLOOKUP(Data_Validation!$A862,BV_Data_An_Cour!$L:$Q,6,0)</f>
        <v>0</v>
      </c>
    </row>
    <row r="863" spans="1:29" ht="15" customHeight="1">
      <c r="A863" s="167"/>
      <c r="B863" s="166"/>
      <c r="C863" s="956"/>
      <c r="D863" s="956"/>
      <c r="E863" s="1008"/>
      <c r="F863" s="1009"/>
      <c r="G863" s="1008">
        <f>+VLOOKUP(Data_Validation!$A863,BV_Data_An_Cour!$L:$Q,6,0)</f>
        <v>0</v>
      </c>
      <c r="H863" s="538"/>
    </row>
    <row r="864" spans="1:29" ht="15" customHeight="1">
      <c r="A864" s="168"/>
      <c r="B864" s="169"/>
      <c r="C864" s="956"/>
      <c r="D864" s="956"/>
      <c r="E864" s="1011"/>
      <c r="F864" s="1011"/>
      <c r="G864" s="1011">
        <f>+VLOOKUP(Data_Validation!$A864,BV_Data_An_Cour!$L:$Q,6,0)</f>
        <v>0</v>
      </c>
      <c r="H864" s="163"/>
    </row>
    <row r="865" spans="1:29" ht="15" customHeight="1">
      <c r="A865" s="166"/>
      <c r="B865" s="166"/>
      <c r="C865" s="956"/>
      <c r="D865" s="956"/>
      <c r="E865" s="1008"/>
      <c r="F865" s="1009"/>
      <c r="G865" s="1008">
        <f>+VLOOKUP(Data_Validation!$A865,BV_Data_An_Cour!$L:$Q,6,0)</f>
        <v>0</v>
      </c>
      <c r="H865" s="163"/>
    </row>
    <row r="866" spans="1:29" ht="15" customHeight="1">
      <c r="A866" s="166"/>
      <c r="B866" s="166"/>
      <c r="C866" s="956"/>
      <c r="D866" s="956"/>
      <c r="E866" s="1008"/>
      <c r="F866" s="1009"/>
      <c r="G866" s="1008">
        <f>+VLOOKUP(Data_Validation!$A866,BV_Data_An_Cour!$L:$Q,6,0)</f>
        <v>0</v>
      </c>
      <c r="H866" s="163"/>
    </row>
    <row r="867" spans="1:29" ht="15" customHeight="1">
      <c r="A867" s="166"/>
      <c r="B867" s="166"/>
      <c r="C867" s="956"/>
      <c r="D867" s="956"/>
      <c r="E867" s="1008"/>
      <c r="F867" s="1009"/>
      <c r="G867" s="1008">
        <f>+VLOOKUP(Data_Validation!$A867,BV_Data_An_Cour!$L:$Q,6,0)</f>
        <v>0</v>
      </c>
      <c r="H867" s="163"/>
    </row>
    <row r="868" spans="1:29" ht="15" customHeight="1">
      <c r="A868" s="166"/>
      <c r="B868" s="166"/>
      <c r="C868" s="956"/>
      <c r="D868" s="956"/>
      <c r="E868" s="1008"/>
      <c r="F868" s="1009"/>
      <c r="G868" s="1008">
        <f>+VLOOKUP(Data_Validation!$A868,BV_Data_An_Cour!$L:$Q,6,0)</f>
        <v>0</v>
      </c>
      <c r="H868" s="165"/>
      <c r="I868" s="2"/>
      <c r="J868" s="2"/>
      <c r="L868" s="2"/>
      <c r="M868" s="2"/>
      <c r="N868" s="2"/>
      <c r="O868" s="2"/>
      <c r="P868" s="2"/>
      <c r="Q868" s="2"/>
      <c r="R868" s="2"/>
      <c r="S868" s="2"/>
      <c r="T868" s="2"/>
      <c r="U868" s="2"/>
      <c r="V868" s="2"/>
      <c r="W868" s="2"/>
      <c r="X868" s="2"/>
      <c r="Y868" s="2"/>
      <c r="Z868" s="2"/>
      <c r="AA868" s="2"/>
      <c r="AB868" s="2"/>
      <c r="AC868" s="2"/>
    </row>
    <row r="869" spans="1:29" ht="15" customHeight="1">
      <c r="A869" s="166"/>
      <c r="B869" s="166"/>
      <c r="C869" s="956"/>
      <c r="D869" s="956"/>
      <c r="E869" s="1008"/>
      <c r="F869" s="1009"/>
      <c r="G869" s="1008">
        <f>+VLOOKUP(Data_Validation!$A869,BV_Data_An_Cour!$L:$Q,6,0)</f>
        <v>0</v>
      </c>
      <c r="H869" s="163"/>
    </row>
    <row r="870" spans="1:29" ht="15" customHeight="1">
      <c r="A870" s="166"/>
      <c r="B870" s="166"/>
      <c r="C870" s="956"/>
      <c r="D870" s="956"/>
      <c r="E870" s="1008"/>
      <c r="F870" s="1009"/>
      <c r="G870" s="1008">
        <f>+VLOOKUP(Data_Validation!$A870,BV_Data_An_Cour!$L:$Q,6,0)</f>
        <v>0</v>
      </c>
      <c r="H870" s="163"/>
    </row>
    <row r="871" spans="1:29" ht="15" customHeight="1">
      <c r="A871" s="167"/>
      <c r="B871" s="171"/>
      <c r="C871" s="956"/>
      <c r="D871" s="956"/>
      <c r="E871" s="1008"/>
      <c r="F871" s="1009"/>
      <c r="G871" s="1008"/>
      <c r="H871" s="163"/>
    </row>
    <row r="872" spans="1:29" ht="15" customHeight="1">
      <c r="A872" s="167"/>
      <c r="B872" s="171"/>
      <c r="C872" s="956"/>
      <c r="D872" s="956"/>
      <c r="E872" s="1008"/>
      <c r="F872" s="1009"/>
      <c r="G872" s="1008"/>
      <c r="H872" s="163"/>
    </row>
    <row r="873" spans="1:29" ht="15" customHeight="1">
      <c r="A873" s="167"/>
      <c r="B873" s="171"/>
      <c r="C873" s="956"/>
      <c r="D873" s="956"/>
      <c r="E873" s="1008"/>
      <c r="F873" s="1009"/>
      <c r="G873" s="1008"/>
      <c r="H873" s="163"/>
    </row>
    <row r="874" spans="1:29" ht="15" customHeight="1">
      <c r="A874" s="167"/>
      <c r="B874" s="171"/>
      <c r="C874" s="956"/>
      <c r="D874" s="956"/>
      <c r="E874" s="1008"/>
      <c r="F874" s="1009"/>
      <c r="G874" s="1008"/>
      <c r="H874" s="165"/>
      <c r="I874" s="2"/>
      <c r="J874" s="2"/>
      <c r="L874" s="2"/>
      <c r="M874" s="2"/>
      <c r="N874" s="2"/>
      <c r="O874" s="2"/>
      <c r="P874" s="2"/>
      <c r="Q874" s="2"/>
      <c r="R874" s="2"/>
      <c r="S874" s="2"/>
      <c r="T874" s="2"/>
      <c r="U874" s="2"/>
      <c r="V874" s="2"/>
      <c r="W874" s="2"/>
      <c r="X874" s="2"/>
      <c r="Y874" s="2"/>
      <c r="Z874" s="2"/>
      <c r="AA874" s="2"/>
      <c r="AB874" s="2"/>
      <c r="AC874" s="2"/>
    </row>
    <row r="875" spans="1:29" ht="15" customHeight="1">
      <c r="A875" s="167"/>
      <c r="B875" s="171"/>
      <c r="C875" s="956"/>
      <c r="D875" s="956"/>
      <c r="E875" s="1008"/>
      <c r="F875" s="1009"/>
      <c r="G875" s="1008"/>
      <c r="H875" s="163"/>
    </row>
    <row r="876" spans="1:29" ht="15" customHeight="1">
      <c r="A876" s="167"/>
      <c r="B876" s="171"/>
      <c r="C876" s="956"/>
      <c r="D876" s="956"/>
      <c r="E876" s="1008"/>
      <c r="F876" s="1009"/>
      <c r="G876" s="1008"/>
      <c r="H876" s="163"/>
    </row>
    <row r="877" spans="1:29" ht="15" customHeight="1">
      <c r="A877" s="167"/>
      <c r="B877" s="171"/>
      <c r="C877" s="956"/>
      <c r="D877" s="956"/>
      <c r="E877" s="1008"/>
      <c r="F877" s="1009"/>
      <c r="G877" s="1008"/>
      <c r="H877" s="165"/>
      <c r="I877" s="2"/>
      <c r="J877" s="2"/>
      <c r="L877" s="2"/>
      <c r="M877" s="2"/>
      <c r="N877" s="2"/>
      <c r="O877" s="2"/>
      <c r="P877" s="2"/>
      <c r="Q877" s="2"/>
      <c r="R877" s="2"/>
      <c r="S877" s="2"/>
      <c r="T877" s="2"/>
      <c r="U877" s="2"/>
      <c r="V877" s="2"/>
      <c r="W877" s="2"/>
      <c r="X877" s="2"/>
      <c r="Y877" s="2"/>
      <c r="Z877" s="2"/>
      <c r="AA877" s="2"/>
      <c r="AB877" s="2"/>
      <c r="AC877" s="2"/>
    </row>
    <row r="878" spans="1:29" ht="15" customHeight="1">
      <c r="A878" s="1028"/>
      <c r="B878" s="1021"/>
      <c r="C878" s="1022"/>
      <c r="D878" s="956"/>
      <c r="E878" s="1008"/>
      <c r="F878" s="1009"/>
      <c r="G878" s="1008"/>
      <c r="H878" s="163"/>
    </row>
    <row r="879" spans="1:29" ht="15" customHeight="1">
      <c r="A879" s="167"/>
      <c r="B879" s="171"/>
      <c r="C879" s="956"/>
      <c r="D879" s="956"/>
      <c r="E879" s="1008"/>
      <c r="F879" s="1009"/>
      <c r="G879" s="1008"/>
      <c r="H879" s="163"/>
    </row>
    <row r="880" spans="1:29" ht="15" customHeight="1">
      <c r="A880" s="167"/>
      <c r="B880" s="171"/>
      <c r="C880" s="956"/>
      <c r="D880" s="956"/>
      <c r="E880" s="1008"/>
      <c r="F880" s="1009"/>
      <c r="G880" s="1008"/>
      <c r="H880" s="163"/>
    </row>
    <row r="881" spans="1:8" ht="15" customHeight="1">
      <c r="A881" s="167"/>
      <c r="B881" s="171"/>
      <c r="C881" s="956"/>
      <c r="D881" s="956"/>
      <c r="E881" s="1008"/>
      <c r="F881" s="1009"/>
      <c r="G881" s="1008"/>
      <c r="H881" s="163"/>
    </row>
    <row r="882" spans="1:8" ht="15" customHeight="1">
      <c r="A882" s="167"/>
      <c r="B882" s="171"/>
      <c r="C882" s="956"/>
      <c r="D882" s="956"/>
      <c r="E882" s="1008"/>
      <c r="F882" s="1009"/>
      <c r="G882" s="1008"/>
      <c r="H882" s="163"/>
    </row>
    <row r="883" spans="1:8" ht="15" customHeight="1">
      <c r="A883" s="167"/>
      <c r="B883" s="171"/>
      <c r="C883" s="956"/>
      <c r="D883" s="956"/>
      <c r="E883" s="1008"/>
      <c r="F883" s="1009"/>
      <c r="G883" s="1008"/>
      <c r="H883" s="163"/>
    </row>
    <row r="884" spans="1:8" ht="15" customHeight="1">
      <c r="A884" s="167"/>
      <c r="B884" s="171"/>
      <c r="C884" s="956"/>
      <c r="D884" s="956"/>
      <c r="E884" s="1008"/>
      <c r="F884" s="1009"/>
      <c r="G884" s="1008"/>
      <c r="H884" s="163"/>
    </row>
    <row r="885" spans="1:8" ht="15" customHeight="1">
      <c r="A885" s="167"/>
      <c r="B885" s="171"/>
      <c r="C885" s="956"/>
      <c r="D885" s="956"/>
      <c r="E885" s="1008"/>
      <c r="F885" s="1009"/>
      <c r="G885" s="1008"/>
      <c r="H885" s="163"/>
    </row>
    <row r="886" spans="1:8" ht="15" customHeight="1">
      <c r="A886" s="167"/>
      <c r="B886" s="171"/>
      <c r="C886" s="956"/>
      <c r="D886" s="956"/>
      <c r="E886" s="1008"/>
      <c r="F886" s="1009"/>
      <c r="G886" s="1008"/>
      <c r="H886" s="163"/>
    </row>
    <row r="887" spans="1:8" ht="15" customHeight="1">
      <c r="A887" s="167"/>
      <c r="B887" s="171"/>
      <c r="C887" s="956"/>
      <c r="D887" s="956"/>
      <c r="E887" s="1008"/>
      <c r="F887" s="1009"/>
      <c r="G887" s="1008"/>
      <c r="H887" s="163"/>
    </row>
    <row r="888" spans="1:8" ht="15" customHeight="1">
      <c r="A888" s="167"/>
      <c r="B888" s="171"/>
      <c r="C888" s="956"/>
      <c r="D888" s="956"/>
      <c r="E888" s="1008"/>
      <c r="F888" s="1009"/>
      <c r="G888" s="1008"/>
      <c r="H888" s="163"/>
    </row>
    <row r="889" spans="1:8" ht="15" customHeight="1">
      <c r="A889" s="167"/>
      <c r="B889" s="171"/>
      <c r="C889" s="956"/>
      <c r="D889" s="956"/>
      <c r="E889" s="1008"/>
      <c r="F889" s="1009"/>
      <c r="G889" s="1008"/>
      <c r="H889" s="163"/>
    </row>
    <row r="890" spans="1:8" ht="15" customHeight="1">
      <c r="A890" s="964"/>
      <c r="B890" s="171"/>
      <c r="C890" s="956"/>
      <c r="D890" s="956"/>
      <c r="E890" s="1008"/>
      <c r="F890" s="1009"/>
      <c r="G890" s="1008"/>
      <c r="H890" s="163"/>
    </row>
    <row r="891" spans="1:8" ht="15" customHeight="1">
      <c r="A891" s="964"/>
      <c r="B891" s="171"/>
      <c r="C891" s="956"/>
      <c r="D891" s="956"/>
      <c r="E891" s="1008"/>
      <c r="F891" s="1009"/>
      <c r="G891" s="1008"/>
      <c r="H891" s="163"/>
    </row>
    <row r="892" spans="1:8" ht="15" customHeight="1">
      <c r="A892" s="167"/>
      <c r="B892" s="171"/>
      <c r="C892" s="956"/>
      <c r="D892" s="956"/>
      <c r="E892" s="1008"/>
      <c r="F892" s="1009"/>
      <c r="G892" s="1008"/>
      <c r="H892" s="163"/>
    </row>
    <row r="893" spans="1:8" ht="15" customHeight="1">
      <c r="A893" s="167"/>
      <c r="B893" s="171"/>
      <c r="C893" s="956"/>
      <c r="D893" s="956"/>
      <c r="E893" s="1008"/>
      <c r="F893" s="1009"/>
      <c r="G893" s="1008"/>
      <c r="H893" s="163"/>
    </row>
    <row r="894" spans="1:8" ht="15" customHeight="1">
      <c r="A894" s="167"/>
      <c r="B894" s="171"/>
      <c r="C894" s="956"/>
      <c r="D894" s="956"/>
      <c r="E894" s="1008"/>
      <c r="F894" s="1009"/>
      <c r="G894" s="1008"/>
      <c r="H894" s="163"/>
    </row>
    <row r="895" spans="1:8" ht="15" customHeight="1">
      <c r="A895" s="965"/>
      <c r="B895" s="1031"/>
      <c r="C895" s="956"/>
      <c r="D895" s="956"/>
      <c r="E895" s="1008"/>
      <c r="F895" s="1009"/>
      <c r="G895" s="1008"/>
      <c r="H895" s="163"/>
    </row>
    <row r="896" spans="1:8" ht="15" customHeight="1">
      <c r="A896" s="167"/>
      <c r="B896" s="171"/>
      <c r="C896" s="956"/>
      <c r="D896" s="956"/>
      <c r="E896" s="1008"/>
      <c r="F896" s="1009"/>
      <c r="G896" s="1008"/>
      <c r="H896" s="163"/>
    </row>
    <row r="897" spans="1:11" ht="15" customHeight="1">
      <c r="A897" s="167"/>
      <c r="B897" s="171"/>
      <c r="C897" s="956"/>
      <c r="D897" s="956"/>
      <c r="E897" s="1008"/>
      <c r="F897" s="1009"/>
      <c r="G897" s="1008"/>
      <c r="H897" s="163"/>
    </row>
    <row r="898" spans="1:11" ht="15" customHeight="1">
      <c r="A898" s="167"/>
      <c r="B898" s="171"/>
      <c r="C898" s="956"/>
      <c r="D898" s="956"/>
      <c r="E898" s="1008"/>
      <c r="F898" s="1009"/>
      <c r="G898" s="1008"/>
      <c r="H898" s="163"/>
    </row>
    <row r="899" spans="1:11" ht="15" customHeight="1">
      <c r="A899" s="167"/>
      <c r="B899" s="171"/>
      <c r="C899" s="956"/>
      <c r="D899" s="956"/>
      <c r="E899" s="1008"/>
      <c r="F899" s="1009"/>
      <c r="G899" s="1008"/>
      <c r="H899" s="163"/>
    </row>
    <row r="900" spans="1:11" ht="15" customHeight="1">
      <c r="A900" s="167"/>
      <c r="B900" s="171"/>
      <c r="C900" s="956"/>
      <c r="D900" s="956"/>
      <c r="E900" s="1008"/>
      <c r="F900" s="1009"/>
      <c r="G900" s="1008"/>
      <c r="H900" s="163"/>
    </row>
    <row r="901" spans="1:11" ht="15" customHeight="1">
      <c r="A901" s="167"/>
      <c r="B901" s="171"/>
      <c r="C901" s="956"/>
      <c r="D901" s="956"/>
      <c r="E901" s="1008"/>
      <c r="F901" s="1009"/>
      <c r="G901" s="1008"/>
      <c r="H901" s="163"/>
    </row>
    <row r="902" spans="1:11" ht="15" customHeight="1">
      <c r="A902" s="167"/>
      <c r="B902" s="171"/>
      <c r="C902" s="956"/>
      <c r="D902" s="956"/>
      <c r="E902" s="1008"/>
      <c r="F902" s="1009"/>
      <c r="G902" s="1008"/>
      <c r="H902" s="163"/>
    </row>
    <row r="903" spans="1:11" ht="15" customHeight="1">
      <c r="A903" s="167"/>
      <c r="B903" s="171"/>
      <c r="C903" s="956"/>
      <c r="D903" s="956"/>
      <c r="E903" s="1008"/>
      <c r="F903" s="1009"/>
      <c r="G903" s="1008"/>
      <c r="H903" s="163"/>
    </row>
    <row r="904" spans="1:11" ht="15" customHeight="1">
      <c r="A904" s="167"/>
      <c r="B904" s="171"/>
      <c r="C904" s="956"/>
      <c r="D904" s="956"/>
      <c r="E904" s="1008"/>
      <c r="F904" s="1009"/>
      <c r="G904" s="1008"/>
      <c r="H904" s="163"/>
    </row>
    <row r="905" spans="1:11" ht="15" customHeight="1">
      <c r="A905" s="167"/>
      <c r="B905" s="956"/>
      <c r="C905" s="956"/>
      <c r="D905" s="956"/>
      <c r="E905" s="1008"/>
      <c r="F905" s="1009"/>
      <c r="G905" s="1008"/>
      <c r="H905" s="163"/>
    </row>
    <row r="906" spans="1:11" ht="15" customHeight="1">
      <c r="A906" s="167"/>
      <c r="B906" s="171"/>
      <c r="C906" s="956"/>
      <c r="D906" s="956"/>
      <c r="E906" s="1008"/>
      <c r="F906" s="1009"/>
      <c r="G906" s="1008"/>
      <c r="H906" s="163"/>
    </row>
    <row r="907" spans="1:11" ht="15" customHeight="1">
      <c r="A907" s="167"/>
      <c r="B907" s="171"/>
      <c r="C907" s="956"/>
      <c r="D907" s="956"/>
      <c r="E907" s="1008"/>
      <c r="F907" s="1009"/>
      <c r="G907" s="1008"/>
      <c r="H907" s="163"/>
    </row>
    <row r="908" spans="1:11" ht="15" customHeight="1">
      <c r="A908" s="167"/>
      <c r="B908" s="171"/>
      <c r="C908" s="956"/>
      <c r="D908" s="956"/>
      <c r="E908" s="1008"/>
      <c r="F908" s="1009"/>
      <c r="G908" s="1008"/>
      <c r="H908" s="163"/>
      <c r="K908" s="2"/>
    </row>
    <row r="909" spans="1:11" ht="15" customHeight="1">
      <c r="A909" s="167"/>
      <c r="B909" s="171"/>
      <c r="C909" s="956"/>
      <c r="D909" s="956"/>
      <c r="E909" s="1008"/>
      <c r="F909" s="1009"/>
      <c r="G909" s="1008"/>
      <c r="H909" s="163"/>
    </row>
    <row r="910" spans="1:11" ht="15" customHeight="1">
      <c r="A910" s="167"/>
      <c r="B910" s="171"/>
      <c r="C910" s="956"/>
      <c r="D910" s="956"/>
      <c r="E910" s="1008"/>
      <c r="F910" s="1009"/>
      <c r="G910" s="1008"/>
      <c r="H910" s="163"/>
    </row>
    <row r="911" spans="1:11" ht="15" customHeight="1">
      <c r="A911" s="167"/>
      <c r="B911" s="171"/>
      <c r="C911" s="956"/>
      <c r="D911" s="956"/>
      <c r="E911" s="1008"/>
      <c r="F911" s="1009"/>
      <c r="G911" s="1008"/>
      <c r="H911" s="163"/>
    </row>
    <row r="912" spans="1:11" ht="15" customHeight="1">
      <c r="A912" s="167"/>
      <c r="B912" s="171"/>
      <c r="C912" s="956"/>
      <c r="D912" s="956"/>
      <c r="E912" s="1008"/>
      <c r="F912" s="1009"/>
      <c r="G912" s="1008"/>
      <c r="H912" s="163"/>
    </row>
    <row r="913" spans="1:11" ht="15" customHeight="1">
      <c r="A913" s="167"/>
      <c r="B913" s="171"/>
      <c r="C913" s="956"/>
      <c r="D913" s="956"/>
      <c r="E913" s="1008"/>
      <c r="F913" s="1009"/>
      <c r="G913" s="1008"/>
      <c r="H913" s="163"/>
    </row>
    <row r="914" spans="1:11" ht="15" customHeight="1">
      <c r="A914" s="167"/>
      <c r="B914" s="171"/>
      <c r="C914" s="956"/>
      <c r="D914" s="956"/>
      <c r="E914" s="1008"/>
      <c r="F914" s="1009"/>
      <c r="G914" s="1008"/>
      <c r="H914" s="163"/>
    </row>
    <row r="915" spans="1:11" ht="15" customHeight="1">
      <c r="A915" s="167"/>
      <c r="B915" s="171"/>
      <c r="C915" s="956"/>
      <c r="D915" s="956"/>
      <c r="E915" s="1008"/>
      <c r="F915" s="1009"/>
      <c r="G915" s="1008"/>
      <c r="H915" s="163"/>
    </row>
    <row r="916" spans="1:11" ht="15" customHeight="1">
      <c r="A916" s="167"/>
      <c r="B916" s="171"/>
      <c r="C916" s="956"/>
      <c r="D916" s="956"/>
      <c r="E916" s="1008"/>
      <c r="F916" s="1009"/>
      <c r="G916" s="1008"/>
      <c r="H916" s="163"/>
    </row>
    <row r="917" spans="1:11" ht="15" customHeight="1">
      <c r="A917" s="167"/>
      <c r="B917" s="171"/>
      <c r="C917" s="956"/>
      <c r="D917" s="956"/>
      <c r="E917" s="1008"/>
      <c r="F917" s="1009"/>
      <c r="G917" s="1008"/>
      <c r="H917" s="163"/>
    </row>
    <row r="918" spans="1:11" ht="15" customHeight="1">
      <c r="A918" s="167"/>
      <c r="B918" s="171"/>
      <c r="C918" s="956"/>
      <c r="D918" s="956"/>
      <c r="E918" s="1008"/>
      <c r="F918" s="1009"/>
      <c r="G918" s="1008"/>
      <c r="H918" s="163"/>
    </row>
    <row r="919" spans="1:11" ht="15" customHeight="1">
      <c r="A919" s="167"/>
      <c r="B919" s="171"/>
      <c r="C919" s="956"/>
      <c r="D919" s="956"/>
      <c r="E919" s="1008"/>
      <c r="F919" s="1009"/>
      <c r="G919" s="1008"/>
      <c r="H919" s="163"/>
      <c r="K919" s="2"/>
    </row>
    <row r="920" spans="1:11" ht="15" customHeight="1">
      <c r="A920" s="167"/>
      <c r="B920" s="171"/>
      <c r="C920" s="956"/>
      <c r="D920" s="956"/>
      <c r="E920" s="1008"/>
      <c r="F920" s="1009"/>
      <c r="G920" s="1008"/>
      <c r="H920" s="163"/>
    </row>
    <row r="921" spans="1:11" ht="15" customHeight="1">
      <c r="A921" s="167"/>
      <c r="B921" s="171"/>
      <c r="C921" s="956"/>
      <c r="D921" s="956"/>
      <c r="E921" s="1008"/>
      <c r="F921" s="1009"/>
      <c r="G921" s="1008"/>
      <c r="H921" s="163"/>
    </row>
    <row r="922" spans="1:11" ht="15" customHeight="1">
      <c r="A922" s="167"/>
      <c r="B922" s="171"/>
      <c r="C922" s="956"/>
      <c r="D922" s="956"/>
      <c r="E922" s="1008"/>
      <c r="F922" s="1009"/>
      <c r="G922" s="1008"/>
      <c r="H922" s="163"/>
    </row>
    <row r="923" spans="1:11" ht="15" customHeight="1">
      <c r="A923" s="167"/>
      <c r="B923" s="171"/>
      <c r="C923" s="956"/>
      <c r="D923" s="956"/>
      <c r="E923" s="1008"/>
      <c r="F923" s="1009"/>
      <c r="G923" s="1008"/>
      <c r="H923" s="163"/>
    </row>
    <row r="924" spans="1:11" ht="15" customHeight="1">
      <c r="A924" s="167"/>
      <c r="B924" s="171"/>
      <c r="C924" s="956"/>
      <c r="D924" s="956"/>
      <c r="E924" s="1008"/>
      <c r="F924" s="1009"/>
      <c r="G924" s="1008"/>
      <c r="H924" s="163"/>
    </row>
    <row r="925" spans="1:11" ht="15" customHeight="1">
      <c r="A925" s="167"/>
      <c r="B925" s="171"/>
      <c r="C925" s="956"/>
      <c r="D925" s="956"/>
      <c r="E925" s="1008"/>
      <c r="F925" s="1009"/>
      <c r="G925" s="1008"/>
      <c r="H925" s="163"/>
      <c r="K925" s="2"/>
    </row>
    <row r="926" spans="1:11" ht="15" customHeight="1">
      <c r="A926" s="167"/>
      <c r="B926" s="171"/>
      <c r="C926" s="956"/>
      <c r="D926" s="956"/>
      <c r="E926" s="1008"/>
      <c r="F926" s="1009"/>
      <c r="G926" s="1008"/>
      <c r="H926" s="163"/>
    </row>
    <row r="927" spans="1:11" ht="15" customHeight="1">
      <c r="A927" s="167"/>
      <c r="B927" s="171"/>
      <c r="C927" s="956"/>
      <c r="D927" s="956"/>
      <c r="E927" s="1008"/>
      <c r="F927" s="1009"/>
      <c r="G927" s="1008"/>
      <c r="H927" s="163"/>
    </row>
    <row r="928" spans="1:11" ht="15" customHeight="1">
      <c r="A928" s="167"/>
      <c r="B928" s="171"/>
      <c r="C928" s="956"/>
      <c r="D928" s="956"/>
      <c r="E928" s="1008"/>
      <c r="F928" s="1009"/>
      <c r="G928" s="1008"/>
      <c r="H928" s="163"/>
      <c r="K928" s="2"/>
    </row>
    <row r="929" spans="1:29" ht="15" customHeight="1">
      <c r="A929" s="167"/>
      <c r="B929" s="171"/>
      <c r="C929" s="956"/>
      <c r="D929" s="956"/>
      <c r="E929" s="1008"/>
      <c r="F929" s="1009"/>
      <c r="G929" s="1008"/>
      <c r="H929" s="163"/>
    </row>
    <row r="930" spans="1:29" ht="15" customHeight="1">
      <c r="A930" s="167"/>
      <c r="B930" s="171"/>
      <c r="C930" s="956"/>
      <c r="D930" s="956"/>
      <c r="E930" s="1008"/>
      <c r="F930" s="1009"/>
      <c r="G930" s="1008"/>
      <c r="H930" s="163"/>
    </row>
    <row r="931" spans="1:29" ht="15" customHeight="1">
      <c r="A931" s="167"/>
      <c r="B931" s="171"/>
      <c r="C931" s="956"/>
      <c r="D931" s="956"/>
      <c r="E931" s="1008"/>
      <c r="F931" s="1009"/>
      <c r="G931" s="1008"/>
      <c r="H931" s="163"/>
    </row>
    <row r="932" spans="1:29" ht="15" customHeight="1">
      <c r="A932" s="1032"/>
      <c r="B932" s="172"/>
      <c r="C932" s="956"/>
      <c r="D932" s="956"/>
      <c r="E932" s="1008"/>
      <c r="F932" s="1009"/>
      <c r="G932" s="1008"/>
      <c r="H932" s="163"/>
    </row>
    <row r="933" spans="1:29" ht="15" customHeight="1">
      <c r="A933" s="167"/>
      <c r="B933" s="171"/>
      <c r="C933" s="956"/>
      <c r="D933" s="956"/>
      <c r="E933" s="1008"/>
      <c r="F933" s="1009"/>
      <c r="G933" s="1008"/>
      <c r="H933" s="163"/>
    </row>
    <row r="934" spans="1:29" ht="15" customHeight="1">
      <c r="A934" s="167"/>
      <c r="B934" s="171"/>
      <c r="C934" s="956"/>
      <c r="D934" s="956"/>
      <c r="E934" s="1008"/>
      <c r="F934" s="1009"/>
      <c r="G934" s="1008"/>
      <c r="H934" s="163"/>
    </row>
    <row r="935" spans="1:29" ht="15" customHeight="1">
      <c r="A935" s="167"/>
      <c r="B935" s="171"/>
      <c r="C935" s="956"/>
      <c r="D935" s="956"/>
      <c r="E935" s="1008"/>
      <c r="F935" s="1009"/>
      <c r="G935" s="1008"/>
      <c r="H935" s="163"/>
    </row>
    <row r="936" spans="1:29" ht="15" customHeight="1">
      <c r="A936" s="167"/>
      <c r="B936" s="171"/>
      <c r="C936" s="956"/>
      <c r="D936" s="956"/>
      <c r="E936" s="1008"/>
      <c r="F936" s="1009"/>
      <c r="G936" s="1008"/>
      <c r="H936" s="163"/>
    </row>
    <row r="937" spans="1:29" ht="15" customHeight="1">
      <c r="A937" s="167"/>
      <c r="B937" s="171"/>
      <c r="C937" s="956"/>
      <c r="D937" s="956"/>
      <c r="E937" s="1008"/>
      <c r="F937" s="1009"/>
      <c r="G937" s="1008"/>
      <c r="H937" s="163"/>
    </row>
    <row r="938" spans="1:29" ht="15" customHeight="1">
      <c r="A938" s="167"/>
      <c r="B938" s="171"/>
      <c r="C938" s="956"/>
      <c r="D938" s="956"/>
      <c r="E938" s="1008"/>
      <c r="F938" s="1009"/>
      <c r="G938" s="1008"/>
      <c r="H938" s="165"/>
      <c r="I938" s="2"/>
      <c r="J938" s="2"/>
      <c r="L938" s="2"/>
      <c r="M938" s="2"/>
      <c r="N938" s="2"/>
      <c r="O938" s="2"/>
      <c r="P938" s="2"/>
      <c r="Q938" s="2"/>
      <c r="R938" s="2"/>
      <c r="S938" s="2"/>
      <c r="T938" s="2"/>
      <c r="U938" s="2"/>
      <c r="V938" s="2"/>
      <c r="W938" s="2"/>
      <c r="X938" s="2"/>
      <c r="Y938" s="2"/>
      <c r="Z938" s="2"/>
      <c r="AA938" s="2"/>
      <c r="AB938" s="2"/>
      <c r="AC938" s="2"/>
    </row>
    <row r="939" spans="1:29" ht="15" customHeight="1">
      <c r="A939" s="167"/>
      <c r="B939" s="171"/>
      <c r="C939" s="956"/>
      <c r="D939" s="956"/>
      <c r="E939" s="1008"/>
      <c r="F939" s="1009"/>
      <c r="G939" s="1008"/>
      <c r="H939" s="163"/>
    </row>
    <row r="940" spans="1:29" ht="15" customHeight="1">
      <c r="A940" s="167"/>
      <c r="B940" s="171"/>
      <c r="C940" s="956"/>
      <c r="D940" s="956"/>
      <c r="E940" s="1008"/>
      <c r="F940" s="1009"/>
      <c r="G940" s="1008"/>
      <c r="H940" s="163"/>
    </row>
    <row r="941" spans="1:29" ht="15" customHeight="1">
      <c r="A941" s="167"/>
      <c r="B941" s="171"/>
      <c r="C941" s="956"/>
      <c r="D941" s="956"/>
      <c r="E941" s="1008"/>
      <c r="F941" s="1009"/>
      <c r="G941" s="1008"/>
      <c r="H941" s="163"/>
    </row>
    <row r="942" spans="1:29" ht="15" customHeight="1">
      <c r="A942" s="167"/>
      <c r="B942" s="171"/>
      <c r="C942" s="956"/>
      <c r="D942" s="956"/>
      <c r="E942" s="1008"/>
      <c r="F942" s="1009"/>
      <c r="G942" s="1008"/>
      <c r="H942" s="163"/>
    </row>
    <row r="943" spans="1:29" ht="15" customHeight="1">
      <c r="A943" s="167"/>
      <c r="B943" s="171"/>
      <c r="C943" s="956"/>
      <c r="D943" s="956"/>
      <c r="E943" s="1008"/>
      <c r="F943" s="1009"/>
      <c r="G943" s="1008"/>
      <c r="H943" s="163"/>
    </row>
    <row r="944" spans="1:29" ht="15" customHeight="1">
      <c r="A944" s="167"/>
      <c r="B944" s="171"/>
      <c r="C944" s="956"/>
      <c r="D944" s="956"/>
      <c r="E944" s="1008"/>
      <c r="F944" s="1009"/>
      <c r="G944" s="1008"/>
      <c r="H944" s="163"/>
    </row>
    <row r="945" spans="1:15" ht="15" customHeight="1">
      <c r="A945" s="167"/>
      <c r="B945" s="171"/>
      <c r="C945" s="956"/>
      <c r="D945" s="956"/>
      <c r="E945" s="1008"/>
      <c r="F945" s="1009"/>
      <c r="G945" s="1008"/>
      <c r="H945" s="163"/>
    </row>
    <row r="946" spans="1:15" ht="15" customHeight="1">
      <c r="A946" s="167"/>
      <c r="B946" s="171"/>
      <c r="C946" s="956"/>
      <c r="D946" s="956"/>
      <c r="E946" s="1008"/>
      <c r="F946" s="1009"/>
      <c r="G946" s="1008"/>
      <c r="H946" s="163"/>
    </row>
    <row r="947" spans="1:15" ht="15" customHeight="1">
      <c r="A947" s="167"/>
      <c r="B947" s="171"/>
      <c r="C947" s="956"/>
      <c r="D947" s="956"/>
      <c r="E947" s="1008"/>
      <c r="F947" s="1009"/>
      <c r="G947" s="1008"/>
      <c r="H947" s="163"/>
    </row>
    <row r="948" spans="1:15" ht="15" customHeight="1">
      <c r="A948" s="167"/>
      <c r="B948" s="171"/>
      <c r="C948" s="956"/>
      <c r="D948" s="956"/>
      <c r="E948" s="1008"/>
      <c r="F948" s="1009"/>
      <c r="G948" s="1008"/>
      <c r="H948" s="163"/>
    </row>
    <row r="949" spans="1:15" ht="15" customHeight="1">
      <c r="A949" s="1032"/>
      <c r="B949" s="172"/>
      <c r="C949" s="956"/>
      <c r="D949" s="956"/>
      <c r="E949" s="1008"/>
      <c r="F949" s="1009"/>
      <c r="G949" s="1008"/>
      <c r="H949" s="163"/>
      <c r="M949" s="2"/>
      <c r="N949" s="2"/>
      <c r="O949" s="2"/>
    </row>
    <row r="950" spans="1:15" ht="15" customHeight="1">
      <c r="A950" s="167"/>
      <c r="B950" s="171"/>
      <c r="C950" s="956"/>
      <c r="D950" s="956"/>
      <c r="E950" s="1008"/>
      <c r="F950" s="1009"/>
      <c r="G950" s="1008"/>
      <c r="H950" s="163"/>
    </row>
    <row r="951" spans="1:15" ht="15" customHeight="1">
      <c r="A951" s="167"/>
      <c r="B951" s="171"/>
      <c r="C951" s="956"/>
      <c r="D951" s="956"/>
      <c r="E951" s="1008"/>
      <c r="F951" s="1009"/>
      <c r="G951" s="1008"/>
      <c r="H951" s="163"/>
    </row>
    <row r="952" spans="1:15" ht="15" customHeight="1">
      <c r="A952" s="167"/>
      <c r="B952" s="171"/>
      <c r="C952" s="956"/>
      <c r="D952" s="956"/>
      <c r="E952" s="1008"/>
      <c r="F952" s="1009"/>
      <c r="G952" s="1008"/>
      <c r="H952" s="163"/>
    </row>
    <row r="953" spans="1:15" ht="15" customHeight="1">
      <c r="A953" s="167"/>
      <c r="B953" s="171"/>
      <c r="C953" s="956"/>
      <c r="D953" s="956"/>
      <c r="E953" s="1008"/>
      <c r="F953" s="1009"/>
      <c r="G953" s="1008"/>
      <c r="H953" s="163"/>
    </row>
    <row r="954" spans="1:15" ht="15" customHeight="1">
      <c r="A954" s="167"/>
      <c r="B954" s="171"/>
      <c r="C954" s="956"/>
      <c r="D954" s="956"/>
      <c r="E954" s="1008"/>
      <c r="F954" s="1009"/>
      <c r="G954" s="1008"/>
      <c r="H954" s="163"/>
    </row>
    <row r="955" spans="1:15" ht="15" customHeight="1">
      <c r="A955" s="167"/>
      <c r="B955" s="171"/>
      <c r="C955" s="956"/>
      <c r="D955" s="956"/>
      <c r="E955" s="1008"/>
      <c r="F955" s="1009"/>
      <c r="G955" s="1008"/>
      <c r="H955" s="163"/>
    </row>
    <row r="956" spans="1:15" ht="15" customHeight="1">
      <c r="A956" s="167"/>
      <c r="B956" s="171"/>
      <c r="C956" s="956"/>
      <c r="D956" s="956"/>
      <c r="E956" s="1008"/>
      <c r="F956" s="1009"/>
      <c r="G956" s="1008"/>
      <c r="H956" s="163"/>
    </row>
    <row r="957" spans="1:15" ht="15" customHeight="1">
      <c r="A957" s="167"/>
      <c r="B957" s="171"/>
      <c r="C957" s="956"/>
      <c r="D957" s="956"/>
      <c r="E957" s="1008"/>
      <c r="F957" s="1009"/>
      <c r="G957" s="1008"/>
      <c r="H957" s="163"/>
    </row>
    <row r="958" spans="1:15" ht="15" customHeight="1">
      <c r="A958" s="167"/>
      <c r="B958" s="171"/>
      <c r="C958" s="956"/>
      <c r="D958" s="956"/>
      <c r="E958" s="1008"/>
      <c r="F958" s="1009"/>
      <c r="G958" s="1008"/>
      <c r="H958" s="163"/>
    </row>
    <row r="959" spans="1:15" ht="15" customHeight="1">
      <c r="A959" s="167"/>
      <c r="B959" s="171"/>
      <c r="C959" s="956"/>
      <c r="D959" s="956"/>
      <c r="E959" s="1008"/>
      <c r="F959" s="1009"/>
      <c r="G959" s="1008"/>
      <c r="H959" s="163"/>
    </row>
    <row r="960" spans="1:15" ht="15" customHeight="1">
      <c r="A960" s="167"/>
      <c r="B960" s="171"/>
      <c r="C960" s="956"/>
      <c r="D960" s="956"/>
      <c r="E960" s="1008"/>
      <c r="F960" s="1009"/>
      <c r="G960" s="1008"/>
      <c r="H960" s="163"/>
    </row>
    <row r="961" spans="1:29" ht="15" customHeight="1">
      <c r="A961" s="167"/>
      <c r="B961" s="171"/>
      <c r="C961" s="956"/>
      <c r="D961" s="956"/>
      <c r="E961" s="1008"/>
      <c r="F961" s="1009"/>
      <c r="G961" s="1008"/>
      <c r="H961" s="163"/>
    </row>
    <row r="962" spans="1:29" ht="15" customHeight="1">
      <c r="A962" s="167"/>
      <c r="B962" s="171"/>
      <c r="C962" s="956"/>
      <c r="D962" s="956"/>
      <c r="E962" s="1008"/>
      <c r="F962" s="1009"/>
      <c r="G962" s="1008"/>
      <c r="H962" s="163"/>
    </row>
    <row r="963" spans="1:29" ht="15" customHeight="1">
      <c r="A963" s="167"/>
      <c r="B963" s="171"/>
      <c r="C963" s="956"/>
      <c r="D963" s="956"/>
      <c r="E963" s="1008"/>
      <c r="F963" s="1009"/>
      <c r="G963" s="1008"/>
      <c r="H963" s="163"/>
    </row>
    <row r="964" spans="1:29" ht="15" customHeight="1">
      <c r="A964" s="167"/>
      <c r="B964" s="171"/>
      <c r="C964" s="956"/>
      <c r="D964" s="956"/>
      <c r="E964" s="1008"/>
      <c r="F964" s="1009"/>
      <c r="G964" s="1008"/>
      <c r="H964" s="163"/>
    </row>
    <row r="965" spans="1:29" ht="15" customHeight="1">
      <c r="A965" s="167"/>
      <c r="B965" s="171"/>
      <c r="C965" s="956"/>
      <c r="D965" s="956"/>
      <c r="E965" s="1008"/>
      <c r="F965" s="1009"/>
      <c r="G965" s="1008"/>
      <c r="H965" s="163"/>
    </row>
    <row r="966" spans="1:29" ht="15" customHeight="1">
      <c r="A966" s="167"/>
      <c r="B966" s="171"/>
      <c r="C966" s="956"/>
      <c r="D966" s="956"/>
      <c r="E966" s="1008"/>
      <c r="F966" s="1009"/>
      <c r="G966" s="1008"/>
      <c r="H966" s="163"/>
    </row>
    <row r="967" spans="1:29" ht="15" customHeight="1">
      <c r="A967" s="167"/>
      <c r="B967" s="956"/>
      <c r="C967" s="956"/>
      <c r="D967" s="956"/>
      <c r="E967" s="1008"/>
      <c r="F967" s="1009"/>
      <c r="G967" s="1008"/>
      <c r="H967" s="163"/>
    </row>
    <row r="968" spans="1:29" ht="15" customHeight="1">
      <c r="A968" s="167"/>
      <c r="B968" s="171"/>
      <c r="C968" s="956"/>
      <c r="D968" s="956"/>
      <c r="E968" s="1008"/>
      <c r="F968" s="1009"/>
      <c r="G968" s="1008"/>
      <c r="H968" s="163"/>
    </row>
    <row r="969" spans="1:29" ht="15" customHeight="1">
      <c r="A969" s="167"/>
      <c r="B969" s="171"/>
      <c r="C969" s="956"/>
      <c r="D969" s="956"/>
      <c r="E969" s="1008"/>
      <c r="F969" s="1009"/>
      <c r="G969" s="1008"/>
      <c r="H969" s="163"/>
    </row>
    <row r="970" spans="1:29" ht="15" customHeight="1">
      <c r="A970" s="173"/>
      <c r="B970" s="174"/>
      <c r="C970" s="175"/>
      <c r="D970" s="175"/>
      <c r="E970" s="1008"/>
      <c r="F970" s="1009"/>
      <c r="G970" s="1008"/>
      <c r="H970" s="163"/>
    </row>
    <row r="971" spans="1:29" ht="15" customHeight="1">
      <c r="A971" s="167"/>
      <c r="B971" s="171"/>
      <c r="C971" s="956"/>
      <c r="D971" s="956"/>
      <c r="E971" s="1008"/>
      <c r="F971" s="1009"/>
      <c r="G971" s="1008"/>
      <c r="H971" s="163"/>
    </row>
    <row r="972" spans="1:29" ht="15" customHeight="1">
      <c r="A972" s="167"/>
      <c r="B972" s="171"/>
      <c r="C972" s="956"/>
      <c r="D972" s="956"/>
      <c r="E972" s="1008"/>
      <c r="F972" s="1009"/>
      <c r="G972" s="1008"/>
      <c r="H972" s="163"/>
    </row>
    <row r="973" spans="1:29" ht="15" customHeight="1">
      <c r="A973" s="167"/>
      <c r="B973" s="171"/>
      <c r="C973" s="956"/>
      <c r="D973" s="956"/>
      <c r="E973" s="1008"/>
      <c r="F973" s="1009"/>
      <c r="G973" s="1008"/>
      <c r="H973" s="163"/>
    </row>
    <row r="974" spans="1:29" ht="15" customHeight="1">
      <c r="A974" s="167"/>
      <c r="B974" s="171"/>
      <c r="C974" s="956"/>
      <c r="D974" s="956"/>
      <c r="E974" s="1008"/>
      <c r="F974" s="1009"/>
      <c r="G974" s="1008"/>
      <c r="H974" s="165"/>
      <c r="I974" s="2"/>
      <c r="J974" s="2"/>
      <c r="L974" s="2"/>
      <c r="M974" s="2"/>
      <c r="N974" s="2"/>
      <c r="O974" s="2"/>
      <c r="P974" s="2"/>
      <c r="Q974" s="2"/>
      <c r="R974" s="2"/>
      <c r="S974" s="2"/>
      <c r="T974" s="2"/>
      <c r="U974" s="2"/>
      <c r="V974" s="2"/>
      <c r="W974" s="2"/>
      <c r="X974" s="2"/>
      <c r="Y974" s="2"/>
      <c r="Z974" s="2"/>
      <c r="AA974" s="2"/>
      <c r="AB974" s="2"/>
      <c r="AC974" s="2"/>
    </row>
    <row r="975" spans="1:29" ht="15" customHeight="1">
      <c r="A975" s="167"/>
      <c r="B975" s="171"/>
      <c r="C975" s="956"/>
      <c r="D975" s="956"/>
      <c r="E975" s="1008"/>
      <c r="F975" s="1009"/>
      <c r="G975" s="1008"/>
      <c r="H975" s="163"/>
    </row>
    <row r="976" spans="1:29" ht="15" customHeight="1">
      <c r="A976" s="167"/>
      <c r="B976" s="171"/>
      <c r="C976" s="956"/>
      <c r="D976" s="956"/>
      <c r="E976" s="1008"/>
      <c r="F976" s="1009"/>
      <c r="G976" s="1008"/>
      <c r="H976" s="163"/>
    </row>
    <row r="977" spans="1:29" ht="15" customHeight="1">
      <c r="A977" s="167"/>
      <c r="B977" s="171"/>
      <c r="C977" s="956"/>
      <c r="D977" s="956"/>
      <c r="E977" s="1008"/>
      <c r="F977" s="1009"/>
      <c r="G977" s="1008"/>
      <c r="H977" s="165"/>
      <c r="I977" s="2"/>
      <c r="J977" s="2"/>
      <c r="L977" s="2"/>
      <c r="M977" s="2"/>
      <c r="N977" s="2"/>
      <c r="O977" s="2"/>
      <c r="P977" s="2"/>
      <c r="Q977" s="2"/>
      <c r="R977" s="2"/>
      <c r="S977" s="2"/>
      <c r="T977" s="2"/>
      <c r="U977" s="2"/>
      <c r="V977" s="2"/>
      <c r="W977" s="2"/>
      <c r="X977" s="2"/>
      <c r="Y977" s="2"/>
      <c r="Z977" s="2"/>
      <c r="AA977" s="2"/>
      <c r="AB977" s="2"/>
      <c r="AC977" s="2"/>
    </row>
    <row r="978" spans="1:29" ht="15" customHeight="1">
      <c r="A978" s="167"/>
      <c r="B978" s="171"/>
      <c r="C978" s="956"/>
      <c r="D978" s="956"/>
      <c r="E978" s="1008"/>
      <c r="F978" s="1009"/>
      <c r="G978" s="1008"/>
      <c r="H978" s="165"/>
      <c r="I978" s="2"/>
      <c r="J978" s="2"/>
      <c r="L978" s="2"/>
      <c r="M978" s="2"/>
      <c r="N978" s="2"/>
      <c r="O978" s="2"/>
      <c r="P978" s="2"/>
      <c r="Q978" s="2"/>
      <c r="R978" s="2"/>
      <c r="S978" s="2"/>
      <c r="T978" s="2"/>
      <c r="U978" s="2"/>
      <c r="V978" s="2"/>
      <c r="W978" s="2"/>
      <c r="X978" s="2"/>
      <c r="Y978" s="2"/>
      <c r="Z978" s="2"/>
      <c r="AA978" s="2"/>
      <c r="AB978" s="2"/>
      <c r="AC978" s="2"/>
    </row>
    <row r="979" spans="1:29" ht="15" customHeight="1">
      <c r="A979" s="167"/>
      <c r="B979" s="171"/>
      <c r="C979" s="956"/>
      <c r="D979" s="956"/>
      <c r="E979" s="1008"/>
      <c r="F979" s="1009"/>
      <c r="G979" s="1008"/>
      <c r="H979" s="163"/>
    </row>
    <row r="980" spans="1:29" ht="15" customHeight="1">
      <c r="A980" s="167"/>
      <c r="B980" s="171"/>
      <c r="C980" s="956"/>
      <c r="D980" s="956"/>
      <c r="E980" s="1008"/>
      <c r="F980" s="1009"/>
      <c r="G980" s="1008"/>
      <c r="H980" s="163"/>
    </row>
    <row r="981" spans="1:29" ht="15" customHeight="1">
      <c r="A981" s="167"/>
      <c r="B981" s="171"/>
      <c r="C981" s="956"/>
      <c r="D981" s="956"/>
      <c r="E981" s="1008"/>
      <c r="F981" s="1009"/>
      <c r="G981" s="1008"/>
      <c r="H981" s="163"/>
      <c r="K981" s="2"/>
    </row>
    <row r="982" spans="1:29" ht="15" customHeight="1">
      <c r="A982" s="167"/>
      <c r="B982" s="171"/>
      <c r="C982" s="956"/>
      <c r="D982" s="956"/>
      <c r="E982" s="1008"/>
      <c r="F982" s="1009"/>
      <c r="G982" s="1008"/>
      <c r="H982" s="163"/>
    </row>
    <row r="983" spans="1:29" ht="15" customHeight="1">
      <c r="A983" s="167"/>
      <c r="B983" s="171"/>
      <c r="C983" s="956"/>
      <c r="D983" s="956"/>
      <c r="E983" s="1008"/>
      <c r="F983" s="1009"/>
      <c r="G983" s="1008"/>
      <c r="H983" s="163"/>
    </row>
    <row r="984" spans="1:29" ht="15" customHeight="1">
      <c r="A984" s="167"/>
      <c r="B984" s="171"/>
      <c r="C984" s="956"/>
      <c r="D984" s="956"/>
      <c r="E984" s="1008"/>
      <c r="F984" s="1009"/>
      <c r="G984" s="1008"/>
      <c r="H984" s="165"/>
      <c r="I984" s="2"/>
      <c r="J984" s="2"/>
      <c r="L984" s="2"/>
      <c r="M984" s="2"/>
      <c r="N984" s="2"/>
      <c r="O984" s="2"/>
      <c r="P984" s="2"/>
      <c r="Q984" s="2"/>
      <c r="R984" s="2"/>
      <c r="S984" s="2"/>
      <c r="T984" s="2"/>
      <c r="U984" s="2"/>
      <c r="V984" s="2"/>
      <c r="W984" s="2"/>
      <c r="X984" s="2"/>
      <c r="Y984" s="2"/>
      <c r="Z984" s="2"/>
      <c r="AA984" s="2"/>
      <c r="AB984" s="2"/>
      <c r="AC984" s="2"/>
    </row>
    <row r="985" spans="1:29" ht="15" customHeight="1">
      <c r="A985" s="167"/>
      <c r="B985" s="171"/>
      <c r="C985" s="956"/>
      <c r="D985" s="956"/>
      <c r="E985" s="1008"/>
      <c r="F985" s="1009"/>
      <c r="G985" s="1008"/>
      <c r="H985" s="163"/>
    </row>
    <row r="986" spans="1:29" ht="15" customHeight="1">
      <c r="A986" s="167"/>
      <c r="B986" s="171"/>
      <c r="C986" s="956"/>
      <c r="D986" s="956"/>
      <c r="E986" s="1008"/>
      <c r="F986" s="1009"/>
      <c r="G986" s="1008"/>
      <c r="H986" s="163"/>
    </row>
    <row r="987" spans="1:29" ht="15" customHeight="1">
      <c r="A987" s="167"/>
      <c r="B987" s="171"/>
      <c r="C987" s="956"/>
      <c r="D987" s="956"/>
      <c r="E987" s="1008"/>
      <c r="F987" s="1009"/>
      <c r="G987" s="1008"/>
      <c r="H987" s="163"/>
    </row>
    <row r="988" spans="1:29" ht="15" customHeight="1">
      <c r="A988" s="167"/>
      <c r="B988" s="171"/>
      <c r="C988" s="956"/>
      <c r="D988" s="956"/>
      <c r="E988" s="1008"/>
      <c r="F988" s="1009"/>
      <c r="G988" s="1008"/>
      <c r="H988" s="163"/>
    </row>
    <row r="989" spans="1:29" ht="15" customHeight="1">
      <c r="A989" s="167"/>
      <c r="B989" s="171"/>
      <c r="C989" s="956"/>
      <c r="D989" s="956"/>
      <c r="E989" s="1008"/>
      <c r="F989" s="1009"/>
      <c r="G989" s="1008"/>
      <c r="H989" s="163"/>
      <c r="K989" s="2"/>
    </row>
    <row r="990" spans="1:29" ht="15" customHeight="1">
      <c r="A990" s="167"/>
      <c r="B990" s="171"/>
      <c r="C990" s="956"/>
      <c r="D990" s="956"/>
      <c r="E990" s="1008"/>
      <c r="F990" s="1009"/>
      <c r="G990" s="1008"/>
      <c r="H990" s="163"/>
    </row>
    <row r="991" spans="1:29" ht="15" customHeight="1">
      <c r="A991" s="167"/>
      <c r="B991" s="171"/>
      <c r="C991" s="956"/>
      <c r="D991" s="956"/>
      <c r="E991" s="1008"/>
      <c r="F991" s="1009"/>
      <c r="G991" s="1008"/>
      <c r="H991" s="163"/>
    </row>
    <row r="992" spans="1:29" ht="15" customHeight="1">
      <c r="A992" s="167"/>
      <c r="B992" s="171"/>
      <c r="C992" s="956"/>
      <c r="D992" s="956"/>
      <c r="E992" s="1008"/>
      <c r="F992" s="1009"/>
      <c r="G992" s="1008"/>
      <c r="H992" s="163"/>
    </row>
    <row r="993" spans="1:8" ht="15" customHeight="1">
      <c r="A993" s="167"/>
      <c r="B993" s="171"/>
      <c r="C993" s="956"/>
      <c r="D993" s="956"/>
      <c r="E993" s="1008"/>
      <c r="F993" s="1009"/>
      <c r="G993" s="1008"/>
      <c r="H993" s="163"/>
    </row>
    <row r="994" spans="1:8" ht="15" customHeight="1">
      <c r="A994" s="167"/>
      <c r="B994" s="171"/>
      <c r="C994" s="956"/>
      <c r="D994" s="956"/>
      <c r="E994" s="1008"/>
      <c r="F994" s="1009"/>
      <c r="G994" s="1008"/>
      <c r="H994" s="163"/>
    </row>
    <row r="995" spans="1:8" ht="15" customHeight="1">
      <c r="A995" s="167"/>
      <c r="B995" s="171"/>
      <c r="C995" s="956"/>
      <c r="D995" s="956"/>
      <c r="E995" s="1008"/>
      <c r="F995" s="1009"/>
      <c r="G995" s="1008"/>
      <c r="H995" s="163"/>
    </row>
    <row r="996" spans="1:8" ht="15" customHeight="1">
      <c r="A996" s="167"/>
      <c r="B996" s="171"/>
      <c r="C996" s="956"/>
      <c r="D996" s="956"/>
      <c r="E996" s="1008"/>
      <c r="F996" s="1009"/>
      <c r="G996" s="1008"/>
      <c r="H996" s="163"/>
    </row>
    <row r="997" spans="1:8" ht="15" customHeight="1">
      <c r="A997" s="167"/>
      <c r="B997" s="171"/>
      <c r="C997" s="956"/>
      <c r="D997" s="956"/>
      <c r="E997" s="1008"/>
      <c r="F997" s="1009"/>
      <c r="G997" s="1008"/>
      <c r="H997" s="163"/>
    </row>
    <row r="998" spans="1:8" ht="15" customHeight="1">
      <c r="A998" s="167"/>
      <c r="B998" s="171"/>
      <c r="C998" s="956"/>
      <c r="D998" s="956"/>
      <c r="E998" s="1008"/>
      <c r="F998" s="1009"/>
      <c r="G998" s="1008"/>
      <c r="H998" s="163"/>
    </row>
    <row r="999" spans="1:8" ht="15" customHeight="1">
      <c r="A999" s="167"/>
      <c r="B999" s="171"/>
      <c r="C999" s="956"/>
      <c r="D999" s="956"/>
      <c r="E999" s="1008"/>
      <c r="F999" s="1009"/>
      <c r="G999" s="1008"/>
      <c r="H999" s="163"/>
    </row>
    <row r="1000" spans="1:8" ht="15" customHeight="1">
      <c r="A1000" s="167"/>
      <c r="B1000" s="171"/>
      <c r="C1000" s="956"/>
      <c r="D1000" s="956"/>
      <c r="E1000" s="1008"/>
      <c r="F1000" s="1009"/>
      <c r="G1000" s="1008"/>
      <c r="H1000" s="163"/>
    </row>
    <row r="1001" spans="1:8" ht="15" customHeight="1">
      <c r="A1001" s="167"/>
      <c r="B1001" s="171"/>
      <c r="C1001" s="956"/>
      <c r="D1001" s="956"/>
      <c r="E1001" s="1008"/>
      <c r="F1001" s="1009"/>
      <c r="G1001" s="1008"/>
      <c r="H1001" s="163"/>
    </row>
    <row r="1002" spans="1:8" ht="15" customHeight="1">
      <c r="A1002" s="167"/>
      <c r="B1002" s="171"/>
      <c r="C1002" s="956"/>
      <c r="D1002" s="956"/>
      <c r="E1002" s="1008"/>
      <c r="F1002" s="1009"/>
      <c r="G1002" s="1008"/>
      <c r="H1002" s="163"/>
    </row>
    <row r="1003" spans="1:8" ht="15" customHeight="1">
      <c r="A1003" s="965"/>
      <c r="B1003" s="1021"/>
      <c r="C1003" s="1022"/>
      <c r="D1003" s="956"/>
      <c r="E1003" s="1008"/>
      <c r="F1003" s="1009"/>
      <c r="G1003" s="1008"/>
      <c r="H1003" s="163"/>
    </row>
    <row r="1004" spans="1:8" ht="15" customHeight="1">
      <c r="A1004" s="167"/>
      <c r="B1004" s="171"/>
      <c r="C1004" s="956"/>
      <c r="D1004" s="956"/>
      <c r="E1004" s="1008"/>
      <c r="F1004" s="1009"/>
      <c r="G1004" s="1008"/>
      <c r="H1004" s="163"/>
    </row>
    <row r="1005" spans="1:8" ht="15" customHeight="1">
      <c r="A1005" s="167"/>
      <c r="B1005" s="171"/>
      <c r="C1005" s="956"/>
      <c r="D1005" s="956"/>
      <c r="E1005" s="1008"/>
      <c r="F1005" s="1009"/>
      <c r="G1005" s="1008"/>
      <c r="H1005" s="163"/>
    </row>
    <row r="1006" spans="1:8" ht="15" customHeight="1">
      <c r="A1006" s="167"/>
      <c r="B1006" s="171"/>
      <c r="C1006" s="956"/>
      <c r="D1006" s="956"/>
      <c r="E1006" s="1008"/>
      <c r="F1006" s="1009"/>
      <c r="G1006" s="1008"/>
      <c r="H1006" s="163"/>
    </row>
    <row r="1007" spans="1:8" ht="15" customHeight="1">
      <c r="A1007" s="167"/>
      <c r="B1007" s="171"/>
      <c r="C1007" s="956"/>
      <c r="D1007" s="956"/>
      <c r="E1007" s="1008"/>
      <c r="F1007" s="1009"/>
      <c r="G1007" s="1008"/>
      <c r="H1007" s="163"/>
    </row>
    <row r="1008" spans="1:8" ht="15" customHeight="1">
      <c r="A1008" s="167"/>
      <c r="B1008" s="171"/>
      <c r="C1008" s="956"/>
      <c r="D1008" s="956"/>
      <c r="E1008" s="1008"/>
      <c r="F1008" s="1009"/>
      <c r="G1008" s="1008"/>
      <c r="H1008" s="163"/>
    </row>
    <row r="1009" spans="1:8" ht="15" customHeight="1">
      <c r="A1009" s="167"/>
      <c r="B1009" s="171"/>
      <c r="C1009" s="956"/>
      <c r="D1009" s="956"/>
      <c r="E1009" s="1008"/>
      <c r="F1009" s="1009"/>
      <c r="G1009" s="1008"/>
      <c r="H1009" s="163"/>
    </row>
    <row r="1010" spans="1:8" ht="15" customHeight="1">
      <c r="A1010" s="167"/>
      <c r="B1010" s="171"/>
      <c r="C1010" s="956"/>
      <c r="D1010" s="956"/>
      <c r="E1010" s="1008"/>
      <c r="F1010" s="1009"/>
      <c r="G1010" s="1008"/>
      <c r="H1010" s="163"/>
    </row>
    <row r="1011" spans="1:8" ht="15" customHeight="1">
      <c r="A1011" s="167"/>
      <c r="B1011" s="171"/>
      <c r="C1011" s="956"/>
      <c r="D1011" s="956"/>
      <c r="E1011" s="1008"/>
      <c r="F1011" s="1009"/>
      <c r="G1011" s="1008"/>
      <c r="H1011" s="163"/>
    </row>
    <row r="1012" spans="1:8" ht="15" customHeight="1">
      <c r="A1012" s="167"/>
      <c r="B1012" s="171"/>
      <c r="C1012" s="956"/>
      <c r="D1012" s="956"/>
      <c r="E1012" s="1008"/>
      <c r="F1012" s="1009"/>
      <c r="G1012" s="1008"/>
      <c r="H1012" s="163"/>
    </row>
    <row r="1013" spans="1:8" ht="15" customHeight="1">
      <c r="A1013" s="167"/>
      <c r="B1013" s="171"/>
      <c r="C1013" s="956"/>
      <c r="D1013" s="956"/>
      <c r="E1013" s="1008"/>
      <c r="F1013" s="1009"/>
      <c r="G1013" s="1008"/>
      <c r="H1013" s="163"/>
    </row>
    <row r="1014" spans="1:8" ht="15" customHeight="1">
      <c r="A1014" s="167"/>
      <c r="B1014" s="171"/>
      <c r="C1014" s="956"/>
      <c r="D1014" s="956"/>
      <c r="E1014" s="1008"/>
      <c r="F1014" s="1009"/>
      <c r="G1014" s="1008"/>
      <c r="H1014" s="163"/>
    </row>
    <row r="1015" spans="1:8" ht="15" customHeight="1">
      <c r="A1015" s="167"/>
      <c r="B1015" s="171"/>
      <c r="C1015" s="956"/>
      <c r="D1015" s="956"/>
      <c r="E1015" s="1008"/>
      <c r="F1015" s="1009"/>
      <c r="G1015" s="1008"/>
      <c r="H1015" s="163"/>
    </row>
    <row r="1016" spans="1:8" ht="15" customHeight="1">
      <c r="A1016" s="167"/>
      <c r="B1016" s="171"/>
      <c r="C1016" s="956"/>
      <c r="D1016" s="956"/>
      <c r="E1016" s="1008"/>
      <c r="F1016" s="1009"/>
      <c r="G1016" s="1008"/>
      <c r="H1016" s="163"/>
    </row>
    <row r="1017" spans="1:8" ht="15" customHeight="1">
      <c r="A1017" s="167"/>
      <c r="B1017" s="171"/>
      <c r="C1017" s="956"/>
      <c r="D1017" s="956"/>
      <c r="E1017" s="1008"/>
      <c r="F1017" s="1009"/>
      <c r="G1017" s="1008"/>
      <c r="H1017" s="163"/>
    </row>
    <row r="1018" spans="1:8" ht="15" customHeight="1">
      <c r="A1018" s="167"/>
      <c r="B1018" s="171"/>
      <c r="C1018" s="956"/>
      <c r="D1018" s="956"/>
      <c r="E1018" s="1008"/>
      <c r="F1018" s="1009"/>
      <c r="G1018" s="1008"/>
      <c r="H1018" s="163"/>
    </row>
    <row r="1019" spans="1:8" ht="15" customHeight="1">
      <c r="A1019" s="167"/>
      <c r="B1019" s="171"/>
      <c r="C1019" s="956"/>
      <c r="D1019" s="956"/>
      <c r="E1019" s="1008"/>
      <c r="F1019" s="1009"/>
      <c r="G1019" s="1008"/>
      <c r="H1019" s="163"/>
    </row>
    <row r="1020" spans="1:8" ht="15" customHeight="1">
      <c r="A1020" s="167"/>
      <c r="B1020" s="171"/>
      <c r="C1020" s="956"/>
      <c r="D1020" s="956"/>
      <c r="E1020" s="1008"/>
      <c r="F1020" s="1009"/>
      <c r="G1020" s="1008"/>
      <c r="H1020" s="163"/>
    </row>
    <row r="1021" spans="1:8" ht="15" customHeight="1">
      <c r="A1021" s="167"/>
      <c r="B1021" s="171"/>
      <c r="C1021" s="956"/>
      <c r="D1021" s="956"/>
      <c r="E1021" s="1008"/>
      <c r="F1021" s="1009"/>
      <c r="G1021" s="1008"/>
      <c r="H1021" s="163"/>
    </row>
    <row r="1022" spans="1:8" ht="15" customHeight="1">
      <c r="A1022" s="167"/>
      <c r="B1022" s="171"/>
      <c r="C1022" s="956"/>
      <c r="D1022" s="956"/>
      <c r="E1022" s="1008"/>
      <c r="F1022" s="1009"/>
      <c r="G1022" s="1008"/>
      <c r="H1022" s="163"/>
    </row>
    <row r="1023" spans="1:8" ht="15" customHeight="1">
      <c r="A1023" s="167"/>
      <c r="B1023" s="171"/>
      <c r="C1023" s="956"/>
      <c r="D1023" s="956"/>
      <c r="E1023" s="1008"/>
      <c r="F1023" s="1009"/>
      <c r="G1023" s="1008"/>
      <c r="H1023" s="163"/>
    </row>
    <row r="1024" spans="1:8" ht="15" customHeight="1">
      <c r="A1024" s="167"/>
      <c r="B1024" s="171"/>
      <c r="C1024" s="956"/>
      <c r="D1024" s="956"/>
      <c r="E1024" s="1008"/>
      <c r="F1024" s="1009"/>
      <c r="G1024" s="1008"/>
      <c r="H1024" s="163"/>
    </row>
    <row r="1025" spans="1:11" ht="15" customHeight="1">
      <c r="A1025" s="167"/>
      <c r="B1025" s="171"/>
      <c r="C1025" s="956"/>
      <c r="D1025" s="956"/>
      <c r="E1025" s="1008"/>
      <c r="F1025" s="1009"/>
      <c r="G1025" s="1008"/>
      <c r="H1025" s="163"/>
    </row>
    <row r="1026" spans="1:11" ht="15" customHeight="1">
      <c r="A1026" s="167"/>
      <c r="B1026" s="172"/>
      <c r="C1026" s="956"/>
      <c r="D1026" s="956"/>
      <c r="E1026" s="1008"/>
      <c r="F1026" s="1009"/>
      <c r="G1026" s="1008"/>
      <c r="H1026" s="163"/>
    </row>
    <row r="1027" spans="1:11" ht="15" customHeight="1">
      <c r="A1027" s="167"/>
      <c r="B1027" s="171"/>
      <c r="C1027" s="956"/>
      <c r="D1027" s="956"/>
      <c r="E1027" s="1008"/>
      <c r="F1027" s="1009"/>
      <c r="G1027" s="1008"/>
      <c r="H1027" s="163"/>
    </row>
    <row r="1028" spans="1:11" ht="15" customHeight="1">
      <c r="A1028" s="167"/>
      <c r="B1028" s="171"/>
      <c r="C1028" s="956"/>
      <c r="D1028" s="956"/>
      <c r="E1028" s="1008"/>
      <c r="F1028" s="1009"/>
      <c r="G1028" s="1008"/>
      <c r="H1028" s="163"/>
      <c r="K1028" s="2"/>
    </row>
    <row r="1029" spans="1:11" ht="15" customHeight="1">
      <c r="A1029" s="167"/>
      <c r="B1029" s="171"/>
      <c r="C1029" s="956"/>
      <c r="D1029" s="956"/>
      <c r="E1029" s="1008"/>
      <c r="F1029" s="1009"/>
      <c r="G1029" s="1008"/>
      <c r="H1029" s="163"/>
      <c r="K1029" s="2"/>
    </row>
    <row r="1030" spans="1:11" ht="15" customHeight="1">
      <c r="A1030" s="167"/>
      <c r="B1030" s="171"/>
      <c r="C1030" s="956"/>
      <c r="D1030" s="956"/>
      <c r="E1030" s="1008"/>
      <c r="F1030" s="1009"/>
      <c r="G1030" s="1008"/>
      <c r="H1030" s="163"/>
    </row>
    <row r="1031" spans="1:11" ht="15" customHeight="1">
      <c r="A1031" s="167"/>
      <c r="B1031" s="171"/>
      <c r="C1031" s="956"/>
      <c r="D1031" s="956"/>
      <c r="E1031" s="1008"/>
      <c r="F1031" s="1009"/>
      <c r="G1031" s="1008"/>
      <c r="H1031" s="163"/>
    </row>
    <row r="1032" spans="1:11" ht="15" customHeight="1">
      <c r="A1032" s="167"/>
      <c r="B1032" s="171"/>
      <c r="C1032" s="956"/>
      <c r="D1032" s="956"/>
      <c r="E1032" s="1008"/>
      <c r="F1032" s="1009"/>
      <c r="G1032" s="1008"/>
      <c r="H1032" s="163"/>
    </row>
    <row r="1033" spans="1:11" ht="15" customHeight="1">
      <c r="A1033" s="167"/>
      <c r="B1033" s="171"/>
      <c r="C1033" s="956"/>
      <c r="D1033" s="956"/>
      <c r="E1033" s="1008"/>
      <c r="F1033" s="1009"/>
      <c r="G1033" s="1008"/>
      <c r="H1033" s="163"/>
    </row>
    <row r="1034" spans="1:11" ht="15.75" customHeight="1">
      <c r="A1034" s="167"/>
      <c r="B1034" s="171"/>
      <c r="C1034" s="956"/>
      <c r="D1034" s="956"/>
      <c r="E1034" s="1008"/>
      <c r="F1034" s="1009"/>
      <c r="G1034" s="1008"/>
      <c r="H1034" s="163"/>
    </row>
    <row r="1035" spans="1:11" ht="15.75" customHeight="1">
      <c r="A1035" s="167"/>
      <c r="B1035" s="171"/>
      <c r="C1035" s="956"/>
      <c r="D1035" s="956"/>
      <c r="E1035" s="1008"/>
      <c r="F1035" s="1009"/>
      <c r="G1035" s="1008"/>
      <c r="H1035" s="163"/>
      <c r="K1035" s="2"/>
    </row>
    <row r="1036" spans="1:11" ht="15.75" customHeight="1">
      <c r="A1036" s="167"/>
      <c r="B1036" s="171"/>
      <c r="C1036" s="956"/>
      <c r="D1036" s="956"/>
      <c r="E1036" s="1008"/>
      <c r="F1036" s="1009"/>
      <c r="G1036" s="1008"/>
      <c r="H1036" s="163"/>
    </row>
    <row r="1037" spans="1:11" ht="15.75" customHeight="1">
      <c r="A1037" s="167"/>
      <c r="B1037" s="171"/>
      <c r="C1037" s="956"/>
      <c r="D1037" s="956"/>
      <c r="E1037" s="1008"/>
      <c r="F1037" s="1009"/>
      <c r="G1037" s="1008"/>
      <c r="H1037" s="163"/>
    </row>
    <row r="1038" spans="1:11" ht="15.75" customHeight="1">
      <c r="A1038" s="167"/>
      <c r="B1038" s="171"/>
      <c r="C1038" s="956"/>
      <c r="D1038" s="956"/>
      <c r="E1038" s="1008"/>
      <c r="F1038" s="1009"/>
      <c r="G1038" s="1008"/>
      <c r="H1038" s="163"/>
    </row>
    <row r="1039" spans="1:11" ht="15.75" customHeight="1">
      <c r="A1039" s="167"/>
      <c r="B1039" s="171"/>
      <c r="C1039" s="956"/>
      <c r="D1039" s="956"/>
      <c r="E1039" s="1008"/>
      <c r="F1039" s="1009"/>
      <c r="G1039" s="1008"/>
      <c r="H1039" s="163"/>
    </row>
    <row r="1040" spans="1:11" ht="15.75" customHeight="1">
      <c r="A1040" s="167"/>
      <c r="B1040" s="171"/>
      <c r="C1040" s="956"/>
      <c r="D1040" s="956"/>
      <c r="E1040" s="1008"/>
      <c r="F1040" s="1009"/>
      <c r="G1040" s="1008"/>
      <c r="H1040" s="163"/>
    </row>
    <row r="1041" spans="1:29" ht="15.75" customHeight="1">
      <c r="A1041" s="167"/>
      <c r="B1041" s="171"/>
      <c r="C1041" s="956"/>
      <c r="D1041" s="956"/>
      <c r="E1041" s="1008"/>
      <c r="F1041" s="1009"/>
      <c r="G1041" s="1008"/>
      <c r="H1041" s="165"/>
      <c r="I1041" s="2"/>
      <c r="J1041" s="2"/>
      <c r="L1041" s="2"/>
      <c r="M1041" s="2"/>
      <c r="N1041" s="2"/>
      <c r="O1041" s="2"/>
      <c r="P1041" s="2"/>
      <c r="Q1041" s="2"/>
      <c r="R1041" s="2"/>
      <c r="S1041" s="2"/>
      <c r="T1041" s="2"/>
      <c r="U1041" s="2"/>
      <c r="V1041" s="2"/>
      <c r="W1041" s="2"/>
      <c r="X1041" s="2"/>
      <c r="Y1041" s="2"/>
      <c r="Z1041" s="2"/>
      <c r="AA1041" s="2"/>
      <c r="AB1041" s="2"/>
      <c r="AC1041" s="2"/>
    </row>
    <row r="1042" spans="1:29" ht="15.75" customHeight="1">
      <c r="A1042" s="167"/>
      <c r="B1042" s="171"/>
      <c r="C1042" s="956"/>
      <c r="D1042" s="956"/>
      <c r="E1042" s="1008"/>
      <c r="F1042" s="1009"/>
      <c r="G1042" s="1008"/>
      <c r="H1042" s="163"/>
    </row>
    <row r="1043" spans="1:29" ht="15.75" customHeight="1">
      <c r="A1043" s="167"/>
      <c r="B1043" s="171"/>
      <c r="C1043" s="956"/>
      <c r="D1043" s="956"/>
      <c r="E1043" s="1008"/>
      <c r="F1043" s="1009"/>
      <c r="G1043" s="1008"/>
      <c r="H1043" s="163"/>
    </row>
    <row r="1044" spans="1:29" ht="15.75" customHeight="1">
      <c r="A1044" s="167"/>
      <c r="B1044" s="171"/>
      <c r="C1044" s="956"/>
      <c r="D1044" s="956"/>
      <c r="E1044" s="1008"/>
      <c r="F1044" s="1009"/>
      <c r="G1044" s="1008"/>
      <c r="H1044" s="163"/>
    </row>
    <row r="1045" spans="1:29" ht="15.75" customHeight="1">
      <c r="A1045" s="167"/>
      <c r="B1045" s="171"/>
      <c r="C1045" s="956"/>
      <c r="D1045" s="956"/>
      <c r="E1045" s="1008"/>
      <c r="F1045" s="1009"/>
      <c r="G1045" s="1008"/>
      <c r="H1045" s="163"/>
    </row>
    <row r="1046" spans="1:29" ht="15.75" customHeight="1">
      <c r="A1046" s="167"/>
      <c r="B1046" s="171"/>
      <c r="C1046" s="956"/>
      <c r="D1046" s="956"/>
      <c r="E1046" s="1008"/>
      <c r="F1046" s="1009"/>
      <c r="G1046" s="1008"/>
      <c r="H1046" s="163"/>
    </row>
    <row r="1047" spans="1:29" ht="15.75" customHeight="1">
      <c r="A1047" s="167"/>
      <c r="B1047" s="171"/>
      <c r="C1047" s="956"/>
      <c r="D1047" s="956"/>
      <c r="E1047" s="1008"/>
      <c r="F1047" s="1009"/>
      <c r="G1047" s="1008"/>
      <c r="H1047" s="163"/>
    </row>
    <row r="1048" spans="1:29" ht="15.75" customHeight="1">
      <c r="A1048" s="167"/>
      <c r="B1048" s="171"/>
      <c r="C1048" s="956"/>
      <c r="D1048" s="956"/>
      <c r="E1048" s="1008"/>
      <c r="F1048" s="1009"/>
      <c r="G1048" s="1008"/>
      <c r="H1048" s="163"/>
      <c r="K1048" s="2"/>
    </row>
    <row r="1049" spans="1:29" ht="15.75" customHeight="1">
      <c r="A1049" s="167"/>
      <c r="B1049" s="171"/>
      <c r="C1049" s="956"/>
      <c r="D1049" s="956"/>
      <c r="E1049" s="1008"/>
      <c r="F1049" s="1009"/>
      <c r="G1049" s="1008"/>
      <c r="H1049" s="163"/>
    </row>
    <row r="1050" spans="1:29" ht="15.75" customHeight="1">
      <c r="A1050" s="167"/>
      <c r="B1050" s="171"/>
      <c r="C1050" s="956"/>
      <c r="D1050" s="956"/>
      <c r="E1050" s="1008"/>
      <c r="F1050" s="1009"/>
      <c r="G1050" s="1008"/>
      <c r="H1050" s="163"/>
    </row>
    <row r="1051" spans="1:29" ht="15.75" customHeight="1">
      <c r="A1051" s="167"/>
      <c r="B1051" s="171"/>
      <c r="C1051" s="956"/>
      <c r="D1051" s="956"/>
      <c r="E1051" s="1008"/>
      <c r="F1051" s="1009"/>
      <c r="G1051" s="1008"/>
      <c r="H1051" s="163"/>
    </row>
    <row r="1052" spans="1:29" ht="15.75" customHeight="1">
      <c r="A1052" s="167"/>
      <c r="B1052" s="171"/>
      <c r="C1052" s="956"/>
      <c r="D1052" s="956"/>
      <c r="E1052" s="1008"/>
      <c r="F1052" s="1009"/>
      <c r="G1052" s="1008"/>
      <c r="H1052" s="163"/>
    </row>
    <row r="1053" spans="1:29" ht="15.75" customHeight="1">
      <c r="A1053" s="167"/>
      <c r="B1053" s="171"/>
      <c r="C1053" s="956"/>
      <c r="D1053" s="956"/>
      <c r="E1053" s="1008"/>
      <c r="F1053" s="1009"/>
      <c r="G1053" s="1008"/>
      <c r="H1053" s="163"/>
    </row>
    <row r="1054" spans="1:29" ht="15.75" customHeight="1">
      <c r="A1054" s="167"/>
      <c r="B1054" s="171"/>
      <c r="C1054" s="956"/>
      <c r="D1054" s="956"/>
      <c r="E1054" s="1008"/>
      <c r="F1054" s="1009"/>
      <c r="G1054" s="1008"/>
      <c r="H1054" s="163"/>
    </row>
    <row r="1055" spans="1:29" ht="15.75" customHeight="1">
      <c r="A1055" s="167"/>
      <c r="B1055" s="171"/>
      <c r="C1055" s="956"/>
      <c r="D1055" s="956"/>
      <c r="E1055" s="1008"/>
      <c r="F1055" s="1009"/>
      <c r="G1055" s="1008"/>
      <c r="H1055" s="163"/>
    </row>
    <row r="1056" spans="1:29" ht="15.75" customHeight="1">
      <c r="A1056" s="167"/>
      <c r="B1056" s="171"/>
      <c r="C1056" s="956"/>
      <c r="D1056" s="956"/>
      <c r="E1056" s="1008"/>
      <c r="F1056" s="1009"/>
      <c r="G1056" s="1008"/>
      <c r="H1056" s="163"/>
    </row>
    <row r="1057" spans="1:8" ht="15.75" customHeight="1">
      <c r="A1057" s="965"/>
      <c r="B1057" s="956"/>
      <c r="C1057" s="956"/>
      <c r="D1057" s="956"/>
      <c r="E1057" s="1008"/>
      <c r="F1057" s="1009"/>
      <c r="G1057" s="1008"/>
      <c r="H1057" s="163"/>
    </row>
    <row r="1058" spans="1:8" ht="15.75" customHeight="1">
      <c r="A1058" s="167"/>
      <c r="B1058" s="171"/>
      <c r="C1058" s="956"/>
      <c r="D1058" s="956"/>
      <c r="E1058" s="1008"/>
      <c r="F1058" s="1009"/>
      <c r="G1058" s="1008"/>
      <c r="H1058" s="163"/>
    </row>
    <row r="1059" spans="1:8" ht="15.75" customHeight="1">
      <c r="A1059" s="167"/>
      <c r="B1059" s="171"/>
      <c r="C1059" s="956"/>
      <c r="D1059" s="956"/>
      <c r="E1059" s="1008"/>
      <c r="F1059" s="1009"/>
      <c r="G1059" s="1008"/>
      <c r="H1059" s="163"/>
    </row>
    <row r="1060" spans="1:8" ht="15.75" customHeight="1">
      <c r="A1060" s="167"/>
      <c r="B1060" s="171"/>
      <c r="C1060" s="956"/>
      <c r="D1060" s="956"/>
      <c r="E1060" s="1008"/>
      <c r="F1060" s="1009"/>
      <c r="G1060" s="1008"/>
      <c r="H1060" s="163"/>
    </row>
    <row r="1061" spans="1:8" ht="15.75" customHeight="1">
      <c r="A1061" s="167"/>
      <c r="B1061" s="171"/>
      <c r="C1061" s="956"/>
      <c r="D1061" s="956"/>
      <c r="E1061" s="1008"/>
      <c r="F1061" s="1009"/>
      <c r="G1061" s="1008"/>
      <c r="H1061" s="163"/>
    </row>
    <row r="1062" spans="1:8" ht="15" customHeight="1">
      <c r="A1062" s="167"/>
      <c r="B1062" s="171"/>
      <c r="C1062" s="956"/>
      <c r="D1062" s="956"/>
      <c r="E1062" s="1008"/>
      <c r="F1062" s="1009"/>
      <c r="G1062" s="1008"/>
    </row>
    <row r="1063" spans="1:8" ht="15" customHeight="1">
      <c r="A1063" s="167"/>
      <c r="B1063" s="171"/>
      <c r="C1063" s="956"/>
      <c r="D1063" s="956"/>
      <c r="E1063" s="1008"/>
      <c r="F1063" s="1009"/>
      <c r="G1063" s="1008"/>
    </row>
    <row r="1064" spans="1:8" ht="15" customHeight="1">
      <c r="A1064" s="167"/>
      <c r="B1064" s="171"/>
      <c r="C1064" s="956"/>
      <c r="D1064" s="956"/>
      <c r="E1064" s="1008"/>
      <c r="F1064" s="1009"/>
      <c r="G1064" s="1008"/>
    </row>
    <row r="1065" spans="1:8" ht="15" customHeight="1">
      <c r="A1065" s="167"/>
      <c r="B1065" s="171"/>
      <c r="C1065" s="956"/>
      <c r="D1065" s="956"/>
      <c r="E1065" s="1008"/>
      <c r="F1065" s="1009"/>
      <c r="G1065" s="1008"/>
    </row>
    <row r="1066" spans="1:8" ht="15" customHeight="1">
      <c r="A1066" s="167"/>
      <c r="B1066" s="171"/>
      <c r="C1066" s="956"/>
      <c r="D1066" s="956"/>
      <c r="E1066" s="1008"/>
      <c r="F1066" s="1009"/>
      <c r="G1066" s="1008"/>
    </row>
    <row r="1067" spans="1:8" ht="15" customHeight="1">
      <c r="A1067" s="964"/>
      <c r="B1067" s="171"/>
      <c r="C1067" s="956"/>
      <c r="D1067" s="956"/>
      <c r="E1067" s="1008"/>
      <c r="F1067" s="1009"/>
      <c r="G1067" s="1008"/>
    </row>
  </sheetData>
  <autoFilter ref="A1:G870" xr:uid="{00000000-0009-0000-0000-000009000000}"/>
  <dataValidations count="3">
    <dataValidation type="list" allowBlank="1" showErrorMessage="1" sqref="D1" xr:uid="{00000000-0002-0000-0900-000000000000}">
      <formula1>$K$1:$K$146</formula1>
    </dataValidation>
    <dataValidation type="list" allowBlank="1" showErrorMessage="1" sqref="C2:C1067" xr:uid="{00000000-0002-0000-0900-000001000000}">
      <formula1>$I$1:$I$11</formula1>
    </dataValidation>
    <dataValidation type="list" allowBlank="1" showInputMessage="1" showErrorMessage="1" sqref="D2:D1161" xr:uid="{00000000-0002-0000-0900-000002000000}">
      <formula1>$K$3:$K$146</formula1>
    </dataValidation>
  </dataValidations>
  <hyperlinks>
    <hyperlink ref="A523" r:id="rId1" xr:uid="{00000000-0004-0000-0900-000000000000}"/>
  </hyperlinks>
  <pageMargins left="0.7" right="0.7" top="0.75" bottom="0.75" header="0" footer="0"/>
  <pageSetup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7" t="s">
        <v>1637</v>
      </c>
      <c r="B1" s="957" t="s">
        <v>265</v>
      </c>
      <c r="C1" s="957" t="s">
        <v>1640</v>
      </c>
      <c r="D1" s="957" t="s">
        <v>278</v>
      </c>
    </row>
    <row r="2" spans="1:8" ht="15">
      <c r="A2" s="168" t="s">
        <v>568</v>
      </c>
      <c r="B2" s="169" t="s">
        <v>567</v>
      </c>
      <c r="C2" s="956" t="s">
        <v>75</v>
      </c>
      <c r="D2" s="956" t="s">
        <v>29</v>
      </c>
      <c r="G2" s="947" t="s">
        <v>2205</v>
      </c>
      <c r="H2" s="947" t="s">
        <v>2206</v>
      </c>
    </row>
    <row r="3" spans="1:8" ht="15">
      <c r="A3" s="168" t="s">
        <v>570</v>
      </c>
      <c r="B3" s="169" t="s">
        <v>569</v>
      </c>
      <c r="C3" s="956" t="s">
        <v>144</v>
      </c>
      <c r="D3" s="956" t="s">
        <v>31</v>
      </c>
      <c r="G3" s="947" t="s">
        <v>2224</v>
      </c>
      <c r="H3" s="947" t="s">
        <v>2225</v>
      </c>
    </row>
    <row r="4" spans="1:8" ht="15">
      <c r="A4" s="168" t="s">
        <v>572</v>
      </c>
      <c r="B4" s="169" t="s">
        <v>571</v>
      </c>
      <c r="C4" s="956" t="s">
        <v>75</v>
      </c>
      <c r="D4" s="956" t="s">
        <v>29</v>
      </c>
      <c r="G4" s="947" t="s">
        <v>2226</v>
      </c>
      <c r="H4" s="947" t="s">
        <v>2227</v>
      </c>
    </row>
    <row r="5" spans="1:8" ht="15">
      <c r="A5" s="168" t="s">
        <v>574</v>
      </c>
      <c r="B5" s="169" t="s">
        <v>573</v>
      </c>
      <c r="C5" s="956" t="s">
        <v>144</v>
      </c>
      <c r="D5" s="956" t="s">
        <v>31</v>
      </c>
      <c r="G5" s="947" t="s">
        <v>2854</v>
      </c>
      <c r="H5" s="947" t="s">
        <v>2393</v>
      </c>
    </row>
    <row r="6" spans="1:8" ht="15">
      <c r="A6" s="168" t="s">
        <v>576</v>
      </c>
      <c r="B6" s="169" t="s">
        <v>575</v>
      </c>
      <c r="C6" s="956" t="s">
        <v>75</v>
      </c>
      <c r="D6" s="956" t="s">
        <v>29</v>
      </c>
      <c r="G6" s="947" t="s">
        <v>2389</v>
      </c>
      <c r="H6" s="947" t="s">
        <v>2390</v>
      </c>
    </row>
    <row r="7" spans="1:8" ht="15">
      <c r="A7" s="168" t="s">
        <v>578</v>
      </c>
      <c r="B7" s="169" t="s">
        <v>577</v>
      </c>
      <c r="C7" s="956" t="s">
        <v>144</v>
      </c>
      <c r="D7" s="956" t="s">
        <v>31</v>
      </c>
      <c r="G7" s="947" t="s">
        <v>2391</v>
      </c>
      <c r="H7" s="947" t="s">
        <v>2392</v>
      </c>
    </row>
    <row r="8" spans="1:8" ht="15">
      <c r="A8" s="168" t="s">
        <v>580</v>
      </c>
      <c r="B8" s="169" t="s">
        <v>579</v>
      </c>
      <c r="C8" s="956" t="s">
        <v>75</v>
      </c>
      <c r="D8" s="956" t="s">
        <v>29</v>
      </c>
      <c r="G8" s="947" t="s">
        <v>2183</v>
      </c>
      <c r="H8" s="947" t="s">
        <v>2184</v>
      </c>
    </row>
    <row r="9" spans="1:8" ht="15">
      <c r="A9" s="168" t="s">
        <v>582</v>
      </c>
      <c r="B9" s="169" t="s">
        <v>581</v>
      </c>
      <c r="C9" s="956" t="s">
        <v>144</v>
      </c>
      <c r="D9" s="956" t="s">
        <v>31</v>
      </c>
      <c r="G9" s="947" t="s">
        <v>2027</v>
      </c>
      <c r="H9" s="947" t="s">
        <v>2017</v>
      </c>
    </row>
    <row r="10" spans="1:8" ht="15">
      <c r="A10" s="168" t="s">
        <v>584</v>
      </c>
      <c r="B10" s="169" t="s">
        <v>583</v>
      </c>
      <c r="C10" s="956" t="s">
        <v>75</v>
      </c>
      <c r="D10" s="956" t="s">
        <v>29</v>
      </c>
      <c r="G10" s="947" t="s">
        <v>2015</v>
      </c>
      <c r="H10" s="947" t="s">
        <v>2016</v>
      </c>
    </row>
    <row r="11" spans="1:8" ht="15">
      <c r="A11" s="168" t="s">
        <v>586</v>
      </c>
      <c r="B11" s="169" t="s">
        <v>585</v>
      </c>
      <c r="C11" s="956" t="s">
        <v>144</v>
      </c>
      <c r="D11" s="956" t="s">
        <v>31</v>
      </c>
      <c r="G11" s="947" t="s">
        <v>2102</v>
      </c>
      <c r="H11" s="947" t="s">
        <v>2103</v>
      </c>
    </row>
    <row r="12" spans="1:8" ht="15">
      <c r="A12" s="168" t="s">
        <v>588</v>
      </c>
      <c r="B12" s="169" t="s">
        <v>587</v>
      </c>
      <c r="C12" s="956" t="s">
        <v>75</v>
      </c>
      <c r="D12" s="956" t="s">
        <v>29</v>
      </c>
      <c r="G12" s="947" t="s">
        <v>2737</v>
      </c>
      <c r="H12" s="947" t="s">
        <v>2738</v>
      </c>
    </row>
    <row r="13" spans="1:8" ht="15">
      <c r="A13" s="168" t="s">
        <v>590</v>
      </c>
      <c r="B13" s="169" t="s">
        <v>589</v>
      </c>
      <c r="C13" s="956" t="s">
        <v>144</v>
      </c>
      <c r="D13" s="956" t="s">
        <v>31</v>
      </c>
      <c r="G13" s="947" t="s">
        <v>2834</v>
      </c>
      <c r="H13" s="947" t="s">
        <v>2835</v>
      </c>
    </row>
    <row r="14" spans="1:8" ht="15">
      <c r="A14" s="168" t="s">
        <v>592</v>
      </c>
      <c r="B14" s="169" t="s">
        <v>591</v>
      </c>
      <c r="C14" s="956" t="s">
        <v>75</v>
      </c>
      <c r="D14" s="956" t="s">
        <v>29</v>
      </c>
      <c r="G14" s="947" t="s">
        <v>2060</v>
      </c>
      <c r="H14" s="947" t="s">
        <v>2061</v>
      </c>
    </row>
    <row r="15" spans="1:8" ht="15">
      <c r="A15" s="168" t="s">
        <v>594</v>
      </c>
      <c r="B15" s="169" t="s">
        <v>593</v>
      </c>
      <c r="C15" s="956" t="s">
        <v>144</v>
      </c>
      <c r="D15" s="956" t="s">
        <v>31</v>
      </c>
      <c r="G15" s="947" t="s">
        <v>2783</v>
      </c>
      <c r="H15" s="947" t="s">
        <v>2784</v>
      </c>
    </row>
    <row r="16" spans="1:8" ht="15">
      <c r="A16" s="168" t="s">
        <v>596</v>
      </c>
      <c r="B16" s="169" t="s">
        <v>595</v>
      </c>
      <c r="C16" s="956" t="s">
        <v>75</v>
      </c>
      <c r="D16" s="956" t="s">
        <v>29</v>
      </c>
      <c r="G16" s="947" t="s">
        <v>2020</v>
      </c>
      <c r="H16" s="947" t="s">
        <v>2021</v>
      </c>
    </row>
    <row r="17" spans="1:8" ht="15">
      <c r="A17" s="168" t="s">
        <v>598</v>
      </c>
      <c r="B17" s="169" t="s">
        <v>597</v>
      </c>
      <c r="C17" s="956" t="s">
        <v>144</v>
      </c>
      <c r="D17" s="956" t="s">
        <v>31</v>
      </c>
      <c r="G17" s="947" t="s">
        <v>2621</v>
      </c>
      <c r="H17" s="947" t="s">
        <v>2622</v>
      </c>
    </row>
    <row r="18" spans="1:8" ht="15">
      <c r="A18" s="168" t="s">
        <v>754</v>
      </c>
      <c r="B18" s="169" t="s">
        <v>753</v>
      </c>
      <c r="C18" s="956" t="s">
        <v>1642</v>
      </c>
      <c r="D18" s="956"/>
      <c r="G18" s="947" t="s">
        <v>2822</v>
      </c>
      <c r="H18" s="947" t="s">
        <v>2823</v>
      </c>
    </row>
    <row r="19" spans="1:8" ht="15">
      <c r="A19" s="168" t="s">
        <v>756</v>
      </c>
      <c r="B19" s="169" t="s">
        <v>755</v>
      </c>
      <c r="C19" s="956" t="s">
        <v>1642</v>
      </c>
      <c r="D19" s="956"/>
      <c r="G19" s="947" t="s">
        <v>2109</v>
      </c>
      <c r="H19" s="947" t="s">
        <v>2110</v>
      </c>
    </row>
    <row r="20" spans="1:8" ht="15">
      <c r="A20" s="168" t="s">
        <v>758</v>
      </c>
      <c r="B20" s="169" t="s">
        <v>757</v>
      </c>
      <c r="C20" s="956" t="s">
        <v>1642</v>
      </c>
      <c r="D20" s="956"/>
      <c r="G20" s="947" t="s">
        <v>2477</v>
      </c>
      <c r="H20" s="947" t="s">
        <v>2478</v>
      </c>
    </row>
    <row r="21" spans="1:8" ht="15">
      <c r="A21" s="168" t="s">
        <v>760</v>
      </c>
      <c r="B21" s="169" t="s">
        <v>759</v>
      </c>
      <c r="C21" s="956" t="s">
        <v>1642</v>
      </c>
      <c r="D21" s="956"/>
      <c r="G21" s="947" t="s">
        <v>2118</v>
      </c>
      <c r="H21" s="947" t="s">
        <v>2119</v>
      </c>
    </row>
    <row r="22" spans="1:8" ht="15">
      <c r="A22" s="168" t="s">
        <v>762</v>
      </c>
      <c r="B22" s="169" t="s">
        <v>761</v>
      </c>
      <c r="C22" s="956" t="s">
        <v>1642</v>
      </c>
      <c r="D22" s="956"/>
      <c r="G22" s="947" t="s">
        <v>2761</v>
      </c>
      <c r="H22" s="947" t="s">
        <v>2762</v>
      </c>
    </row>
    <row r="23" spans="1:8" ht="15">
      <c r="A23" s="168" t="s">
        <v>764</v>
      </c>
      <c r="B23" s="169" t="s">
        <v>763</v>
      </c>
      <c r="C23" s="956" t="s">
        <v>1642</v>
      </c>
      <c r="D23" s="956"/>
      <c r="G23" s="947" t="s">
        <v>2826</v>
      </c>
      <c r="H23" s="947" t="s">
        <v>2481</v>
      </c>
    </row>
    <row r="24" spans="1:8" ht="15">
      <c r="A24" s="168" t="s">
        <v>766</v>
      </c>
      <c r="B24" s="169" t="s">
        <v>765</v>
      </c>
      <c r="C24" s="956" t="s">
        <v>1642</v>
      </c>
      <c r="D24" s="956"/>
      <c r="G24" s="947" t="s">
        <v>2479</v>
      </c>
      <c r="H24" s="947" t="s">
        <v>2480</v>
      </c>
    </row>
    <row r="25" spans="1:8" ht="15">
      <c r="A25" s="168" t="s">
        <v>768</v>
      </c>
      <c r="B25" s="169" t="s">
        <v>767</v>
      </c>
      <c r="C25" s="956" t="s">
        <v>1642</v>
      </c>
      <c r="D25" s="956"/>
      <c r="G25" s="947" t="s">
        <v>2032</v>
      </c>
      <c r="H25" s="947" t="s">
        <v>2033</v>
      </c>
    </row>
    <row r="26" spans="1:8" ht="15">
      <c r="A26" s="168" t="s">
        <v>770</v>
      </c>
      <c r="B26" s="169" t="s">
        <v>769</v>
      </c>
      <c r="C26" s="956" t="s">
        <v>1642</v>
      </c>
      <c r="D26" s="956"/>
      <c r="G26" s="947" t="s">
        <v>2824</v>
      </c>
      <c r="H26" s="947" t="s">
        <v>2825</v>
      </c>
    </row>
    <row r="27" spans="1:8" ht="15">
      <c r="A27" s="168" t="s">
        <v>772</v>
      </c>
      <c r="B27" s="169" t="s">
        <v>771</v>
      </c>
      <c r="C27" s="956" t="s">
        <v>1642</v>
      </c>
      <c r="D27" s="956"/>
      <c r="G27" s="947" t="s">
        <v>2740</v>
      </c>
      <c r="H27" s="947" t="s">
        <v>2741</v>
      </c>
    </row>
    <row r="28" spans="1:8" ht="15">
      <c r="A28" s="168" t="s">
        <v>774</v>
      </c>
      <c r="B28" s="169" t="s">
        <v>773</v>
      </c>
      <c r="C28" s="956" t="s">
        <v>1642</v>
      </c>
      <c r="D28" s="956"/>
      <c r="G28" s="947" t="s">
        <v>2589</v>
      </c>
      <c r="H28" s="947" t="s">
        <v>2590</v>
      </c>
    </row>
    <row r="29" spans="1:8" ht="15">
      <c r="A29" s="168" t="s">
        <v>776</v>
      </c>
      <c r="B29" s="169" t="s">
        <v>775</v>
      </c>
      <c r="C29" s="956" t="s">
        <v>1642</v>
      </c>
      <c r="D29" s="956"/>
      <c r="G29" s="947" t="s">
        <v>2763</v>
      </c>
      <c r="H29" s="947" t="s">
        <v>2764</v>
      </c>
    </row>
    <row r="30" spans="1:8" ht="15">
      <c r="A30" s="168" t="s">
        <v>778</v>
      </c>
      <c r="B30" s="169" t="s">
        <v>777</v>
      </c>
      <c r="C30" s="956" t="s">
        <v>1642</v>
      </c>
      <c r="D30" s="956"/>
      <c r="G30" s="947" t="s">
        <v>2140</v>
      </c>
      <c r="H30" s="947" t="s">
        <v>2141</v>
      </c>
    </row>
    <row r="31" spans="1:8" ht="15">
      <c r="A31" s="168" t="s">
        <v>780</v>
      </c>
      <c r="B31" s="169" t="s">
        <v>779</v>
      </c>
      <c r="C31" s="956" t="s">
        <v>1642</v>
      </c>
      <c r="D31" s="956"/>
      <c r="G31" s="947" t="s">
        <v>2691</v>
      </c>
      <c r="H31" s="947" t="s">
        <v>2692</v>
      </c>
    </row>
    <row r="32" spans="1:8" ht="15">
      <c r="A32" s="168" t="s">
        <v>782</v>
      </c>
      <c r="B32" s="169" t="s">
        <v>781</v>
      </c>
      <c r="C32" s="956" t="s">
        <v>1642</v>
      </c>
      <c r="D32" s="956"/>
      <c r="G32" s="947" t="s">
        <v>2104</v>
      </c>
      <c r="H32" s="947" t="s">
        <v>2105</v>
      </c>
    </row>
    <row r="33" spans="1:8" ht="15">
      <c r="A33" s="168" t="s">
        <v>784</v>
      </c>
      <c r="B33" s="169" t="s">
        <v>783</v>
      </c>
      <c r="C33" s="956" t="s">
        <v>1642</v>
      </c>
      <c r="D33" s="956"/>
      <c r="G33" s="947" t="s">
        <v>2130</v>
      </c>
      <c r="H33" s="947" t="s">
        <v>2131</v>
      </c>
    </row>
    <row r="34" spans="1:8" ht="15">
      <c r="A34" s="166" t="s">
        <v>552</v>
      </c>
      <c r="B34" s="166" t="s">
        <v>551</v>
      </c>
      <c r="C34" s="956" t="s">
        <v>1646</v>
      </c>
      <c r="D34" s="956"/>
      <c r="G34" s="947" t="s">
        <v>2806</v>
      </c>
      <c r="H34" s="947" t="s">
        <v>2807</v>
      </c>
    </row>
    <row r="35" spans="1:8" ht="15">
      <c r="A35" s="166" t="s">
        <v>554</v>
      </c>
      <c r="B35" s="166" t="s">
        <v>553</v>
      </c>
      <c r="C35" s="956" t="s">
        <v>1646</v>
      </c>
      <c r="D35" s="956"/>
      <c r="G35" s="947" t="s">
        <v>2394</v>
      </c>
      <c r="H35" s="947" t="s">
        <v>2395</v>
      </c>
    </row>
    <row r="36" spans="1:8" ht="15">
      <c r="A36" s="166" t="s">
        <v>556</v>
      </c>
      <c r="B36" s="166" t="s">
        <v>555</v>
      </c>
      <c r="C36" s="956" t="s">
        <v>1646</v>
      </c>
      <c r="D36" s="956"/>
      <c r="G36" s="947" t="s">
        <v>2642</v>
      </c>
      <c r="H36" s="947" t="s">
        <v>2643</v>
      </c>
    </row>
    <row r="37" spans="1:8" ht="15">
      <c r="A37" s="168" t="s">
        <v>558</v>
      </c>
      <c r="B37" s="169" t="s">
        <v>557</v>
      </c>
      <c r="C37" s="956" t="s">
        <v>1646</v>
      </c>
      <c r="D37" s="956"/>
      <c r="G37" s="947" t="s">
        <v>2152</v>
      </c>
      <c r="H37" s="947" t="s">
        <v>2153</v>
      </c>
    </row>
    <row r="38" spans="1:8" ht="15">
      <c r="A38" s="168" t="s">
        <v>560</v>
      </c>
      <c r="B38" s="169" t="s">
        <v>559</v>
      </c>
      <c r="C38" s="956" t="s">
        <v>1646</v>
      </c>
      <c r="D38" s="956"/>
      <c r="G38" s="947" t="s">
        <v>2396</v>
      </c>
      <c r="H38" s="947" t="s">
        <v>2397</v>
      </c>
    </row>
    <row r="39" spans="1:8" ht="15">
      <c r="A39" s="168" t="s">
        <v>562</v>
      </c>
      <c r="B39" s="169" t="s">
        <v>561</v>
      </c>
      <c r="C39" s="956" t="s">
        <v>1646</v>
      </c>
      <c r="D39" s="956"/>
      <c r="G39" s="947" t="s">
        <v>2124</v>
      </c>
      <c r="H39" s="947" t="s">
        <v>2125</v>
      </c>
    </row>
    <row r="40" spans="1:8" ht="15">
      <c r="A40" s="168" t="s">
        <v>564</v>
      </c>
      <c r="B40" s="169" t="s">
        <v>563</v>
      </c>
      <c r="C40" s="956" t="s">
        <v>1646</v>
      </c>
      <c r="D40" s="956"/>
      <c r="G40" s="947" t="s">
        <v>2605</v>
      </c>
      <c r="H40" s="947" t="s">
        <v>2606</v>
      </c>
    </row>
    <row r="41" spans="1:8" ht="15">
      <c r="A41" s="168" t="s">
        <v>566</v>
      </c>
      <c r="B41" s="169" t="s">
        <v>565</v>
      </c>
      <c r="C41" s="956" t="s">
        <v>1646</v>
      </c>
      <c r="D41" s="956"/>
      <c r="G41" s="947" t="s">
        <v>2181</v>
      </c>
      <c r="H41" s="947" t="s">
        <v>2182</v>
      </c>
    </row>
    <row r="42" spans="1:8" ht="15">
      <c r="A42" s="168" t="s">
        <v>600</v>
      </c>
      <c r="B42" s="169" t="s">
        <v>599</v>
      </c>
      <c r="C42" s="956" t="s">
        <v>155</v>
      </c>
      <c r="D42" s="956"/>
      <c r="G42" s="947" t="s">
        <v>2199</v>
      </c>
      <c r="H42" s="947" t="s">
        <v>2200</v>
      </c>
    </row>
    <row r="43" spans="1:8" ht="15">
      <c r="A43" s="168" t="s">
        <v>602</v>
      </c>
      <c r="B43" s="169" t="s">
        <v>601</v>
      </c>
      <c r="C43" s="956" t="s">
        <v>155</v>
      </c>
      <c r="D43" s="956"/>
      <c r="G43" s="947" t="s">
        <v>2398</v>
      </c>
      <c r="H43" s="947" t="s">
        <v>2399</v>
      </c>
    </row>
    <row r="44" spans="1:8" ht="15">
      <c r="A44" s="168" t="s">
        <v>604</v>
      </c>
      <c r="B44" s="169" t="s">
        <v>603</v>
      </c>
      <c r="C44" s="956" t="s">
        <v>155</v>
      </c>
      <c r="D44" s="956"/>
      <c r="G44" s="947" t="s">
        <v>2682</v>
      </c>
      <c r="H44" s="947" t="s">
        <v>2683</v>
      </c>
    </row>
    <row r="45" spans="1:8" ht="15">
      <c r="A45" s="168" t="s">
        <v>606</v>
      </c>
      <c r="B45" s="169" t="s">
        <v>605</v>
      </c>
      <c r="C45" s="956" t="s">
        <v>1646</v>
      </c>
      <c r="D45" s="956" t="s">
        <v>159</v>
      </c>
      <c r="G45" s="947" t="s">
        <v>2785</v>
      </c>
      <c r="H45" s="947" t="s">
        <v>2786</v>
      </c>
    </row>
    <row r="46" spans="1:8" ht="15">
      <c r="A46" s="168" t="s">
        <v>608</v>
      </c>
      <c r="B46" s="169" t="s">
        <v>607</v>
      </c>
      <c r="C46" s="956" t="s">
        <v>1646</v>
      </c>
      <c r="D46" s="956" t="s">
        <v>161</v>
      </c>
      <c r="G46" s="947" t="s">
        <v>2201</v>
      </c>
      <c r="H46" s="947" t="s">
        <v>2202</v>
      </c>
    </row>
    <row r="47" spans="1:8" ht="15">
      <c r="A47" s="168" t="s">
        <v>610</v>
      </c>
      <c r="B47" s="169" t="s">
        <v>609</v>
      </c>
      <c r="C47" s="956" t="s">
        <v>155</v>
      </c>
      <c r="D47" s="956" t="s">
        <v>162</v>
      </c>
      <c r="G47" s="947" t="s">
        <v>2186</v>
      </c>
      <c r="H47" s="947" t="s">
        <v>2187</v>
      </c>
    </row>
    <row r="48" spans="1:8" ht="15">
      <c r="A48" s="168" t="s">
        <v>612</v>
      </c>
      <c r="B48" s="169" t="s">
        <v>611</v>
      </c>
      <c r="C48" s="956" t="s">
        <v>171</v>
      </c>
      <c r="D48" s="956" t="s">
        <v>173</v>
      </c>
      <c r="G48" s="947" t="s">
        <v>2122</v>
      </c>
      <c r="H48" s="947" t="s">
        <v>2123</v>
      </c>
    </row>
    <row r="49" spans="1:8" ht="15">
      <c r="A49" s="168" t="s">
        <v>614</v>
      </c>
      <c r="B49" s="169" t="s">
        <v>613</v>
      </c>
      <c r="C49" s="956" t="s">
        <v>155</v>
      </c>
      <c r="D49" s="956"/>
      <c r="G49" s="947" t="s">
        <v>2116</v>
      </c>
      <c r="H49" s="947" t="s">
        <v>2117</v>
      </c>
    </row>
    <row r="50" spans="1:8" ht="15">
      <c r="A50" s="168" t="s">
        <v>616</v>
      </c>
      <c r="B50" s="169" t="s">
        <v>615</v>
      </c>
      <c r="C50" s="956" t="s">
        <v>1646</v>
      </c>
      <c r="D50" s="956"/>
      <c r="G50" s="947" t="s">
        <v>2142</v>
      </c>
      <c r="H50" s="947" t="s">
        <v>2143</v>
      </c>
    </row>
    <row r="51" spans="1:8" ht="15">
      <c r="A51" s="168" t="s">
        <v>618</v>
      </c>
      <c r="B51" s="169" t="s">
        <v>617</v>
      </c>
      <c r="C51" s="956" t="s">
        <v>1642</v>
      </c>
      <c r="D51" s="956"/>
      <c r="G51" s="947" t="s">
        <v>2177</v>
      </c>
      <c r="H51" s="947" t="s">
        <v>2178</v>
      </c>
    </row>
    <row r="52" spans="1:8" ht="15">
      <c r="A52" s="168" t="s">
        <v>620</v>
      </c>
      <c r="B52" s="169" t="s">
        <v>619</v>
      </c>
      <c r="C52" s="956" t="s">
        <v>1642</v>
      </c>
      <c r="D52" s="956"/>
      <c r="G52" s="947" t="s">
        <v>2803</v>
      </c>
      <c r="H52" s="947" t="s">
        <v>2804</v>
      </c>
    </row>
    <row r="53" spans="1:8" ht="15">
      <c r="A53" s="168" t="s">
        <v>622</v>
      </c>
      <c r="B53" s="169" t="s">
        <v>621</v>
      </c>
      <c r="C53" s="956" t="s">
        <v>1646</v>
      </c>
      <c r="D53" s="956"/>
      <c r="G53" s="947" t="s">
        <v>478</v>
      </c>
      <c r="H53" s="947" t="s">
        <v>2129</v>
      </c>
    </row>
    <row r="54" spans="1:8" ht="15">
      <c r="A54" s="168" t="s">
        <v>624</v>
      </c>
      <c r="B54" s="169" t="s">
        <v>623</v>
      </c>
      <c r="C54" s="956" t="s">
        <v>1642</v>
      </c>
      <c r="D54" s="956"/>
      <c r="G54" s="947" t="s">
        <v>2576</v>
      </c>
      <c r="H54" s="947" t="s">
        <v>2577</v>
      </c>
    </row>
    <row r="55" spans="1:8" ht="15">
      <c r="A55" s="168" t="s">
        <v>626</v>
      </c>
      <c r="B55" s="169" t="s">
        <v>625</v>
      </c>
      <c r="C55" s="956" t="s">
        <v>1642</v>
      </c>
      <c r="D55" s="956"/>
      <c r="G55" s="947" t="s">
        <v>2574</v>
      </c>
      <c r="H55" s="947" t="s">
        <v>2575</v>
      </c>
    </row>
    <row r="56" spans="1:8" ht="15">
      <c r="A56" s="168" t="s">
        <v>628</v>
      </c>
      <c r="B56" s="169" t="s">
        <v>627</v>
      </c>
      <c r="C56" s="956" t="s">
        <v>1646</v>
      </c>
      <c r="D56" s="956"/>
      <c r="G56" s="947" t="s">
        <v>2400</v>
      </c>
      <c r="H56" s="947" t="s">
        <v>2401</v>
      </c>
    </row>
    <row r="57" spans="1:8" ht="15">
      <c r="A57" s="168" t="s">
        <v>630</v>
      </c>
      <c r="B57" s="169" t="s">
        <v>629</v>
      </c>
      <c r="C57" s="956" t="s">
        <v>1642</v>
      </c>
      <c r="D57" s="956"/>
      <c r="G57" s="947" t="s">
        <v>2156</v>
      </c>
      <c r="H57" s="947" t="s">
        <v>2157</v>
      </c>
    </row>
    <row r="58" spans="1:8" ht="15">
      <c r="A58" s="168" t="s">
        <v>632</v>
      </c>
      <c r="B58" s="169" t="s">
        <v>631</v>
      </c>
      <c r="C58" s="956" t="s">
        <v>144</v>
      </c>
      <c r="D58" s="956"/>
      <c r="G58" s="947" t="s">
        <v>2402</v>
      </c>
      <c r="H58" s="947" t="s">
        <v>2403</v>
      </c>
    </row>
    <row r="59" spans="1:8" ht="15">
      <c r="A59" s="168" t="s">
        <v>634</v>
      </c>
      <c r="B59" s="169" t="s">
        <v>633</v>
      </c>
      <c r="C59" s="956" t="s">
        <v>144</v>
      </c>
      <c r="D59" s="956"/>
      <c r="G59" s="947" t="s">
        <v>2126</v>
      </c>
      <c r="H59" s="947" t="s">
        <v>2127</v>
      </c>
    </row>
    <row r="60" spans="1:8" ht="15">
      <c r="A60" s="168" t="s">
        <v>636</v>
      </c>
      <c r="B60" s="169" t="s">
        <v>635</v>
      </c>
      <c r="C60" s="956" t="s">
        <v>1646</v>
      </c>
      <c r="D60" s="956"/>
      <c r="G60" s="947" t="s">
        <v>2404</v>
      </c>
      <c r="H60" s="947" t="s">
        <v>2405</v>
      </c>
    </row>
    <row r="61" spans="1:8" ht="15">
      <c r="A61" s="168" t="s">
        <v>638</v>
      </c>
      <c r="B61" s="169" t="s">
        <v>637</v>
      </c>
      <c r="C61" s="956" t="s">
        <v>1646</v>
      </c>
      <c r="D61" s="956"/>
      <c r="G61" s="947" t="s">
        <v>2197</v>
      </c>
      <c r="H61" s="947" t="s">
        <v>2198</v>
      </c>
    </row>
    <row r="62" spans="1:8" ht="15">
      <c r="A62" s="168" t="s">
        <v>640</v>
      </c>
      <c r="B62" s="169" t="s">
        <v>639</v>
      </c>
      <c r="C62" s="956" t="s">
        <v>75</v>
      </c>
      <c r="D62" s="956" t="s">
        <v>181</v>
      </c>
      <c r="G62" s="947" t="s">
        <v>2406</v>
      </c>
      <c r="H62" s="947" t="s">
        <v>2407</v>
      </c>
    </row>
    <row r="63" spans="1:8" ht="15">
      <c r="A63" s="168" t="s">
        <v>642</v>
      </c>
      <c r="B63" s="169" t="s">
        <v>641</v>
      </c>
      <c r="C63" s="956" t="s">
        <v>75</v>
      </c>
      <c r="D63" s="956" t="s">
        <v>181</v>
      </c>
      <c r="G63" s="947" t="s">
        <v>2570</v>
      </c>
      <c r="H63" s="947" t="s">
        <v>2571</v>
      </c>
    </row>
    <row r="64" spans="1:8" ht="15">
      <c r="A64" s="168" t="s">
        <v>644</v>
      </c>
      <c r="B64" s="169" t="s">
        <v>643</v>
      </c>
      <c r="C64" s="956" t="s">
        <v>75</v>
      </c>
      <c r="D64" s="956" t="s">
        <v>181</v>
      </c>
      <c r="G64" s="947" t="s">
        <v>2408</v>
      </c>
      <c r="H64" s="947" t="s">
        <v>2409</v>
      </c>
    </row>
    <row r="65" spans="1:8" ht="15">
      <c r="A65" s="168" t="s">
        <v>646</v>
      </c>
      <c r="B65" s="169" t="s">
        <v>645</v>
      </c>
      <c r="C65" s="956" t="s">
        <v>75</v>
      </c>
      <c r="D65" s="956" t="s">
        <v>181</v>
      </c>
      <c r="G65" s="947" t="s">
        <v>2163</v>
      </c>
      <c r="H65" s="947" t="s">
        <v>2164</v>
      </c>
    </row>
    <row r="66" spans="1:8" ht="15">
      <c r="A66" s="168" t="s">
        <v>648</v>
      </c>
      <c r="B66" s="169" t="s">
        <v>647</v>
      </c>
      <c r="C66" s="956" t="s">
        <v>75</v>
      </c>
      <c r="D66" s="956" t="s">
        <v>181</v>
      </c>
      <c r="G66" s="947" t="s">
        <v>2410</v>
      </c>
      <c r="H66" s="947" t="s">
        <v>2411</v>
      </c>
    </row>
    <row r="67" spans="1:8" ht="15">
      <c r="A67" s="168" t="s">
        <v>650</v>
      </c>
      <c r="B67" s="169" t="s">
        <v>649</v>
      </c>
      <c r="C67" s="956" t="s">
        <v>75</v>
      </c>
      <c r="D67" s="956" t="s">
        <v>181</v>
      </c>
      <c r="G67" s="947" t="s">
        <v>2412</v>
      </c>
      <c r="H67" s="947" t="s">
        <v>2413</v>
      </c>
    </row>
    <row r="68" spans="1:8" ht="15">
      <c r="A68" s="168" t="s">
        <v>652</v>
      </c>
      <c r="B68" s="169" t="s">
        <v>651</v>
      </c>
      <c r="C68" s="956" t="s">
        <v>75</v>
      </c>
      <c r="D68" s="956" t="s">
        <v>181</v>
      </c>
      <c r="G68" s="947" t="s">
        <v>2568</v>
      </c>
      <c r="H68" s="947" t="s">
        <v>2569</v>
      </c>
    </row>
    <row r="69" spans="1:8" ht="15">
      <c r="A69" s="168" t="s">
        <v>654</v>
      </c>
      <c r="B69" s="169" t="s">
        <v>653</v>
      </c>
      <c r="C69" s="956" t="s">
        <v>75</v>
      </c>
      <c r="D69" s="956" t="s">
        <v>181</v>
      </c>
      <c r="G69" s="947" t="s">
        <v>2154</v>
      </c>
      <c r="H69" s="947" t="s">
        <v>2155</v>
      </c>
    </row>
    <row r="70" spans="1:8" ht="15">
      <c r="A70" s="168" t="s">
        <v>656</v>
      </c>
      <c r="B70" s="169" t="s">
        <v>655</v>
      </c>
      <c r="C70" s="956" t="s">
        <v>144</v>
      </c>
      <c r="D70" s="956" t="s">
        <v>181</v>
      </c>
      <c r="G70" s="947" t="s">
        <v>822</v>
      </c>
      <c r="H70" s="947" t="s">
        <v>2414</v>
      </c>
    </row>
    <row r="71" spans="1:8" ht="15">
      <c r="A71" s="168" t="s">
        <v>658</v>
      </c>
      <c r="B71" s="169" t="s">
        <v>657</v>
      </c>
      <c r="C71" s="956" t="s">
        <v>144</v>
      </c>
      <c r="D71" s="956" t="s">
        <v>181</v>
      </c>
      <c r="G71" s="947" t="s">
        <v>2195</v>
      </c>
      <c r="H71" s="947" t="s">
        <v>2196</v>
      </c>
    </row>
    <row r="72" spans="1:8" ht="15">
      <c r="A72" s="168" t="s">
        <v>660</v>
      </c>
      <c r="B72" s="169" t="s">
        <v>659</v>
      </c>
      <c r="C72" s="956" t="s">
        <v>144</v>
      </c>
      <c r="D72" s="956" t="s">
        <v>181</v>
      </c>
      <c r="G72" s="947" t="s">
        <v>2415</v>
      </c>
      <c r="H72" s="947" t="s">
        <v>2416</v>
      </c>
    </row>
    <row r="73" spans="1:8" ht="15">
      <c r="A73" s="168" t="s">
        <v>662</v>
      </c>
      <c r="B73" s="169" t="s">
        <v>661</v>
      </c>
      <c r="C73" s="956" t="s">
        <v>144</v>
      </c>
      <c r="D73" s="956" t="s">
        <v>181</v>
      </c>
      <c r="G73" s="947" t="s">
        <v>2752</v>
      </c>
      <c r="H73" s="947" t="s">
        <v>2753</v>
      </c>
    </row>
    <row r="74" spans="1:8" ht="15">
      <c r="A74" s="168" t="s">
        <v>664</v>
      </c>
      <c r="B74" s="169" t="s">
        <v>663</v>
      </c>
      <c r="C74" s="956" t="s">
        <v>144</v>
      </c>
      <c r="D74" s="956" t="s">
        <v>181</v>
      </c>
      <c r="G74" s="947" t="s">
        <v>2208</v>
      </c>
      <c r="H74" s="947" t="s">
        <v>2209</v>
      </c>
    </row>
    <row r="75" spans="1:8" ht="15">
      <c r="A75" s="168" t="s">
        <v>666</v>
      </c>
      <c r="B75" s="169" t="s">
        <v>665</v>
      </c>
      <c r="C75" s="956" t="s">
        <v>144</v>
      </c>
      <c r="D75" s="956" t="s">
        <v>181</v>
      </c>
      <c r="G75" s="947" t="s">
        <v>2846</v>
      </c>
      <c r="H75" s="947" t="s">
        <v>2847</v>
      </c>
    </row>
    <row r="76" spans="1:8" ht="15">
      <c r="A76" s="168" t="s">
        <v>668</v>
      </c>
      <c r="B76" s="169" t="s">
        <v>667</v>
      </c>
      <c r="C76" s="956" t="s">
        <v>144</v>
      </c>
      <c r="D76" s="956" t="s">
        <v>181</v>
      </c>
      <c r="G76" s="947" t="s">
        <v>2036</v>
      </c>
      <c r="H76" s="947" t="s">
        <v>2037</v>
      </c>
    </row>
    <row r="77" spans="1:8" ht="15">
      <c r="A77" s="168" t="s">
        <v>670</v>
      </c>
      <c r="B77" s="169" t="s">
        <v>669</v>
      </c>
      <c r="C77" s="956" t="s">
        <v>144</v>
      </c>
      <c r="D77" s="956" t="s">
        <v>181</v>
      </c>
      <c r="G77" s="947" t="s">
        <v>2417</v>
      </c>
      <c r="H77" s="947" t="s">
        <v>2418</v>
      </c>
    </row>
    <row r="78" spans="1:8" ht="15">
      <c r="A78" s="169" t="s">
        <v>672</v>
      </c>
      <c r="B78" s="169" t="s">
        <v>671</v>
      </c>
      <c r="C78" s="956" t="s">
        <v>75</v>
      </c>
      <c r="D78" s="956" t="s">
        <v>1738</v>
      </c>
      <c r="G78" s="947" t="s">
        <v>2203</v>
      </c>
      <c r="H78" s="947" t="s">
        <v>2204</v>
      </c>
    </row>
    <row r="79" spans="1:8" ht="15">
      <c r="A79" s="169" t="s">
        <v>674</v>
      </c>
      <c r="B79" s="169" t="s">
        <v>673</v>
      </c>
      <c r="C79" s="956" t="s">
        <v>75</v>
      </c>
      <c r="D79" s="956" t="s">
        <v>1738</v>
      </c>
      <c r="G79" s="947" t="s">
        <v>2056</v>
      </c>
      <c r="H79" s="947" t="s">
        <v>2057</v>
      </c>
    </row>
    <row r="80" spans="1:8" ht="15">
      <c r="A80" s="169" t="s">
        <v>676</v>
      </c>
      <c r="B80" s="169" t="s">
        <v>675</v>
      </c>
      <c r="C80" s="956" t="s">
        <v>75</v>
      </c>
      <c r="D80" s="956" t="s">
        <v>1738</v>
      </c>
      <c r="G80" s="947" t="s">
        <v>2796</v>
      </c>
      <c r="H80" s="947" t="s">
        <v>2797</v>
      </c>
    </row>
    <row r="81" spans="1:8" ht="15">
      <c r="A81" s="169" t="s">
        <v>678</v>
      </c>
      <c r="B81" s="169" t="s">
        <v>677</v>
      </c>
      <c r="C81" s="956" t="s">
        <v>75</v>
      </c>
      <c r="D81" s="956" t="s">
        <v>1738</v>
      </c>
      <c r="G81" s="947" t="s">
        <v>2813</v>
      </c>
      <c r="H81" s="947" t="s">
        <v>2066</v>
      </c>
    </row>
    <row r="82" spans="1:8" ht="15">
      <c r="A82" s="169" t="s">
        <v>680</v>
      </c>
      <c r="B82" s="169" t="s">
        <v>679</v>
      </c>
      <c r="C82" s="956" t="s">
        <v>75</v>
      </c>
      <c r="D82" s="956" t="s">
        <v>1738</v>
      </c>
      <c r="G82" s="947" t="s">
        <v>2064</v>
      </c>
      <c r="H82" s="947" t="s">
        <v>2065</v>
      </c>
    </row>
    <row r="83" spans="1:8" ht="15">
      <c r="A83" s="169" t="s">
        <v>682</v>
      </c>
      <c r="B83" s="169" t="s">
        <v>681</v>
      </c>
      <c r="C83" s="956" t="s">
        <v>75</v>
      </c>
      <c r="D83" s="956" t="s">
        <v>1738</v>
      </c>
      <c r="G83" s="947" t="s">
        <v>2616</v>
      </c>
      <c r="H83" s="947" t="s">
        <v>2617</v>
      </c>
    </row>
    <row r="84" spans="1:8" ht="15">
      <c r="A84" s="169" t="s">
        <v>684</v>
      </c>
      <c r="B84" s="169" t="s">
        <v>683</v>
      </c>
      <c r="C84" s="956" t="s">
        <v>75</v>
      </c>
      <c r="D84" s="956" t="s">
        <v>1738</v>
      </c>
      <c r="G84" s="947" t="s">
        <v>2818</v>
      </c>
      <c r="H84" s="947" t="s">
        <v>2819</v>
      </c>
    </row>
    <row r="85" spans="1:8" ht="15">
      <c r="A85" s="169" t="s">
        <v>686</v>
      </c>
      <c r="B85" s="169" t="s">
        <v>685</v>
      </c>
      <c r="C85" s="956" t="s">
        <v>75</v>
      </c>
      <c r="D85" s="956" t="s">
        <v>1738</v>
      </c>
      <c r="G85" s="947" t="s">
        <v>2173</v>
      </c>
      <c r="H85" s="947" t="s">
        <v>2134</v>
      </c>
    </row>
    <row r="86" spans="1:8" ht="15">
      <c r="A86" s="168" t="s">
        <v>688</v>
      </c>
      <c r="B86" s="169" t="s">
        <v>687</v>
      </c>
      <c r="C86" s="956" t="s">
        <v>75</v>
      </c>
      <c r="D86" s="956"/>
      <c r="G86" s="947" t="s">
        <v>2772</v>
      </c>
      <c r="H86" s="947" t="s">
        <v>2773</v>
      </c>
    </row>
    <row r="87" spans="1:8" ht="15">
      <c r="A87" s="168" t="s">
        <v>690</v>
      </c>
      <c r="B87" s="169" t="s">
        <v>689</v>
      </c>
      <c r="C87" s="956" t="s">
        <v>144</v>
      </c>
      <c r="D87" s="956"/>
      <c r="G87" s="947" t="s">
        <v>2746</v>
      </c>
      <c r="H87" s="947" t="s">
        <v>2747</v>
      </c>
    </row>
    <row r="88" spans="1:8" ht="15">
      <c r="A88" s="168" t="s">
        <v>692</v>
      </c>
      <c r="B88" s="169" t="s">
        <v>691</v>
      </c>
      <c r="C88" s="956" t="s">
        <v>155</v>
      </c>
      <c r="D88" s="956"/>
      <c r="G88" s="947" t="s">
        <v>2228</v>
      </c>
      <c r="H88" s="947" t="s">
        <v>2229</v>
      </c>
    </row>
    <row r="89" spans="1:8" ht="15">
      <c r="A89" s="168" t="s">
        <v>694</v>
      </c>
      <c r="B89" s="169" t="s">
        <v>693</v>
      </c>
      <c r="C89" s="956" t="s">
        <v>171</v>
      </c>
      <c r="D89" s="956"/>
      <c r="G89" s="947" t="s">
        <v>2009</v>
      </c>
      <c r="H89" s="947" t="s">
        <v>2010</v>
      </c>
    </row>
    <row r="90" spans="1:8" ht="15">
      <c r="A90" s="168" t="s">
        <v>696</v>
      </c>
      <c r="B90" s="169" t="s">
        <v>695</v>
      </c>
      <c r="C90" s="956" t="s">
        <v>175</v>
      </c>
      <c r="D90" s="956"/>
      <c r="G90" s="947" t="s">
        <v>2049</v>
      </c>
      <c r="H90" s="947" t="s">
        <v>2050</v>
      </c>
    </row>
    <row r="91" spans="1:8" ht="15">
      <c r="A91" s="168" t="s">
        <v>698</v>
      </c>
      <c r="B91" s="169" t="s">
        <v>697</v>
      </c>
      <c r="C91" s="956" t="s">
        <v>75</v>
      </c>
      <c r="D91" s="956"/>
      <c r="G91" s="947" t="s">
        <v>2132</v>
      </c>
      <c r="H91" s="947" t="s">
        <v>2133</v>
      </c>
    </row>
    <row r="92" spans="1:8" ht="15">
      <c r="A92" s="168" t="s">
        <v>700</v>
      </c>
      <c r="B92" s="169" t="s">
        <v>699</v>
      </c>
      <c r="C92" s="956" t="s">
        <v>144</v>
      </c>
      <c r="D92" s="956"/>
      <c r="G92" s="947" t="s">
        <v>2419</v>
      </c>
      <c r="H92" s="947" t="s">
        <v>2420</v>
      </c>
    </row>
    <row r="93" spans="1:8" ht="15">
      <c r="A93" s="168" t="s">
        <v>702</v>
      </c>
      <c r="B93" s="169" t="s">
        <v>701</v>
      </c>
      <c r="C93" s="956" t="s">
        <v>155</v>
      </c>
      <c r="D93" s="956"/>
      <c r="G93" s="947" t="s">
        <v>2146</v>
      </c>
      <c r="H93" s="947" t="s">
        <v>2147</v>
      </c>
    </row>
    <row r="94" spans="1:8" ht="15">
      <c r="A94" s="168" t="s">
        <v>704</v>
      </c>
      <c r="B94" s="169" t="s">
        <v>703</v>
      </c>
      <c r="C94" s="956" t="s">
        <v>175</v>
      </c>
      <c r="D94" s="956"/>
      <c r="G94" s="947" t="s">
        <v>2231</v>
      </c>
      <c r="H94" s="947" t="s">
        <v>2232</v>
      </c>
    </row>
    <row r="95" spans="1:8" ht="15">
      <c r="A95" s="168" t="s">
        <v>706</v>
      </c>
      <c r="B95" s="169" t="s">
        <v>705</v>
      </c>
      <c r="C95" s="956" t="s">
        <v>144</v>
      </c>
      <c r="D95" s="956"/>
      <c r="G95" s="947" t="s">
        <v>2710</v>
      </c>
      <c r="H95" s="947" t="s">
        <v>2162</v>
      </c>
    </row>
    <row r="96" spans="1:8" ht="15">
      <c r="A96" s="168" t="s">
        <v>708</v>
      </c>
      <c r="B96" s="169" t="s">
        <v>707</v>
      </c>
      <c r="C96" s="956" t="s">
        <v>75</v>
      </c>
      <c r="D96" s="956" t="s">
        <v>163</v>
      </c>
      <c r="G96" s="947" t="s">
        <v>2160</v>
      </c>
      <c r="H96" s="947" t="s">
        <v>2161</v>
      </c>
    </row>
    <row r="97" spans="1:8" ht="15">
      <c r="A97" s="168" t="s">
        <v>710</v>
      </c>
      <c r="B97" s="169" t="s">
        <v>709</v>
      </c>
      <c r="C97" s="956" t="s">
        <v>75</v>
      </c>
      <c r="D97" s="956"/>
      <c r="G97" s="947" t="s">
        <v>2233</v>
      </c>
      <c r="H97" s="947" t="s">
        <v>2234</v>
      </c>
    </row>
    <row r="98" spans="1:8" ht="15">
      <c r="A98" s="168" t="s">
        <v>712</v>
      </c>
      <c r="B98" s="169" t="s">
        <v>711</v>
      </c>
      <c r="C98" s="956" t="s">
        <v>144</v>
      </c>
      <c r="D98" s="956"/>
      <c r="G98" s="947" t="s">
        <v>2749</v>
      </c>
      <c r="H98" s="947" t="s">
        <v>2750</v>
      </c>
    </row>
    <row r="99" spans="1:8" ht="15">
      <c r="A99" s="168" t="s">
        <v>714</v>
      </c>
      <c r="B99" s="169" t="s">
        <v>713</v>
      </c>
      <c r="C99" s="956" t="s">
        <v>75</v>
      </c>
      <c r="D99" s="956"/>
      <c r="G99" s="947" t="s">
        <v>2582</v>
      </c>
      <c r="H99" s="947" t="s">
        <v>2583</v>
      </c>
    </row>
    <row r="100" spans="1:8" ht="15">
      <c r="A100" s="168" t="s">
        <v>716</v>
      </c>
      <c r="B100" s="169" t="s">
        <v>715</v>
      </c>
      <c r="C100" s="956" t="s">
        <v>144</v>
      </c>
      <c r="D100" s="956"/>
      <c r="G100" s="947" t="s">
        <v>536</v>
      </c>
      <c r="H100" s="947" t="s">
        <v>2185</v>
      </c>
    </row>
    <row r="101" spans="1:8" ht="15">
      <c r="A101" s="168" t="s">
        <v>718</v>
      </c>
      <c r="B101" s="169" t="s">
        <v>717</v>
      </c>
      <c r="C101" s="956" t="s">
        <v>155</v>
      </c>
      <c r="D101" s="956"/>
      <c r="G101" s="947" t="s">
        <v>2235</v>
      </c>
      <c r="H101" s="947" t="s">
        <v>2236</v>
      </c>
    </row>
    <row r="102" spans="1:8" ht="15">
      <c r="A102" s="168" t="s">
        <v>720</v>
      </c>
      <c r="B102" s="169" t="s">
        <v>719</v>
      </c>
      <c r="C102" s="956" t="s">
        <v>175</v>
      </c>
      <c r="D102" s="956"/>
      <c r="G102" s="947" t="s">
        <v>2237</v>
      </c>
      <c r="H102" s="947" t="s">
        <v>2238</v>
      </c>
    </row>
    <row r="103" spans="1:8" ht="15">
      <c r="A103" s="168" t="s">
        <v>722</v>
      </c>
      <c r="B103" s="169" t="s">
        <v>721</v>
      </c>
      <c r="C103" s="956" t="s">
        <v>75</v>
      </c>
      <c r="D103" s="956"/>
      <c r="G103" s="947" t="s">
        <v>2193</v>
      </c>
      <c r="H103" s="947" t="s">
        <v>2194</v>
      </c>
    </row>
    <row r="104" spans="1:8" ht="15">
      <c r="A104" s="168" t="s">
        <v>724</v>
      </c>
      <c r="B104" s="169" t="s">
        <v>723</v>
      </c>
      <c r="C104" s="956" t="s">
        <v>144</v>
      </c>
      <c r="D104" s="956"/>
      <c r="G104" s="947" t="s">
        <v>2239</v>
      </c>
      <c r="H104" s="947" t="s">
        <v>2240</v>
      </c>
    </row>
    <row r="105" spans="1:8" ht="15">
      <c r="A105" s="168" t="s">
        <v>726</v>
      </c>
      <c r="B105" s="169" t="s">
        <v>725</v>
      </c>
      <c r="C105" s="956" t="s">
        <v>155</v>
      </c>
      <c r="D105" s="956"/>
      <c r="G105" s="947" t="s">
        <v>2242</v>
      </c>
      <c r="H105" s="947" t="s">
        <v>2243</v>
      </c>
    </row>
    <row r="106" spans="1:8" ht="15">
      <c r="A106" s="168" t="s">
        <v>728</v>
      </c>
      <c r="B106" s="169" t="s">
        <v>727</v>
      </c>
      <c r="C106" s="956" t="s">
        <v>155</v>
      </c>
      <c r="D106" s="956" t="s">
        <v>163</v>
      </c>
      <c r="G106" s="947" t="s">
        <v>2244</v>
      </c>
      <c r="H106" s="947" t="s">
        <v>2245</v>
      </c>
    </row>
    <row r="107" spans="1:8" ht="15">
      <c r="A107" s="168" t="s">
        <v>730</v>
      </c>
      <c r="B107" s="169" t="s">
        <v>729</v>
      </c>
      <c r="C107" s="956" t="s">
        <v>155</v>
      </c>
      <c r="D107" s="956"/>
      <c r="G107" s="947" t="s">
        <v>2246</v>
      </c>
      <c r="H107" s="947" t="s">
        <v>2247</v>
      </c>
    </row>
    <row r="108" spans="1:8" ht="15">
      <c r="A108" s="168" t="s">
        <v>732</v>
      </c>
      <c r="B108" s="169" t="s">
        <v>731</v>
      </c>
      <c r="C108" s="956" t="s">
        <v>75</v>
      </c>
      <c r="D108" s="956"/>
      <c r="G108" s="947" t="s">
        <v>2600</v>
      </c>
      <c r="H108" s="947" t="s">
        <v>2601</v>
      </c>
    </row>
    <row r="109" spans="1:8" ht="15">
      <c r="A109" s="168" t="s">
        <v>734</v>
      </c>
      <c r="B109" s="169" t="s">
        <v>733</v>
      </c>
      <c r="C109" s="956" t="s">
        <v>144</v>
      </c>
      <c r="D109" s="956"/>
      <c r="G109" s="947" t="s">
        <v>2058</v>
      </c>
      <c r="H109" s="947" t="s">
        <v>2059</v>
      </c>
    </row>
    <row r="110" spans="1:8" ht="15">
      <c r="A110" s="168" t="s">
        <v>736</v>
      </c>
      <c r="B110" s="169" t="s">
        <v>735</v>
      </c>
      <c r="C110" s="956" t="s">
        <v>155</v>
      </c>
      <c r="D110" s="956"/>
      <c r="G110" s="947" t="s">
        <v>2098</v>
      </c>
      <c r="H110" s="947" t="s">
        <v>2099</v>
      </c>
    </row>
    <row r="111" spans="1:8" ht="15">
      <c r="A111" s="168" t="s">
        <v>738</v>
      </c>
      <c r="B111" s="169" t="s">
        <v>737</v>
      </c>
      <c r="C111" s="956" t="s">
        <v>171</v>
      </c>
      <c r="D111" s="956"/>
      <c r="G111" s="947" t="s">
        <v>2421</v>
      </c>
      <c r="H111" s="947" t="s">
        <v>2422</v>
      </c>
    </row>
    <row r="112" spans="1:8" ht="15">
      <c r="A112" s="168" t="s">
        <v>740</v>
      </c>
      <c r="B112" s="169" t="s">
        <v>739</v>
      </c>
      <c r="C112" s="956" t="s">
        <v>175</v>
      </c>
      <c r="D112" s="956"/>
      <c r="G112" s="947" t="s">
        <v>2094</v>
      </c>
      <c r="H112" s="947" t="s">
        <v>2095</v>
      </c>
    </row>
    <row r="113" spans="1:8" ht="15">
      <c r="A113" s="168" t="s">
        <v>742</v>
      </c>
      <c r="B113" s="169" t="s">
        <v>741</v>
      </c>
      <c r="C113" s="956" t="s">
        <v>1646</v>
      </c>
      <c r="D113" s="956" t="s">
        <v>113</v>
      </c>
      <c r="G113" s="947" t="s">
        <v>2188</v>
      </c>
      <c r="H113" s="947" t="s">
        <v>2189</v>
      </c>
    </row>
    <row r="114" spans="1:8" ht="15">
      <c r="A114" s="168" t="s">
        <v>744</v>
      </c>
      <c r="B114" s="169" t="s">
        <v>743</v>
      </c>
      <c r="C114" s="956" t="s">
        <v>1646</v>
      </c>
      <c r="D114" s="956" t="s">
        <v>113</v>
      </c>
      <c r="G114" s="947" t="s">
        <v>2248</v>
      </c>
      <c r="H114" s="947" t="s">
        <v>2249</v>
      </c>
    </row>
    <row r="115" spans="1:8" ht="15">
      <c r="A115" s="168" t="s">
        <v>746</v>
      </c>
      <c r="B115" s="169" t="s">
        <v>745</v>
      </c>
      <c r="C115" s="956" t="s">
        <v>155</v>
      </c>
      <c r="D115" s="956" t="s">
        <v>113</v>
      </c>
      <c r="G115" s="947" t="s">
        <v>2250</v>
      </c>
      <c r="H115" s="947" t="s">
        <v>2251</v>
      </c>
    </row>
    <row r="116" spans="1:8" ht="15">
      <c r="A116" s="168" t="s">
        <v>748</v>
      </c>
      <c r="B116" s="169" t="s">
        <v>747</v>
      </c>
      <c r="C116" s="956" t="s">
        <v>171</v>
      </c>
      <c r="D116" s="956" t="s">
        <v>113</v>
      </c>
      <c r="G116" s="947" t="s">
        <v>2252</v>
      </c>
      <c r="H116" s="947" t="s">
        <v>2253</v>
      </c>
    </row>
    <row r="117" spans="1:8" ht="15">
      <c r="A117" s="168" t="s">
        <v>750</v>
      </c>
      <c r="B117" s="169" t="s">
        <v>749</v>
      </c>
      <c r="C117" s="956" t="s">
        <v>175</v>
      </c>
      <c r="D117" s="956" t="s">
        <v>113</v>
      </c>
      <c r="G117" s="947" t="s">
        <v>2254</v>
      </c>
      <c r="H117" s="947" t="s">
        <v>2255</v>
      </c>
    </row>
    <row r="118" spans="1:8" ht="15">
      <c r="A118" s="168" t="s">
        <v>752</v>
      </c>
      <c r="B118" s="169" t="s">
        <v>751</v>
      </c>
      <c r="C118" s="956" t="s">
        <v>175</v>
      </c>
      <c r="D118" s="956"/>
      <c r="G118" s="947" t="s">
        <v>2689</v>
      </c>
      <c r="H118" s="947" t="s">
        <v>2690</v>
      </c>
    </row>
    <row r="119" spans="1:8" ht="15">
      <c r="A119" s="168" t="s">
        <v>520</v>
      </c>
      <c r="B119" s="169" t="s">
        <v>1567</v>
      </c>
      <c r="C119" s="956" t="s">
        <v>1642</v>
      </c>
      <c r="D119" s="956" t="s">
        <v>8</v>
      </c>
      <c r="G119" s="947" t="s">
        <v>827</v>
      </c>
      <c r="H119" s="947" t="s">
        <v>2190</v>
      </c>
    </row>
    <row r="120" spans="1:8" ht="15">
      <c r="A120" s="168" t="s">
        <v>1144</v>
      </c>
      <c r="B120" s="169" t="s">
        <v>1143</v>
      </c>
      <c r="C120" s="956" t="s">
        <v>1642</v>
      </c>
      <c r="D120" s="956" t="s">
        <v>8</v>
      </c>
      <c r="G120" s="947" t="s">
        <v>2210</v>
      </c>
      <c r="H120" s="947" t="s">
        <v>2211</v>
      </c>
    </row>
    <row r="121" spans="1:8" ht="15">
      <c r="A121" s="168" t="s">
        <v>519</v>
      </c>
      <c r="B121" s="169" t="s">
        <v>518</v>
      </c>
      <c r="C121" s="956" t="s">
        <v>1642</v>
      </c>
      <c r="D121" s="956" t="s">
        <v>1924</v>
      </c>
      <c r="G121" s="947" t="s">
        <v>2256</v>
      </c>
      <c r="H121" s="947" t="s">
        <v>2257</v>
      </c>
    </row>
    <row r="122" spans="1:8" ht="15">
      <c r="A122" s="168" t="s">
        <v>786</v>
      </c>
      <c r="B122" s="169" t="s">
        <v>785</v>
      </c>
      <c r="C122" s="956" t="s">
        <v>1642</v>
      </c>
      <c r="D122" s="956" t="s">
        <v>8</v>
      </c>
      <c r="G122" s="947" t="s">
        <v>2423</v>
      </c>
      <c r="H122" s="947" t="s">
        <v>2424</v>
      </c>
    </row>
    <row r="123" spans="1:8" ht="15">
      <c r="A123" s="168" t="s">
        <v>788</v>
      </c>
      <c r="B123" s="169" t="s">
        <v>787</v>
      </c>
      <c r="C123" s="956" t="s">
        <v>1642</v>
      </c>
      <c r="D123" s="956" t="s">
        <v>8</v>
      </c>
      <c r="G123" s="947" t="s">
        <v>2425</v>
      </c>
      <c r="H123" s="947" t="s">
        <v>2426</v>
      </c>
    </row>
    <row r="124" spans="1:8" ht="15">
      <c r="A124" s="168" t="s">
        <v>1142</v>
      </c>
      <c r="B124" s="169" t="s">
        <v>1141</v>
      </c>
      <c r="C124" s="956" t="s">
        <v>1642</v>
      </c>
      <c r="D124" s="956" t="s">
        <v>8</v>
      </c>
      <c r="G124" s="947" t="s">
        <v>2427</v>
      </c>
      <c r="H124" s="947" t="s">
        <v>2428</v>
      </c>
    </row>
    <row r="125" spans="1:8" ht="15">
      <c r="A125" s="168" t="s">
        <v>526</v>
      </c>
      <c r="B125" s="169" t="s">
        <v>525</v>
      </c>
      <c r="C125" s="956" t="s">
        <v>1642</v>
      </c>
      <c r="D125" s="956" t="s">
        <v>8</v>
      </c>
      <c r="G125" s="947" t="s">
        <v>2258</v>
      </c>
      <c r="H125" s="947" t="s">
        <v>2259</v>
      </c>
    </row>
    <row r="126" spans="1:8" ht="15">
      <c r="A126" s="168" t="s">
        <v>292</v>
      </c>
      <c r="B126" s="169" t="s">
        <v>291</v>
      </c>
      <c r="C126" s="956" t="s">
        <v>1642</v>
      </c>
      <c r="D126" s="956" t="s">
        <v>12</v>
      </c>
      <c r="G126" s="947" t="s">
        <v>2260</v>
      </c>
      <c r="H126" s="947" t="s">
        <v>2261</v>
      </c>
    </row>
    <row r="127" spans="1:8" ht="15">
      <c r="A127" s="168" t="s">
        <v>411</v>
      </c>
      <c r="B127" s="169" t="s">
        <v>1549</v>
      </c>
      <c r="C127" s="956" t="s">
        <v>1642</v>
      </c>
      <c r="D127" s="956" t="s">
        <v>13</v>
      </c>
      <c r="G127" s="947" t="s">
        <v>2262</v>
      </c>
      <c r="H127" s="947" t="s">
        <v>2263</v>
      </c>
    </row>
    <row r="128" spans="1:8" ht="15">
      <c r="A128" s="168" t="s">
        <v>410</v>
      </c>
      <c r="B128" s="169" t="s">
        <v>409</v>
      </c>
      <c r="C128" s="956" t="s">
        <v>1642</v>
      </c>
      <c r="D128" s="956" t="s">
        <v>13</v>
      </c>
      <c r="G128" s="947" t="s">
        <v>2264</v>
      </c>
      <c r="H128" s="947" t="s">
        <v>2265</v>
      </c>
    </row>
    <row r="129" spans="1:8" ht="15">
      <c r="A129" s="168" t="s">
        <v>393</v>
      </c>
      <c r="B129" s="169" t="s">
        <v>1418</v>
      </c>
      <c r="C129" s="956" t="s">
        <v>1642</v>
      </c>
      <c r="D129" s="956" t="s">
        <v>17</v>
      </c>
      <c r="G129" s="947" t="s">
        <v>2267</v>
      </c>
      <c r="H129" s="947" t="s">
        <v>2268</v>
      </c>
    </row>
    <row r="130" spans="1:8" ht="15">
      <c r="A130" s="168" t="s">
        <v>392</v>
      </c>
      <c r="B130" s="169" t="s">
        <v>391</v>
      </c>
      <c r="C130" s="956" t="s">
        <v>1642</v>
      </c>
      <c r="D130" s="956" t="s">
        <v>21</v>
      </c>
      <c r="G130" s="947" t="s">
        <v>2269</v>
      </c>
      <c r="H130" s="947" t="s">
        <v>2270</v>
      </c>
    </row>
    <row r="131" spans="1:8" ht="15">
      <c r="A131" s="168" t="s">
        <v>1522</v>
      </c>
      <c r="B131" s="169" t="s">
        <v>1558</v>
      </c>
      <c r="C131" s="956" t="s">
        <v>1642</v>
      </c>
      <c r="D131" s="956" t="s">
        <v>15</v>
      </c>
      <c r="G131" s="947" t="s">
        <v>2271</v>
      </c>
      <c r="H131" s="947" t="s">
        <v>2272</v>
      </c>
    </row>
    <row r="132" spans="1:8" ht="15">
      <c r="A132" s="168" t="s">
        <v>355</v>
      </c>
      <c r="B132" s="169" t="s">
        <v>354</v>
      </c>
      <c r="C132" s="956" t="s">
        <v>1642</v>
      </c>
      <c r="D132" s="956" t="s">
        <v>19</v>
      </c>
      <c r="G132" s="947" t="s">
        <v>2429</v>
      </c>
      <c r="H132" s="947" t="s">
        <v>2430</v>
      </c>
    </row>
    <row r="133" spans="1:8" ht="15">
      <c r="A133" s="168" t="s">
        <v>1424</v>
      </c>
      <c r="B133" s="169" t="s">
        <v>1423</v>
      </c>
      <c r="C133" s="956" t="s">
        <v>1642</v>
      </c>
      <c r="D133" s="956" t="s">
        <v>1931</v>
      </c>
      <c r="G133" s="947" t="s">
        <v>2273</v>
      </c>
      <c r="H133" s="947" t="s">
        <v>2274</v>
      </c>
    </row>
    <row r="134" spans="1:8" ht="15">
      <c r="A134" s="169" t="s">
        <v>1417</v>
      </c>
      <c r="B134" s="169" t="s">
        <v>1416</v>
      </c>
      <c r="C134" s="956" t="s">
        <v>1642</v>
      </c>
      <c r="D134" s="956" t="s">
        <v>1931</v>
      </c>
      <c r="G134" s="947" t="s">
        <v>2276</v>
      </c>
      <c r="H134" s="947" t="s">
        <v>2277</v>
      </c>
    </row>
    <row r="135" spans="1:8" ht="15">
      <c r="A135" s="168" t="s">
        <v>1176</v>
      </c>
      <c r="B135" s="169" t="s">
        <v>1175</v>
      </c>
      <c r="C135" s="956" t="s">
        <v>1642</v>
      </c>
      <c r="D135" s="956" t="s">
        <v>40</v>
      </c>
      <c r="G135" s="947" t="s">
        <v>2279</v>
      </c>
      <c r="H135" s="947" t="s">
        <v>2280</v>
      </c>
    </row>
    <row r="136" spans="1:8" ht="15">
      <c r="A136" s="168" t="s">
        <v>1521</v>
      </c>
      <c r="B136" s="169" t="s">
        <v>1520</v>
      </c>
      <c r="C136" s="956" t="s">
        <v>1642</v>
      </c>
      <c r="D136" s="956" t="s">
        <v>15</v>
      </c>
      <c r="G136" s="947" t="s">
        <v>2281</v>
      </c>
      <c r="H136" s="947" t="s">
        <v>2282</v>
      </c>
    </row>
    <row r="137" spans="1:8" ht="15">
      <c r="A137" s="168" t="s">
        <v>1200</v>
      </c>
      <c r="B137" s="169" t="s">
        <v>1199</v>
      </c>
      <c r="C137" s="956" t="s">
        <v>1642</v>
      </c>
      <c r="D137" s="956" t="s">
        <v>1931</v>
      </c>
      <c r="G137" s="947" t="s">
        <v>2212</v>
      </c>
      <c r="H137" s="947" t="s">
        <v>2213</v>
      </c>
    </row>
    <row r="138" spans="1:8" ht="15">
      <c r="A138" s="168" t="s">
        <v>790</v>
      </c>
      <c r="B138" s="169" t="s">
        <v>789</v>
      </c>
      <c r="C138" s="956" t="s">
        <v>1642</v>
      </c>
      <c r="D138" s="956" t="s">
        <v>25</v>
      </c>
      <c r="G138" s="947" t="s">
        <v>2283</v>
      </c>
      <c r="H138" s="947" t="s">
        <v>2284</v>
      </c>
    </row>
    <row r="139" spans="1:8" ht="15">
      <c r="A139" s="168" t="s">
        <v>527</v>
      </c>
      <c r="B139" s="169" t="s">
        <v>791</v>
      </c>
      <c r="C139" s="956" t="s">
        <v>1642</v>
      </c>
      <c r="D139" s="956" t="s">
        <v>1931</v>
      </c>
      <c r="G139" s="947" t="s">
        <v>2285</v>
      </c>
      <c r="H139" s="947" t="s">
        <v>2286</v>
      </c>
    </row>
    <row r="140" spans="1:8" ht="15">
      <c r="A140" s="168" t="s">
        <v>347</v>
      </c>
      <c r="B140" s="169" t="s">
        <v>1574</v>
      </c>
      <c r="C140" s="956" t="s">
        <v>1642</v>
      </c>
      <c r="D140" s="956" t="s">
        <v>29</v>
      </c>
      <c r="G140" s="947" t="s">
        <v>2287</v>
      </c>
      <c r="H140" s="947" t="s">
        <v>2288</v>
      </c>
    </row>
    <row r="141" spans="1:8" ht="15">
      <c r="A141" s="168" t="s">
        <v>956</v>
      </c>
      <c r="B141" s="169" t="s">
        <v>955</v>
      </c>
      <c r="C141" s="956" t="s">
        <v>1642</v>
      </c>
      <c r="D141" s="956">
        <v>0</v>
      </c>
      <c r="G141" s="947" t="s">
        <v>2289</v>
      </c>
      <c r="H141" s="947" t="s">
        <v>2290</v>
      </c>
    </row>
    <row r="142" spans="1:8" ht="15">
      <c r="A142" s="168" t="s">
        <v>458</v>
      </c>
      <c r="B142" s="169" t="s">
        <v>457</v>
      </c>
      <c r="C142" s="956" t="s">
        <v>1642</v>
      </c>
      <c r="D142" s="956" t="s">
        <v>29</v>
      </c>
      <c r="G142" s="947" t="s">
        <v>2291</v>
      </c>
      <c r="H142" s="947" t="s">
        <v>2292</v>
      </c>
    </row>
    <row r="143" spans="1:8" ht="15">
      <c r="A143" s="168" t="s">
        <v>442</v>
      </c>
      <c r="B143" s="169" t="s">
        <v>441</v>
      </c>
      <c r="C143" s="956" t="s">
        <v>1642</v>
      </c>
      <c r="D143" s="956" t="s">
        <v>31</v>
      </c>
      <c r="G143" s="947" t="s">
        <v>2293</v>
      </c>
      <c r="H143" s="947" t="s">
        <v>2294</v>
      </c>
    </row>
    <row r="144" spans="1:8" ht="15">
      <c r="A144" s="168" t="s">
        <v>307</v>
      </c>
      <c r="B144" s="169" t="s">
        <v>306</v>
      </c>
      <c r="C144" s="956" t="s">
        <v>1642</v>
      </c>
      <c r="D144" s="956" t="s">
        <v>31</v>
      </c>
      <c r="G144" s="947" t="s">
        <v>2295</v>
      </c>
      <c r="H144" s="947" t="s">
        <v>2296</v>
      </c>
    </row>
    <row r="145" spans="1:8" ht="15">
      <c r="A145" s="168" t="s">
        <v>958</v>
      </c>
      <c r="B145" s="169" t="s">
        <v>957</v>
      </c>
      <c r="C145" s="956" t="s">
        <v>1642</v>
      </c>
      <c r="D145" s="956" t="s">
        <v>147</v>
      </c>
      <c r="G145" s="947" t="s">
        <v>2297</v>
      </c>
      <c r="H145" s="947" t="s">
        <v>2298</v>
      </c>
    </row>
    <row r="146" spans="1:8" ht="15">
      <c r="A146" s="168" t="s">
        <v>346</v>
      </c>
      <c r="B146" s="169" t="s">
        <v>345</v>
      </c>
      <c r="C146" s="956" t="s">
        <v>1642</v>
      </c>
      <c r="D146" s="956" t="s">
        <v>29</v>
      </c>
      <c r="G146" s="947" t="s">
        <v>2299</v>
      </c>
      <c r="H146" s="947" t="s">
        <v>2300</v>
      </c>
    </row>
    <row r="147" spans="1:8" ht="15">
      <c r="A147" s="168" t="s">
        <v>960</v>
      </c>
      <c r="B147" s="169" t="s">
        <v>959</v>
      </c>
      <c r="C147" s="956" t="s">
        <v>1642</v>
      </c>
      <c r="D147" s="956">
        <v>0</v>
      </c>
      <c r="G147" s="947" t="s">
        <v>2301</v>
      </c>
      <c r="H147" s="947" t="s">
        <v>2302</v>
      </c>
    </row>
    <row r="148" spans="1:8" ht="15">
      <c r="A148" s="168" t="s">
        <v>1576</v>
      </c>
      <c r="B148" s="169" t="s">
        <v>1575</v>
      </c>
      <c r="C148" s="956" t="s">
        <v>1642</v>
      </c>
      <c r="D148" s="956" t="s">
        <v>29</v>
      </c>
      <c r="G148" s="947" t="s">
        <v>2025</v>
      </c>
      <c r="H148" s="947" t="s">
        <v>2026</v>
      </c>
    </row>
    <row r="149" spans="1:8" ht="15">
      <c r="A149" s="168" t="s">
        <v>962</v>
      </c>
      <c r="B149" s="169" t="s">
        <v>961</v>
      </c>
      <c r="C149" s="956" t="s">
        <v>1642</v>
      </c>
      <c r="D149" s="956">
        <v>0</v>
      </c>
      <c r="G149" s="947" t="s">
        <v>2482</v>
      </c>
      <c r="H149" s="947" t="s">
        <v>2483</v>
      </c>
    </row>
    <row r="150" spans="1:8" ht="15">
      <c r="A150" s="168" t="s">
        <v>405</v>
      </c>
      <c r="B150" s="169" t="s">
        <v>404</v>
      </c>
      <c r="C150" s="956" t="s">
        <v>1642</v>
      </c>
      <c r="D150" s="956" t="s">
        <v>33</v>
      </c>
      <c r="G150" s="947" t="s">
        <v>2431</v>
      </c>
      <c r="H150" s="947" t="s">
        <v>2432</v>
      </c>
    </row>
    <row r="151" spans="1:8" ht="15">
      <c r="A151" s="168" t="s">
        <v>1500</v>
      </c>
      <c r="B151" s="169" t="s">
        <v>1499</v>
      </c>
      <c r="C151" s="956" t="s">
        <v>1642</v>
      </c>
      <c r="D151" s="956" t="s">
        <v>33</v>
      </c>
      <c r="G151" s="947" t="s">
        <v>2484</v>
      </c>
      <c r="H151" s="947" t="s">
        <v>2485</v>
      </c>
    </row>
    <row r="152" spans="1:8" ht="15">
      <c r="A152" s="168" t="s">
        <v>793</v>
      </c>
      <c r="B152" s="169" t="s">
        <v>792</v>
      </c>
      <c r="C152" s="956" t="s">
        <v>1642</v>
      </c>
      <c r="D152" s="956" t="s">
        <v>33</v>
      </c>
      <c r="G152" s="947" t="s">
        <v>2433</v>
      </c>
      <c r="H152" s="947" t="s">
        <v>2434</v>
      </c>
    </row>
    <row r="153" spans="1:8" ht="15">
      <c r="A153" s="168" t="s">
        <v>1441</v>
      </c>
      <c r="B153" s="169" t="s">
        <v>1440</v>
      </c>
      <c r="C153" s="956" t="s">
        <v>1642</v>
      </c>
      <c r="D153" s="956" t="s">
        <v>39</v>
      </c>
      <c r="G153" s="947" t="s">
        <v>2486</v>
      </c>
      <c r="H153" s="947" t="s">
        <v>2487</v>
      </c>
    </row>
    <row r="154" spans="1:8" ht="15">
      <c r="A154" s="168" t="s">
        <v>1475</v>
      </c>
      <c r="B154" s="169" t="s">
        <v>1474</v>
      </c>
      <c r="C154" s="956" t="s">
        <v>1642</v>
      </c>
      <c r="D154" s="956" t="s">
        <v>41</v>
      </c>
      <c r="G154" s="947" t="s">
        <v>2018</v>
      </c>
      <c r="H154" s="947" t="s">
        <v>2019</v>
      </c>
    </row>
    <row r="155" spans="1:8" ht="15">
      <c r="A155" s="168" t="s">
        <v>505</v>
      </c>
      <c r="B155" s="169" t="s">
        <v>504</v>
      </c>
      <c r="C155" s="956" t="s">
        <v>1642</v>
      </c>
      <c r="D155" s="956" t="s">
        <v>33</v>
      </c>
      <c r="G155" s="947" t="s">
        <v>2488</v>
      </c>
      <c r="H155" s="947" t="s">
        <v>2489</v>
      </c>
    </row>
    <row r="156" spans="1:8" ht="15">
      <c r="A156" s="168" t="s">
        <v>1439</v>
      </c>
      <c r="B156" s="169" t="s">
        <v>1438</v>
      </c>
      <c r="C156" s="956" t="s">
        <v>1642</v>
      </c>
      <c r="D156" s="956" t="s">
        <v>33</v>
      </c>
      <c r="G156" s="947" t="s">
        <v>2435</v>
      </c>
      <c r="H156" s="947" t="s">
        <v>2436</v>
      </c>
    </row>
    <row r="157" spans="1:8" ht="15">
      <c r="A157" s="168" t="s">
        <v>1433</v>
      </c>
      <c r="B157" s="169" t="s">
        <v>1432</v>
      </c>
      <c r="C157" s="956" t="s">
        <v>1642</v>
      </c>
      <c r="D157" s="956" t="s">
        <v>43</v>
      </c>
      <c r="G157" s="947" t="s">
        <v>2490</v>
      </c>
      <c r="H157" s="947" t="s">
        <v>2491</v>
      </c>
    </row>
    <row r="158" spans="1:8" ht="15">
      <c r="A158" s="168" t="s">
        <v>493</v>
      </c>
      <c r="B158" s="169" t="s">
        <v>492</v>
      </c>
      <c r="C158" s="956" t="s">
        <v>1642</v>
      </c>
      <c r="D158" s="956" t="s">
        <v>43</v>
      </c>
      <c r="G158" s="947" t="s">
        <v>2303</v>
      </c>
      <c r="H158" s="947" t="s">
        <v>342</v>
      </c>
    </row>
    <row r="159" spans="1:8" ht="15">
      <c r="A159" s="168" t="s">
        <v>1429</v>
      </c>
      <c r="B159" s="169" t="s">
        <v>1428</v>
      </c>
      <c r="C159" s="956" t="s">
        <v>1642</v>
      </c>
      <c r="D159" s="956" t="s">
        <v>43</v>
      </c>
      <c r="G159" s="947" t="s">
        <v>2013</v>
      </c>
      <c r="H159" s="947" t="s">
        <v>2014</v>
      </c>
    </row>
    <row r="160" spans="1:8" ht="15">
      <c r="A160" s="168" t="s">
        <v>495</v>
      </c>
      <c r="B160" s="169" t="s">
        <v>494</v>
      </c>
      <c r="C160" s="956" t="s">
        <v>1642</v>
      </c>
      <c r="D160" s="956" t="s">
        <v>43</v>
      </c>
      <c r="G160" s="947" t="s">
        <v>2492</v>
      </c>
      <c r="H160" s="947" t="s">
        <v>2493</v>
      </c>
    </row>
    <row r="161" spans="1:8" ht="15">
      <c r="A161" s="168" t="s">
        <v>469</v>
      </c>
      <c r="B161" s="169" t="s">
        <v>468</v>
      </c>
      <c r="C161" s="956" t="s">
        <v>1642</v>
      </c>
      <c r="D161" s="956" t="s">
        <v>43</v>
      </c>
      <c r="G161" s="947" t="s">
        <v>2437</v>
      </c>
      <c r="H161" s="947" t="s">
        <v>2438</v>
      </c>
    </row>
    <row r="162" spans="1:8" ht="15">
      <c r="A162" s="168" t="s">
        <v>463</v>
      </c>
      <c r="B162" s="169" t="s">
        <v>462</v>
      </c>
      <c r="C162" s="956" t="s">
        <v>1642</v>
      </c>
      <c r="D162" s="956" t="s">
        <v>40</v>
      </c>
      <c r="G162" s="947" t="s">
        <v>2494</v>
      </c>
      <c r="H162" s="947" t="s">
        <v>2495</v>
      </c>
    </row>
    <row r="163" spans="1:8" ht="15">
      <c r="A163" s="168" t="s">
        <v>539</v>
      </c>
      <c r="B163" s="169" t="s">
        <v>538</v>
      </c>
      <c r="C163" s="956" t="s">
        <v>1642</v>
      </c>
      <c r="D163" s="956" t="s">
        <v>43</v>
      </c>
      <c r="G163" s="947" t="s">
        <v>2439</v>
      </c>
      <c r="H163" s="947" t="s">
        <v>2440</v>
      </c>
    </row>
    <row r="164" spans="1:8" ht="15">
      <c r="A164" s="168" t="s">
        <v>541</v>
      </c>
      <c r="B164" s="169" t="s">
        <v>540</v>
      </c>
      <c r="C164" s="956" t="s">
        <v>1642</v>
      </c>
      <c r="D164" s="956" t="s">
        <v>43</v>
      </c>
      <c r="G164" s="947" t="s">
        <v>2496</v>
      </c>
      <c r="H164" s="947" t="s">
        <v>2497</v>
      </c>
    </row>
    <row r="165" spans="1:8" ht="15">
      <c r="A165" s="169" t="s">
        <v>1370</v>
      </c>
      <c r="B165" s="169" t="s">
        <v>1369</v>
      </c>
      <c r="C165" s="956" t="s">
        <v>1642</v>
      </c>
      <c r="D165" s="956" t="s">
        <v>43</v>
      </c>
      <c r="G165" s="947" t="s">
        <v>2002</v>
      </c>
      <c r="H165" s="947" t="s">
        <v>2003</v>
      </c>
    </row>
    <row r="166" spans="1:8" ht="15">
      <c r="A166" s="168" t="s">
        <v>449</v>
      </c>
      <c r="B166" s="169" t="s">
        <v>448</v>
      </c>
      <c r="C166" s="956" t="s">
        <v>1642</v>
      </c>
      <c r="D166" s="956" t="s">
        <v>43</v>
      </c>
      <c r="G166" s="947" t="s">
        <v>2498</v>
      </c>
      <c r="H166" s="947" t="s">
        <v>2499</v>
      </c>
    </row>
    <row r="167" spans="1:8" ht="15">
      <c r="A167" s="168" t="s">
        <v>1161</v>
      </c>
      <c r="B167" s="169" t="s">
        <v>1160</v>
      </c>
      <c r="C167" s="956" t="s">
        <v>1642</v>
      </c>
      <c r="D167" s="956" t="s">
        <v>43</v>
      </c>
      <c r="G167" s="947" t="s">
        <v>2030</v>
      </c>
      <c r="H167" s="947" t="s">
        <v>2031</v>
      </c>
    </row>
    <row r="168" spans="1:8" ht="15">
      <c r="A168" s="168" t="s">
        <v>428</v>
      </c>
      <c r="B168" s="169" t="s">
        <v>427</v>
      </c>
      <c r="C168" s="956" t="s">
        <v>1642</v>
      </c>
      <c r="D168" s="956" t="s">
        <v>43</v>
      </c>
      <c r="G168" s="947" t="s">
        <v>2500</v>
      </c>
      <c r="H168" s="947" t="s">
        <v>2501</v>
      </c>
    </row>
    <row r="169" spans="1:8" ht="15">
      <c r="A169" s="168" t="s">
        <v>485</v>
      </c>
      <c r="B169" s="169" t="s">
        <v>484</v>
      </c>
      <c r="C169" s="956" t="s">
        <v>1642</v>
      </c>
      <c r="D169" s="956" t="s">
        <v>40</v>
      </c>
      <c r="G169" s="947" t="s">
        <v>1998</v>
      </c>
      <c r="H169" s="947" t="s">
        <v>1999</v>
      </c>
    </row>
    <row r="170" spans="1:8" ht="15">
      <c r="A170" s="169" t="s">
        <v>1299</v>
      </c>
      <c r="B170" s="169" t="s">
        <v>1298</v>
      </c>
      <c r="C170" s="956" t="s">
        <v>1642</v>
      </c>
      <c r="D170" s="956" t="s">
        <v>40</v>
      </c>
      <c r="G170" s="947" t="s">
        <v>2502</v>
      </c>
      <c r="H170" s="947" t="s">
        <v>2503</v>
      </c>
    </row>
    <row r="171" spans="1:8" ht="15">
      <c r="A171" s="168" t="s">
        <v>477</v>
      </c>
      <c r="B171" s="169" t="s">
        <v>476</v>
      </c>
      <c r="C171" s="956" t="s">
        <v>1642</v>
      </c>
      <c r="D171" s="956" t="s">
        <v>43</v>
      </c>
      <c r="G171" s="947" t="s">
        <v>2028</v>
      </c>
      <c r="H171" s="947" t="s">
        <v>2029</v>
      </c>
    </row>
    <row r="172" spans="1:8" ht="15">
      <c r="A172" s="168" t="s">
        <v>1479</v>
      </c>
      <c r="B172" s="169" t="s">
        <v>1478</v>
      </c>
      <c r="C172" s="956" t="s">
        <v>1642</v>
      </c>
      <c r="D172" s="956" t="s">
        <v>43</v>
      </c>
      <c r="G172" s="947" t="s">
        <v>2504</v>
      </c>
      <c r="H172" s="947" t="s">
        <v>2505</v>
      </c>
    </row>
    <row r="173" spans="1:8" ht="15">
      <c r="A173" s="168" t="s">
        <v>487</v>
      </c>
      <c r="B173" s="169" t="s">
        <v>486</v>
      </c>
      <c r="C173" s="956" t="s">
        <v>1642</v>
      </c>
      <c r="D173" s="956" t="s">
        <v>43</v>
      </c>
      <c r="G173" s="947" t="s">
        <v>2441</v>
      </c>
      <c r="H173" s="947" t="s">
        <v>2442</v>
      </c>
    </row>
    <row r="174" spans="1:8" ht="15">
      <c r="A174" s="168" t="s">
        <v>319</v>
      </c>
      <c r="B174" s="169" t="s">
        <v>318</v>
      </c>
      <c r="C174" s="956" t="s">
        <v>1642</v>
      </c>
      <c r="D174" s="956" t="s">
        <v>43</v>
      </c>
      <c r="G174" s="947" t="s">
        <v>2507</v>
      </c>
      <c r="H174" s="947" t="s">
        <v>2508</v>
      </c>
    </row>
    <row r="175" spans="1:8" ht="15">
      <c r="A175" s="168" t="s">
        <v>479</v>
      </c>
      <c r="B175" s="169" t="s">
        <v>478</v>
      </c>
      <c r="C175" s="956" t="s">
        <v>1642</v>
      </c>
      <c r="D175" s="956" t="s">
        <v>43</v>
      </c>
      <c r="G175" s="947" t="s">
        <v>2004</v>
      </c>
      <c r="H175" s="947" t="s">
        <v>2005</v>
      </c>
    </row>
    <row r="176" spans="1:8" ht="15">
      <c r="A176" s="169" t="s">
        <v>1277</v>
      </c>
      <c r="B176" s="169" t="s">
        <v>1276</v>
      </c>
      <c r="C176" s="956" t="s">
        <v>1642</v>
      </c>
      <c r="D176" s="956" t="s">
        <v>43</v>
      </c>
      <c r="G176" s="947" t="s">
        <v>2509</v>
      </c>
      <c r="H176" s="947" t="s">
        <v>2510</v>
      </c>
    </row>
    <row r="177" spans="1:8" ht="15">
      <c r="A177" s="168" t="s">
        <v>1152</v>
      </c>
      <c r="B177" s="169" t="s">
        <v>1151</v>
      </c>
      <c r="C177" s="956" t="s">
        <v>1642</v>
      </c>
      <c r="D177" s="956" t="s">
        <v>43</v>
      </c>
      <c r="G177" s="947" t="s">
        <v>2000</v>
      </c>
      <c r="H177" s="947" t="s">
        <v>2001</v>
      </c>
    </row>
    <row r="178" spans="1:8" ht="15">
      <c r="A178" s="168" t="s">
        <v>795</v>
      </c>
      <c r="B178" s="169" t="s">
        <v>794</v>
      </c>
      <c r="C178" s="956" t="s">
        <v>1642</v>
      </c>
      <c r="D178" s="956" t="s">
        <v>53</v>
      </c>
      <c r="G178" s="947" t="s">
        <v>2511</v>
      </c>
      <c r="H178" s="947" t="s">
        <v>2512</v>
      </c>
    </row>
    <row r="179" spans="1:8" ht="15">
      <c r="A179" s="168" t="s">
        <v>481</v>
      </c>
      <c r="B179" s="169" t="s">
        <v>480</v>
      </c>
      <c r="C179" s="956" t="s">
        <v>1642</v>
      </c>
      <c r="D179" s="956" t="s">
        <v>53</v>
      </c>
      <c r="G179" s="947" t="s">
        <v>2304</v>
      </c>
      <c r="H179" s="947" t="s">
        <v>2305</v>
      </c>
    </row>
    <row r="180" spans="1:8" ht="15">
      <c r="A180" s="168" t="s">
        <v>797</v>
      </c>
      <c r="B180" s="169" t="s">
        <v>796</v>
      </c>
      <c r="C180" s="956" t="s">
        <v>1642</v>
      </c>
      <c r="D180" s="956" t="s">
        <v>53</v>
      </c>
      <c r="G180" s="947" t="s">
        <v>2443</v>
      </c>
      <c r="H180" s="947" t="s">
        <v>2444</v>
      </c>
    </row>
    <row r="181" spans="1:8" ht="15">
      <c r="A181" s="168" t="s">
        <v>434</v>
      </c>
      <c r="B181" s="169" t="s">
        <v>433</v>
      </c>
      <c r="C181" s="956" t="s">
        <v>1642</v>
      </c>
      <c r="D181" s="956" t="s">
        <v>53</v>
      </c>
      <c r="G181" s="947" t="s">
        <v>2513</v>
      </c>
      <c r="H181" s="947" t="s">
        <v>2514</v>
      </c>
    </row>
    <row r="182" spans="1:8" ht="15">
      <c r="A182" s="168" t="s">
        <v>799</v>
      </c>
      <c r="B182" s="169" t="s">
        <v>798</v>
      </c>
      <c r="C182" s="956" t="s">
        <v>1642</v>
      </c>
      <c r="D182" s="956" t="s">
        <v>57</v>
      </c>
      <c r="G182" s="947" t="s">
        <v>2307</v>
      </c>
      <c r="H182" s="947" t="s">
        <v>2308</v>
      </c>
    </row>
    <row r="183" spans="1:8" ht="15">
      <c r="A183" s="168" t="s">
        <v>440</v>
      </c>
      <c r="B183" s="169" t="s">
        <v>439</v>
      </c>
      <c r="C183" s="956" t="s">
        <v>1642</v>
      </c>
      <c r="D183" s="956" t="s">
        <v>57</v>
      </c>
      <c r="G183" s="947" t="s">
        <v>2309</v>
      </c>
      <c r="H183" s="947" t="s">
        <v>2310</v>
      </c>
    </row>
    <row r="184" spans="1:8" ht="15">
      <c r="A184" s="168" t="s">
        <v>801</v>
      </c>
      <c r="B184" s="169" t="s">
        <v>800</v>
      </c>
      <c r="C184" s="956" t="s">
        <v>1642</v>
      </c>
      <c r="D184" s="956" t="s">
        <v>57</v>
      </c>
      <c r="G184" s="947" t="s">
        <v>2311</v>
      </c>
      <c r="H184" s="947" t="s">
        <v>2312</v>
      </c>
    </row>
    <row r="185" spans="1:8" ht="15">
      <c r="A185" s="168" t="s">
        <v>543</v>
      </c>
      <c r="B185" s="169" t="s">
        <v>542</v>
      </c>
      <c r="C185" s="956" t="s">
        <v>1642</v>
      </c>
      <c r="D185" s="956" t="s">
        <v>57</v>
      </c>
      <c r="G185" s="947" t="s">
        <v>2313</v>
      </c>
      <c r="H185" s="947" t="s">
        <v>2314</v>
      </c>
    </row>
    <row r="186" spans="1:8" ht="15">
      <c r="A186" s="168" t="s">
        <v>803</v>
      </c>
      <c r="B186" s="169" t="s">
        <v>802</v>
      </c>
      <c r="C186" s="956" t="s">
        <v>1642</v>
      </c>
      <c r="D186" s="956" t="s">
        <v>57</v>
      </c>
      <c r="G186" s="947" t="s">
        <v>2315</v>
      </c>
      <c r="H186" s="947" t="s">
        <v>2316</v>
      </c>
    </row>
    <row r="187" spans="1:8" ht="15">
      <c r="A187" s="168" t="s">
        <v>805</v>
      </c>
      <c r="B187" s="169" t="s">
        <v>804</v>
      </c>
      <c r="C187" s="956" t="s">
        <v>1642</v>
      </c>
      <c r="D187" s="956" t="s">
        <v>57</v>
      </c>
      <c r="G187" s="947" t="s">
        <v>2317</v>
      </c>
      <c r="H187" s="947" t="s">
        <v>2318</v>
      </c>
    </row>
    <row r="188" spans="1:8" ht="15">
      <c r="A188" s="168" t="s">
        <v>807</v>
      </c>
      <c r="B188" s="169" t="s">
        <v>806</v>
      </c>
      <c r="C188" s="956" t="s">
        <v>1642</v>
      </c>
      <c r="D188" s="956" t="s">
        <v>60</v>
      </c>
      <c r="G188" s="947" t="s">
        <v>2319</v>
      </c>
      <c r="H188" s="947" t="s">
        <v>2320</v>
      </c>
    </row>
    <row r="189" spans="1:8" ht="15">
      <c r="A189" s="168" t="s">
        <v>535</v>
      </c>
      <c r="B189" s="169" t="s">
        <v>534</v>
      </c>
      <c r="C189" s="956" t="s">
        <v>1642</v>
      </c>
      <c r="D189" s="956" t="s">
        <v>60</v>
      </c>
      <c r="G189" s="947" t="s">
        <v>2038</v>
      </c>
      <c r="H189" s="947" t="s">
        <v>2039</v>
      </c>
    </row>
    <row r="190" spans="1:8" ht="15">
      <c r="A190" s="168" t="s">
        <v>809</v>
      </c>
      <c r="B190" s="169" t="s">
        <v>808</v>
      </c>
      <c r="C190" s="956" t="s">
        <v>1642</v>
      </c>
      <c r="D190" s="956" t="s">
        <v>1925</v>
      </c>
      <c r="G190" s="947" t="s">
        <v>2515</v>
      </c>
      <c r="H190" s="947" t="s">
        <v>2516</v>
      </c>
    </row>
    <row r="191" spans="1:8" ht="15">
      <c r="A191" s="168" t="s">
        <v>471</v>
      </c>
      <c r="B191" s="169" t="s">
        <v>470</v>
      </c>
      <c r="C191" s="956" t="s">
        <v>1642</v>
      </c>
      <c r="D191" s="956" t="s">
        <v>1925</v>
      </c>
      <c r="G191" s="947" t="s">
        <v>2321</v>
      </c>
      <c r="H191" s="947" t="s">
        <v>2322</v>
      </c>
    </row>
    <row r="192" spans="1:8" ht="15">
      <c r="A192" s="168" t="s">
        <v>811</v>
      </c>
      <c r="B192" s="169" t="s">
        <v>810</v>
      </c>
      <c r="C192" s="956" t="s">
        <v>1642</v>
      </c>
      <c r="D192" s="956" t="s">
        <v>60</v>
      </c>
      <c r="G192" s="947" t="s">
        <v>2006</v>
      </c>
      <c r="H192" s="947" t="s">
        <v>2007</v>
      </c>
    </row>
    <row r="193" spans="1:8" ht="15">
      <c r="A193" s="168" t="s">
        <v>813</v>
      </c>
      <c r="B193" s="169" t="s">
        <v>812</v>
      </c>
      <c r="C193" s="956" t="s">
        <v>1642</v>
      </c>
      <c r="D193" s="956" t="s">
        <v>60</v>
      </c>
      <c r="G193" s="947" t="s">
        <v>2517</v>
      </c>
      <c r="H193" s="947" t="s">
        <v>2518</v>
      </c>
    </row>
    <row r="194" spans="1:8" ht="15">
      <c r="A194" s="168" t="s">
        <v>815</v>
      </c>
      <c r="B194" s="169" t="s">
        <v>814</v>
      </c>
      <c r="C194" s="956" t="s">
        <v>1642</v>
      </c>
      <c r="D194" s="956" t="s">
        <v>1925</v>
      </c>
      <c r="G194" s="947" t="s">
        <v>2323</v>
      </c>
      <c r="H194" s="947" t="s">
        <v>2324</v>
      </c>
    </row>
    <row r="195" spans="1:8" ht="15">
      <c r="A195" s="168" t="s">
        <v>817</v>
      </c>
      <c r="B195" s="169" t="s">
        <v>816</v>
      </c>
      <c r="C195" s="956" t="s">
        <v>1642</v>
      </c>
      <c r="D195" s="956" t="s">
        <v>1925</v>
      </c>
      <c r="G195" s="947" t="s">
        <v>2325</v>
      </c>
      <c r="H195" s="947" t="s">
        <v>2326</v>
      </c>
    </row>
    <row r="196" spans="1:8" ht="15">
      <c r="A196" s="168" t="s">
        <v>1172</v>
      </c>
      <c r="B196" s="169" t="s">
        <v>1171</v>
      </c>
      <c r="C196" s="956" t="s">
        <v>1642</v>
      </c>
      <c r="D196" s="956" t="s">
        <v>59</v>
      </c>
      <c r="G196" s="947" t="s">
        <v>2011</v>
      </c>
      <c r="H196" s="947" t="s">
        <v>2012</v>
      </c>
    </row>
    <row r="197" spans="1:8" ht="15">
      <c r="A197" s="168" t="s">
        <v>489</v>
      </c>
      <c r="B197" s="169" t="s">
        <v>488</v>
      </c>
      <c r="C197" s="956" t="s">
        <v>1642</v>
      </c>
      <c r="D197" s="956" t="s">
        <v>59</v>
      </c>
      <c r="G197" s="947" t="s">
        <v>2011</v>
      </c>
      <c r="H197" s="947" t="s">
        <v>2519</v>
      </c>
    </row>
    <row r="198" spans="1:8" ht="15">
      <c r="A198" s="168" t="s">
        <v>819</v>
      </c>
      <c r="B198" s="169" t="s">
        <v>818</v>
      </c>
      <c r="C198" s="956" t="s">
        <v>1642</v>
      </c>
      <c r="D198" s="956" t="s">
        <v>59</v>
      </c>
      <c r="G198" s="947" t="s">
        <v>2191</v>
      </c>
      <c r="H198" s="947" t="s">
        <v>2192</v>
      </c>
    </row>
    <row r="199" spans="1:8" ht="15">
      <c r="A199" s="168" t="s">
        <v>821</v>
      </c>
      <c r="B199" s="169" t="s">
        <v>820</v>
      </c>
      <c r="C199" s="956" t="s">
        <v>1642</v>
      </c>
      <c r="D199" s="956" t="s">
        <v>59</v>
      </c>
      <c r="G199" s="947" t="s">
        <v>2520</v>
      </c>
      <c r="H199" s="947" t="s">
        <v>2521</v>
      </c>
    </row>
    <row r="200" spans="1:8" ht="15">
      <c r="A200" s="168" t="s">
        <v>823</v>
      </c>
      <c r="B200" s="169" t="s">
        <v>822</v>
      </c>
      <c r="C200" s="956" t="s">
        <v>1642</v>
      </c>
      <c r="D200" s="956" t="s">
        <v>62</v>
      </c>
      <c r="G200" s="947" t="s">
        <v>2041</v>
      </c>
      <c r="H200" s="947" t="s">
        <v>2042</v>
      </c>
    </row>
    <row r="201" spans="1:8" ht="15">
      <c r="A201" s="168" t="s">
        <v>517</v>
      </c>
      <c r="B201" s="169" t="s">
        <v>516</v>
      </c>
      <c r="C201" s="956" t="s">
        <v>1642</v>
      </c>
      <c r="D201" s="956" t="s">
        <v>1926</v>
      </c>
      <c r="G201" s="947" t="s">
        <v>2041</v>
      </c>
      <c r="H201" s="947" t="s">
        <v>2522</v>
      </c>
    </row>
    <row r="202" spans="1:8" ht="15">
      <c r="A202" s="169" t="s">
        <v>1339</v>
      </c>
      <c r="B202" s="169" t="s">
        <v>1338</v>
      </c>
      <c r="C202" s="956" t="s">
        <v>1642</v>
      </c>
      <c r="D202" s="956" t="s">
        <v>1931</v>
      </c>
      <c r="G202" s="947" t="s">
        <v>2051</v>
      </c>
      <c r="H202" s="947" t="s">
        <v>2052</v>
      </c>
    </row>
    <row r="203" spans="1:8" ht="15">
      <c r="A203" s="168" t="s">
        <v>281</v>
      </c>
      <c r="B203" s="169" t="s">
        <v>280</v>
      </c>
      <c r="C203" s="956" t="s">
        <v>1642</v>
      </c>
      <c r="D203" s="956" t="s">
        <v>30</v>
      </c>
      <c r="G203" s="947" t="s">
        <v>2051</v>
      </c>
      <c r="H203" s="947" t="s">
        <v>2523</v>
      </c>
    </row>
    <row r="204" spans="1:8" ht="15">
      <c r="A204" s="166" t="s">
        <v>549</v>
      </c>
      <c r="B204" s="166" t="s">
        <v>548</v>
      </c>
      <c r="C204" s="956" t="s">
        <v>1642</v>
      </c>
      <c r="D204" s="956" t="s">
        <v>18</v>
      </c>
      <c r="G204" s="947" t="s">
        <v>2628</v>
      </c>
      <c r="H204" s="947" t="s">
        <v>2629</v>
      </c>
    </row>
    <row r="205" spans="1:8" ht="15">
      <c r="A205" s="168" t="s">
        <v>398</v>
      </c>
      <c r="B205" s="169" t="s">
        <v>1515</v>
      </c>
      <c r="C205" s="956" t="s">
        <v>1642</v>
      </c>
      <c r="D205" s="956" t="s">
        <v>18</v>
      </c>
      <c r="G205" s="947" t="s">
        <v>2524</v>
      </c>
      <c r="H205" s="947" t="s">
        <v>2525</v>
      </c>
    </row>
    <row r="206" spans="1:8" ht="15">
      <c r="A206" s="168" t="s">
        <v>397</v>
      </c>
      <c r="B206" s="169" t="s">
        <v>396</v>
      </c>
      <c r="C206" s="956" t="s">
        <v>1642</v>
      </c>
      <c r="D206" s="956" t="s">
        <v>18</v>
      </c>
      <c r="G206" s="947" t="s">
        <v>2071</v>
      </c>
      <c r="H206" s="947" t="s">
        <v>2072</v>
      </c>
    </row>
    <row r="207" spans="1:8" ht="15">
      <c r="A207" s="168" t="s">
        <v>418</v>
      </c>
      <c r="B207" s="169" t="s">
        <v>1533</v>
      </c>
      <c r="C207" s="956" t="s">
        <v>1642</v>
      </c>
      <c r="D207" s="956" t="s">
        <v>18</v>
      </c>
      <c r="G207" s="947" t="s">
        <v>2071</v>
      </c>
      <c r="H207" s="947" t="s">
        <v>2526</v>
      </c>
    </row>
    <row r="208" spans="1:8" ht="15">
      <c r="A208" s="168" t="s">
        <v>417</v>
      </c>
      <c r="B208" s="169" t="s">
        <v>416</v>
      </c>
      <c r="C208" s="956" t="s">
        <v>1642</v>
      </c>
      <c r="D208" s="956" t="s">
        <v>18</v>
      </c>
      <c r="G208" s="947" t="s">
        <v>2144</v>
      </c>
      <c r="H208" s="947" t="s">
        <v>2145</v>
      </c>
    </row>
    <row r="209" spans="1:8" ht="15">
      <c r="A209" s="168" t="s">
        <v>1146</v>
      </c>
      <c r="B209" s="169" t="s">
        <v>1145</v>
      </c>
      <c r="C209" s="956" t="s">
        <v>1642</v>
      </c>
      <c r="D209" s="956" t="s">
        <v>18</v>
      </c>
      <c r="G209" s="947" t="s">
        <v>2144</v>
      </c>
      <c r="H209" s="947" t="s">
        <v>2527</v>
      </c>
    </row>
    <row r="210" spans="1:8" ht="15">
      <c r="A210" s="168" t="s">
        <v>455</v>
      </c>
      <c r="B210" s="169" t="s">
        <v>454</v>
      </c>
      <c r="C210" s="956" t="s">
        <v>1642</v>
      </c>
      <c r="D210" s="956" t="s">
        <v>26</v>
      </c>
      <c r="G210" s="947" t="s">
        <v>2167</v>
      </c>
      <c r="H210" s="947" t="s">
        <v>2168</v>
      </c>
    </row>
    <row r="211" spans="1:8" ht="15">
      <c r="A211" s="168" t="s">
        <v>456</v>
      </c>
      <c r="B211" s="169" t="s">
        <v>511</v>
      </c>
      <c r="C211" s="956" t="s">
        <v>1642</v>
      </c>
      <c r="D211" s="956" t="s">
        <v>26</v>
      </c>
      <c r="G211" s="947" t="s">
        <v>2528</v>
      </c>
      <c r="H211" s="947" t="s">
        <v>2529</v>
      </c>
    </row>
    <row r="212" spans="1:8" ht="15">
      <c r="A212" s="168" t="s">
        <v>1465</v>
      </c>
      <c r="B212" s="169" t="s">
        <v>1464</v>
      </c>
      <c r="C212" s="956" t="s">
        <v>1642</v>
      </c>
      <c r="D212" s="956" t="s">
        <v>26</v>
      </c>
      <c r="G212" s="947" t="s">
        <v>2086</v>
      </c>
      <c r="H212" s="947" t="s">
        <v>2087</v>
      </c>
    </row>
    <row r="213" spans="1:8" ht="15">
      <c r="A213" s="168" t="s">
        <v>499</v>
      </c>
      <c r="B213" s="169" t="s">
        <v>498</v>
      </c>
      <c r="C213" s="956" t="s">
        <v>1642</v>
      </c>
      <c r="D213" s="956" t="s">
        <v>26</v>
      </c>
      <c r="G213" s="947" t="s">
        <v>2530</v>
      </c>
      <c r="H213" s="947" t="s">
        <v>2531</v>
      </c>
    </row>
    <row r="214" spans="1:8" ht="15">
      <c r="A214" s="168" t="s">
        <v>408</v>
      </c>
      <c r="B214" s="169" t="s">
        <v>1559</v>
      </c>
      <c r="C214" s="956" t="s">
        <v>1642</v>
      </c>
      <c r="D214" s="956" t="s">
        <v>16</v>
      </c>
      <c r="G214" s="947" t="s">
        <v>2069</v>
      </c>
      <c r="H214" s="947" t="s">
        <v>2070</v>
      </c>
    </row>
    <row r="215" spans="1:8" ht="15">
      <c r="A215" s="168" t="s">
        <v>407</v>
      </c>
      <c r="B215" s="169" t="s">
        <v>406</v>
      </c>
      <c r="C215" s="956" t="s">
        <v>1642</v>
      </c>
      <c r="D215" s="956" t="s">
        <v>26</v>
      </c>
      <c r="G215" s="947" t="s">
        <v>2532</v>
      </c>
      <c r="H215" s="947" t="s">
        <v>2533</v>
      </c>
    </row>
    <row r="216" spans="1:8" ht="15">
      <c r="A216" s="168" t="s">
        <v>497</v>
      </c>
      <c r="B216" s="169" t="s">
        <v>496</v>
      </c>
      <c r="C216" s="956" t="s">
        <v>1642</v>
      </c>
      <c r="D216" s="956" t="s">
        <v>40</v>
      </c>
      <c r="G216" s="947" t="s">
        <v>2067</v>
      </c>
      <c r="H216" s="947" t="s">
        <v>2068</v>
      </c>
    </row>
    <row r="217" spans="1:8" ht="15">
      <c r="A217" s="168" t="s">
        <v>460</v>
      </c>
      <c r="B217" s="169" t="s">
        <v>459</v>
      </c>
      <c r="C217" s="956" t="s">
        <v>1642</v>
      </c>
      <c r="D217" s="956" t="s">
        <v>40</v>
      </c>
      <c r="G217" s="947" t="s">
        <v>2534</v>
      </c>
      <c r="H217" s="947" t="s">
        <v>2535</v>
      </c>
    </row>
    <row r="218" spans="1:8" ht="15">
      <c r="A218" s="168" t="s">
        <v>825</v>
      </c>
      <c r="B218" s="169" t="s">
        <v>824</v>
      </c>
      <c r="C218" s="956" t="s">
        <v>1642</v>
      </c>
      <c r="D218" s="956" t="s">
        <v>11</v>
      </c>
      <c r="G218" s="947" t="s">
        <v>2100</v>
      </c>
      <c r="H218" s="947" t="s">
        <v>2101</v>
      </c>
    </row>
    <row r="219" spans="1:8" ht="15">
      <c r="A219" s="169" t="s">
        <v>447</v>
      </c>
      <c r="B219" s="169" t="s">
        <v>1382</v>
      </c>
      <c r="C219" s="956" t="s">
        <v>1642</v>
      </c>
      <c r="D219" s="956" t="s">
        <v>38</v>
      </c>
      <c r="G219" s="947" t="s">
        <v>2536</v>
      </c>
      <c r="H219" s="947" t="s">
        <v>2537</v>
      </c>
    </row>
    <row r="220" spans="1:8" ht="15">
      <c r="A220" s="168" t="s">
        <v>503</v>
      </c>
      <c r="B220" s="169" t="s">
        <v>502</v>
      </c>
      <c r="C220" s="956" t="s">
        <v>1642</v>
      </c>
      <c r="D220" s="956" t="s">
        <v>38</v>
      </c>
      <c r="G220" s="947" t="s">
        <v>2023</v>
      </c>
      <c r="H220" s="947" t="s">
        <v>2024</v>
      </c>
    </row>
    <row r="221" spans="1:8" ht="15">
      <c r="A221" s="168" t="s">
        <v>446</v>
      </c>
      <c r="B221" s="169" t="s">
        <v>445</v>
      </c>
      <c r="C221" s="956" t="s">
        <v>1642</v>
      </c>
      <c r="D221" s="956" t="s">
        <v>38</v>
      </c>
      <c r="G221" s="947" t="s">
        <v>2538</v>
      </c>
      <c r="H221" s="947" t="s">
        <v>2539</v>
      </c>
    </row>
    <row r="222" spans="1:8" ht="15">
      <c r="A222" s="168" t="s">
        <v>1190</v>
      </c>
      <c r="B222" s="169" t="s">
        <v>1189</v>
      </c>
      <c r="C222" s="956" t="s">
        <v>1642</v>
      </c>
      <c r="D222" s="956" t="s">
        <v>38</v>
      </c>
      <c r="G222" s="947" t="s">
        <v>2150</v>
      </c>
      <c r="H222" s="947" t="s">
        <v>2151</v>
      </c>
    </row>
    <row r="223" spans="1:8" ht="15">
      <c r="A223" s="168" t="s">
        <v>537</v>
      </c>
      <c r="B223" s="169" t="s">
        <v>536</v>
      </c>
      <c r="C223" s="956" t="s">
        <v>1642</v>
      </c>
      <c r="D223" s="956" t="s">
        <v>38</v>
      </c>
      <c r="G223" s="947" t="s">
        <v>2043</v>
      </c>
      <c r="H223" s="947" t="s">
        <v>2044</v>
      </c>
    </row>
    <row r="224" spans="1:8" ht="15">
      <c r="A224" s="168" t="s">
        <v>1426</v>
      </c>
      <c r="B224" s="169" t="s">
        <v>1425</v>
      </c>
      <c r="C224" s="956" t="s">
        <v>1642</v>
      </c>
      <c r="D224" s="956" t="s">
        <v>22</v>
      </c>
      <c r="G224" s="947" t="s">
        <v>2540</v>
      </c>
      <c r="H224" s="947" t="s">
        <v>2541</v>
      </c>
    </row>
    <row r="225" spans="1:8" ht="15">
      <c r="A225" s="168" t="s">
        <v>475</v>
      </c>
      <c r="B225" s="169" t="s">
        <v>474</v>
      </c>
      <c r="C225" s="956" t="s">
        <v>1642</v>
      </c>
      <c r="D225" s="956" t="s">
        <v>36</v>
      </c>
      <c r="G225" s="947" t="s">
        <v>2047</v>
      </c>
      <c r="H225" s="947" t="s">
        <v>2048</v>
      </c>
    </row>
    <row r="226" spans="1:8" ht="15">
      <c r="A226" s="168" t="s">
        <v>384</v>
      </c>
      <c r="B226" s="169" t="s">
        <v>383</v>
      </c>
      <c r="C226" s="956" t="s">
        <v>1642</v>
      </c>
      <c r="D226" s="956" t="s">
        <v>36</v>
      </c>
      <c r="G226" s="947" t="s">
        <v>2542</v>
      </c>
      <c r="H226" s="947" t="s">
        <v>2543</v>
      </c>
    </row>
    <row r="227" spans="1:8" ht="15">
      <c r="A227" s="168" t="s">
        <v>451</v>
      </c>
      <c r="B227" s="169" t="s">
        <v>450</v>
      </c>
      <c r="C227" s="956" t="s">
        <v>1642</v>
      </c>
      <c r="D227" s="956" t="s">
        <v>36</v>
      </c>
      <c r="G227" s="947" t="s">
        <v>2150</v>
      </c>
      <c r="H227" s="947" t="s">
        <v>2169</v>
      </c>
    </row>
    <row r="228" spans="1:8" ht="15">
      <c r="A228" s="168" t="s">
        <v>1481</v>
      </c>
      <c r="B228" s="169" t="s">
        <v>1480</v>
      </c>
      <c r="C228" s="956" t="s">
        <v>1642</v>
      </c>
      <c r="D228" s="956" t="s">
        <v>36</v>
      </c>
      <c r="G228" s="947" t="s">
        <v>2114</v>
      </c>
      <c r="H228" s="947" t="s">
        <v>2115</v>
      </c>
    </row>
    <row r="229" spans="1:8" ht="15">
      <c r="A229" s="169" t="s">
        <v>1282</v>
      </c>
      <c r="B229" s="169" t="s">
        <v>1281</v>
      </c>
      <c r="C229" s="956" t="s">
        <v>1642</v>
      </c>
      <c r="D229" s="956" t="s">
        <v>36</v>
      </c>
      <c r="G229" s="947" t="s">
        <v>2544</v>
      </c>
      <c r="H229" s="947" t="s">
        <v>2545</v>
      </c>
    </row>
    <row r="230" spans="1:8" ht="15">
      <c r="A230" s="169" t="s">
        <v>826</v>
      </c>
      <c r="B230" s="169" t="s">
        <v>1326</v>
      </c>
      <c r="C230" s="956" t="s">
        <v>1642</v>
      </c>
      <c r="D230" s="956" t="s">
        <v>54</v>
      </c>
      <c r="G230" s="947" t="s">
        <v>2114</v>
      </c>
      <c r="H230" s="947" t="s">
        <v>2445</v>
      </c>
    </row>
    <row r="231" spans="1:8" ht="15">
      <c r="A231" s="168" t="s">
        <v>828</v>
      </c>
      <c r="B231" s="169" t="s">
        <v>827</v>
      </c>
      <c r="C231" s="956" t="s">
        <v>1642</v>
      </c>
      <c r="D231" s="956" t="s">
        <v>40</v>
      </c>
      <c r="G231" s="947" t="s">
        <v>2546</v>
      </c>
      <c r="H231" s="947" t="s">
        <v>2547</v>
      </c>
    </row>
    <row r="232" spans="1:8" ht="15">
      <c r="A232" s="168" t="s">
        <v>830</v>
      </c>
      <c r="B232" s="169" t="s">
        <v>829</v>
      </c>
      <c r="C232" s="956" t="s">
        <v>1642</v>
      </c>
      <c r="D232" s="956" t="s">
        <v>67</v>
      </c>
      <c r="G232" s="947" t="s">
        <v>2107</v>
      </c>
      <c r="H232" s="947" t="s">
        <v>2108</v>
      </c>
    </row>
    <row r="233" spans="1:8" ht="15">
      <c r="A233" s="168" t="s">
        <v>833</v>
      </c>
      <c r="B233" s="169" t="s">
        <v>832</v>
      </c>
      <c r="C233" s="956" t="s">
        <v>1642</v>
      </c>
      <c r="D233" s="956" t="s">
        <v>69</v>
      </c>
      <c r="G233" s="947" t="s">
        <v>2548</v>
      </c>
      <c r="H233" s="947" t="s">
        <v>2549</v>
      </c>
    </row>
    <row r="234" spans="1:8" ht="15">
      <c r="A234" s="951" t="s">
        <v>1651</v>
      </c>
      <c r="B234" s="171" t="s">
        <v>1582</v>
      </c>
      <c r="C234" s="956" t="s">
        <v>75</v>
      </c>
      <c r="D234" s="956" t="s">
        <v>89</v>
      </c>
      <c r="G234" s="947" t="s">
        <v>2090</v>
      </c>
      <c r="H234" s="947" t="s">
        <v>2091</v>
      </c>
    </row>
    <row r="235" spans="1:8" ht="15">
      <c r="A235" s="951" t="s">
        <v>1652</v>
      </c>
      <c r="B235" s="171" t="s">
        <v>1583</v>
      </c>
      <c r="C235" s="956" t="s">
        <v>75</v>
      </c>
      <c r="D235" s="956" t="s">
        <v>89</v>
      </c>
      <c r="G235" s="947" t="s">
        <v>2550</v>
      </c>
      <c r="H235" s="947" t="s">
        <v>2551</v>
      </c>
    </row>
    <row r="236" spans="1:8" ht="15">
      <c r="A236" s="171" t="s">
        <v>1657</v>
      </c>
      <c r="B236" s="171" t="s">
        <v>300</v>
      </c>
      <c r="C236" s="956" t="s">
        <v>75</v>
      </c>
      <c r="D236" s="956" t="s">
        <v>89</v>
      </c>
      <c r="G236" s="947" t="s">
        <v>2165</v>
      </c>
      <c r="H236" s="947" t="s">
        <v>2166</v>
      </c>
    </row>
    <row r="237" spans="1:8" ht="15">
      <c r="A237" s="951" t="s">
        <v>1662</v>
      </c>
      <c r="B237" s="171" t="s">
        <v>1590</v>
      </c>
      <c r="C237" s="956" t="s">
        <v>75</v>
      </c>
      <c r="D237" s="956" t="s">
        <v>89</v>
      </c>
      <c r="G237" s="947" t="s">
        <v>2552</v>
      </c>
      <c r="H237" s="947" t="s">
        <v>2553</v>
      </c>
    </row>
    <row r="238" spans="1:8" ht="15">
      <c r="A238" s="951" t="s">
        <v>1663</v>
      </c>
      <c r="B238" s="171" t="s">
        <v>1591</v>
      </c>
      <c r="C238" s="956" t="s">
        <v>75</v>
      </c>
      <c r="D238" s="956" t="s">
        <v>89</v>
      </c>
      <c r="G238" s="947" t="s">
        <v>2082</v>
      </c>
      <c r="H238" s="947" t="s">
        <v>2083</v>
      </c>
    </row>
    <row r="239" spans="1:8" ht="15">
      <c r="A239" s="951" t="s">
        <v>1671</v>
      </c>
      <c r="B239" s="171" t="s">
        <v>1600</v>
      </c>
      <c r="C239" s="956" t="s">
        <v>75</v>
      </c>
      <c r="D239" s="956" t="s">
        <v>89</v>
      </c>
      <c r="G239" s="947" t="s">
        <v>2554</v>
      </c>
      <c r="H239" s="947" t="s">
        <v>2555</v>
      </c>
    </row>
    <row r="240" spans="1:8" ht="15">
      <c r="A240" s="951" t="s">
        <v>1678</v>
      </c>
      <c r="B240" s="171" t="s">
        <v>1606</v>
      </c>
      <c r="C240" s="956" t="s">
        <v>75</v>
      </c>
      <c r="D240" s="956" t="s">
        <v>89</v>
      </c>
      <c r="G240" s="947" t="s">
        <v>2045</v>
      </c>
      <c r="H240" s="947" t="s">
        <v>2046</v>
      </c>
    </row>
    <row r="241" spans="1:8" ht="15">
      <c r="A241" s="951" t="s">
        <v>1680</v>
      </c>
      <c r="B241" s="171" t="s">
        <v>1608</v>
      </c>
      <c r="C241" s="956" t="s">
        <v>75</v>
      </c>
      <c r="D241" s="956" t="s">
        <v>89</v>
      </c>
      <c r="G241" s="947" t="s">
        <v>2556</v>
      </c>
      <c r="H241" s="947" t="s">
        <v>2557</v>
      </c>
    </row>
    <row r="242" spans="1:8" ht="15">
      <c r="A242" s="167" t="s">
        <v>1728</v>
      </c>
      <c r="B242" s="171" t="s">
        <v>1729</v>
      </c>
      <c r="C242" s="956" t="s">
        <v>75</v>
      </c>
      <c r="D242" s="956" t="s">
        <v>90</v>
      </c>
      <c r="G242" s="947" t="s">
        <v>2034</v>
      </c>
      <c r="H242" s="947" t="s">
        <v>2035</v>
      </c>
    </row>
    <row r="243" spans="1:8" ht="15">
      <c r="A243" s="951" t="s">
        <v>1660</v>
      </c>
      <c r="B243" s="171" t="s">
        <v>1589</v>
      </c>
      <c r="C243" s="956" t="s">
        <v>75</v>
      </c>
      <c r="D243" s="956" t="s">
        <v>89</v>
      </c>
      <c r="G243" s="947" t="s">
        <v>2034</v>
      </c>
      <c r="H243" s="947" t="s">
        <v>2558</v>
      </c>
    </row>
    <row r="244" spans="1:8" ht="15">
      <c r="A244" s="951" t="s">
        <v>1699</v>
      </c>
      <c r="B244" s="171" t="s">
        <v>1625</v>
      </c>
      <c r="C244" s="956" t="s">
        <v>75</v>
      </c>
      <c r="D244" s="956" t="s">
        <v>89</v>
      </c>
      <c r="G244" s="947" t="s">
        <v>2120</v>
      </c>
      <c r="H244" s="947" t="s">
        <v>2121</v>
      </c>
    </row>
    <row r="245" spans="1:8" ht="15">
      <c r="A245" s="951" t="s">
        <v>1707</v>
      </c>
      <c r="B245" s="171" t="s">
        <v>1632</v>
      </c>
      <c r="C245" s="956" t="s">
        <v>75</v>
      </c>
      <c r="D245" s="956" t="s">
        <v>89</v>
      </c>
      <c r="G245" s="947" t="s">
        <v>2214</v>
      </c>
      <c r="H245" s="947" t="s">
        <v>2215</v>
      </c>
    </row>
    <row r="246" spans="1:8" ht="15">
      <c r="A246" s="951" t="s">
        <v>1641</v>
      </c>
      <c r="B246" s="171" t="s">
        <v>1577</v>
      </c>
      <c r="C246" s="956" t="s">
        <v>75</v>
      </c>
      <c r="D246" s="956" t="s">
        <v>89</v>
      </c>
      <c r="G246" s="947" t="s">
        <v>2327</v>
      </c>
      <c r="H246" s="947" t="s">
        <v>2328</v>
      </c>
    </row>
    <row r="247" spans="1:8" ht="15">
      <c r="A247" s="171" t="s">
        <v>1644</v>
      </c>
      <c r="B247" s="171" t="s">
        <v>1579</v>
      </c>
      <c r="C247" s="956" t="s">
        <v>75</v>
      </c>
      <c r="D247" s="956" t="s">
        <v>89</v>
      </c>
      <c r="G247" s="947" t="s">
        <v>2840</v>
      </c>
      <c r="H247" s="947" t="s">
        <v>2841</v>
      </c>
    </row>
    <row r="248" spans="1:8" ht="15">
      <c r="A248" s="951" t="s">
        <v>366</v>
      </c>
      <c r="B248" s="171" t="s">
        <v>365</v>
      </c>
      <c r="C248" s="956" t="s">
        <v>75</v>
      </c>
      <c r="D248" s="956" t="s">
        <v>89</v>
      </c>
      <c r="G248" s="947" t="s">
        <v>2446</v>
      </c>
      <c r="H248" s="947" t="s">
        <v>2447</v>
      </c>
    </row>
    <row r="249" spans="1:8" ht="15">
      <c r="A249" s="168" t="s">
        <v>964</v>
      </c>
      <c r="B249" s="169" t="s">
        <v>963</v>
      </c>
      <c r="C249" s="956" t="s">
        <v>75</v>
      </c>
      <c r="D249" s="956" t="s">
        <v>89</v>
      </c>
      <c r="G249" s="947" t="s">
        <v>2448</v>
      </c>
      <c r="H249" s="947" t="s">
        <v>2449</v>
      </c>
    </row>
    <row r="250" spans="1:8" ht="15">
      <c r="A250" s="951" t="s">
        <v>835</v>
      </c>
      <c r="B250" s="171" t="s">
        <v>834</v>
      </c>
      <c r="C250" s="956" t="s">
        <v>75</v>
      </c>
      <c r="D250" s="956" t="s">
        <v>90</v>
      </c>
      <c r="G250" s="947" t="s">
        <v>2842</v>
      </c>
      <c r="H250" s="947" t="s">
        <v>2843</v>
      </c>
    </row>
    <row r="251" spans="1:8" ht="15">
      <c r="A251" s="168" t="s">
        <v>966</v>
      </c>
      <c r="B251" s="169" t="s">
        <v>965</v>
      </c>
      <c r="C251" s="956" t="s">
        <v>75</v>
      </c>
      <c r="D251" s="956" t="s">
        <v>90</v>
      </c>
      <c r="G251" s="947" t="s">
        <v>2450</v>
      </c>
      <c r="H251" s="947" t="s">
        <v>2451</v>
      </c>
    </row>
    <row r="252" spans="1:8" ht="15">
      <c r="A252" s="951" t="s">
        <v>362</v>
      </c>
      <c r="B252" s="171" t="s">
        <v>361</v>
      </c>
      <c r="C252" s="956" t="s">
        <v>75</v>
      </c>
      <c r="D252" s="956" t="s">
        <v>90</v>
      </c>
      <c r="G252" s="947" t="s">
        <v>2329</v>
      </c>
      <c r="H252" s="947" t="s">
        <v>1526</v>
      </c>
    </row>
    <row r="253" spans="1:8" ht="15">
      <c r="A253" s="700" t="s">
        <v>968</v>
      </c>
      <c r="B253" s="170" t="s">
        <v>967</v>
      </c>
      <c r="C253" s="956" t="s">
        <v>75</v>
      </c>
      <c r="D253" s="956" t="s">
        <v>90</v>
      </c>
      <c r="G253" s="947" t="s">
        <v>2844</v>
      </c>
      <c r="H253" s="947" t="s">
        <v>2845</v>
      </c>
    </row>
    <row r="254" spans="1:8" ht="15">
      <c r="A254" s="952" t="s">
        <v>837</v>
      </c>
      <c r="B254" s="171" t="s">
        <v>836</v>
      </c>
      <c r="C254" s="956" t="s">
        <v>75</v>
      </c>
      <c r="D254" s="956" t="s">
        <v>89</v>
      </c>
      <c r="G254" s="947" t="s">
        <v>2452</v>
      </c>
      <c r="H254" s="947" t="s">
        <v>2453</v>
      </c>
    </row>
    <row r="255" spans="1:8" ht="15">
      <c r="A255" s="700" t="s">
        <v>970</v>
      </c>
      <c r="B255" s="169" t="s">
        <v>969</v>
      </c>
      <c r="C255" s="956" t="s">
        <v>75</v>
      </c>
      <c r="D255" s="956" t="s">
        <v>89</v>
      </c>
      <c r="G255" s="947" t="s">
        <v>2454</v>
      </c>
      <c r="H255" s="947" t="s">
        <v>2455</v>
      </c>
    </row>
    <row r="256" spans="1:8" ht="15">
      <c r="A256" s="952" t="s">
        <v>288</v>
      </c>
      <c r="B256" s="171" t="s">
        <v>287</v>
      </c>
      <c r="C256" s="956" t="s">
        <v>75</v>
      </c>
      <c r="D256" s="956" t="s">
        <v>90</v>
      </c>
      <c r="G256" s="947" t="s">
        <v>2850</v>
      </c>
      <c r="H256" s="947" t="s">
        <v>2851</v>
      </c>
    </row>
    <row r="257" spans="1:8" ht="15">
      <c r="A257" s="700" t="s">
        <v>972</v>
      </c>
      <c r="B257" s="170" t="s">
        <v>971</v>
      </c>
      <c r="C257" s="956" t="s">
        <v>75</v>
      </c>
      <c r="D257" s="956" t="s">
        <v>90</v>
      </c>
      <c r="G257" s="947" t="s">
        <v>2330</v>
      </c>
      <c r="H257" s="947" t="s">
        <v>884</v>
      </c>
    </row>
    <row r="258" spans="1:8" ht="15">
      <c r="A258" s="953" t="s">
        <v>341</v>
      </c>
      <c r="B258" s="169" t="s">
        <v>340</v>
      </c>
      <c r="C258" s="956" t="s">
        <v>75</v>
      </c>
      <c r="D258" s="956" t="s">
        <v>90</v>
      </c>
      <c r="G258" s="947" t="s">
        <v>2836</v>
      </c>
      <c r="H258" s="947" t="s">
        <v>2837</v>
      </c>
    </row>
    <row r="259" spans="1:8" ht="15">
      <c r="A259" s="168" t="s">
        <v>974</v>
      </c>
      <c r="B259" s="169" t="s">
        <v>973</v>
      </c>
      <c r="C259" s="956" t="s">
        <v>75</v>
      </c>
      <c r="D259" s="956" t="s">
        <v>90</v>
      </c>
      <c r="G259" s="947" t="s">
        <v>2855</v>
      </c>
      <c r="H259" s="947" t="s">
        <v>2856</v>
      </c>
    </row>
    <row r="260" spans="1:8" ht="15">
      <c r="A260" s="951" t="s">
        <v>339</v>
      </c>
      <c r="B260" s="171" t="s">
        <v>338</v>
      </c>
      <c r="C260" s="956" t="s">
        <v>75</v>
      </c>
      <c r="D260" s="956" t="s">
        <v>89</v>
      </c>
      <c r="G260" s="947" t="s">
        <v>2838</v>
      </c>
      <c r="H260" s="947" t="s">
        <v>2839</v>
      </c>
    </row>
    <row r="261" spans="1:8" ht="15">
      <c r="A261" s="168" t="s">
        <v>976</v>
      </c>
      <c r="B261" s="169" t="s">
        <v>975</v>
      </c>
      <c r="C261" s="956" t="s">
        <v>75</v>
      </c>
      <c r="D261" s="956" t="s">
        <v>89</v>
      </c>
      <c r="G261" s="947" t="s">
        <v>2456</v>
      </c>
      <c r="H261" s="947" t="s">
        <v>2457</v>
      </c>
    </row>
    <row r="262" spans="1:8" ht="15">
      <c r="A262" s="951" t="s">
        <v>839</v>
      </c>
      <c r="B262" s="171" t="s">
        <v>838</v>
      </c>
      <c r="C262" s="956" t="s">
        <v>75</v>
      </c>
      <c r="D262" s="956" t="s">
        <v>89</v>
      </c>
      <c r="G262" s="947" t="s">
        <v>2456</v>
      </c>
      <c r="H262" s="947" t="s">
        <v>2849</v>
      </c>
    </row>
    <row r="263" spans="1:8" ht="15">
      <c r="A263" s="168" t="s">
        <v>978</v>
      </c>
      <c r="B263" s="169" t="s">
        <v>977</v>
      </c>
      <c r="C263" s="956" t="s">
        <v>75</v>
      </c>
      <c r="D263" s="956" t="s">
        <v>89</v>
      </c>
      <c r="G263" s="947" t="s">
        <v>2331</v>
      </c>
      <c r="H263" s="947" t="s">
        <v>2332</v>
      </c>
    </row>
    <row r="264" spans="1:8" ht="15">
      <c r="A264" s="951" t="s">
        <v>841</v>
      </c>
      <c r="B264" s="171" t="s">
        <v>840</v>
      </c>
      <c r="C264" s="956" t="s">
        <v>75</v>
      </c>
      <c r="D264" s="956" t="s">
        <v>89</v>
      </c>
      <c r="G264" s="947" t="s">
        <v>2333</v>
      </c>
      <c r="H264" s="947" t="s">
        <v>2334</v>
      </c>
    </row>
    <row r="265" spans="1:8" ht="15">
      <c r="A265" s="168" t="s">
        <v>980</v>
      </c>
      <c r="B265" s="169" t="s">
        <v>979</v>
      </c>
      <c r="C265" s="956" t="s">
        <v>75</v>
      </c>
      <c r="D265" s="956" t="s">
        <v>89</v>
      </c>
      <c r="G265" s="947" t="s">
        <v>2335</v>
      </c>
      <c r="H265" s="947" t="s">
        <v>2336</v>
      </c>
    </row>
    <row r="266" spans="1:8" ht="15">
      <c r="A266" s="951" t="s">
        <v>843</v>
      </c>
      <c r="B266" s="171" t="s">
        <v>842</v>
      </c>
      <c r="C266" s="956" t="s">
        <v>75</v>
      </c>
      <c r="D266" s="956" t="s">
        <v>89</v>
      </c>
      <c r="G266" s="947" t="s">
        <v>2852</v>
      </c>
      <c r="H266" s="947" t="s">
        <v>2853</v>
      </c>
    </row>
    <row r="267" spans="1:8" ht="15">
      <c r="A267" s="168" t="s">
        <v>982</v>
      </c>
      <c r="B267" s="169" t="s">
        <v>981</v>
      </c>
      <c r="C267" s="956" t="s">
        <v>75</v>
      </c>
      <c r="D267" s="956" t="s">
        <v>89</v>
      </c>
      <c r="G267" s="947" t="s">
        <v>2830</v>
      </c>
      <c r="H267" s="947" t="s">
        <v>2831</v>
      </c>
    </row>
    <row r="268" spans="1:8" ht="15">
      <c r="A268" s="951" t="s">
        <v>1649</v>
      </c>
      <c r="B268" s="171" t="s">
        <v>1580</v>
      </c>
      <c r="C268" s="956" t="s">
        <v>75</v>
      </c>
      <c r="D268" s="956" t="s">
        <v>89</v>
      </c>
      <c r="G268" s="947" t="s">
        <v>2337</v>
      </c>
      <c r="H268" s="947" t="s">
        <v>2338</v>
      </c>
    </row>
    <row r="269" spans="1:8" ht="15">
      <c r="A269" s="951" t="s">
        <v>845</v>
      </c>
      <c r="B269" s="171" t="s">
        <v>844</v>
      </c>
      <c r="C269" s="956" t="s">
        <v>75</v>
      </c>
      <c r="D269" s="956" t="s">
        <v>89</v>
      </c>
      <c r="G269" s="947" t="s">
        <v>2618</v>
      </c>
      <c r="H269" s="947" t="s">
        <v>2619</v>
      </c>
    </row>
    <row r="270" spans="1:8" ht="15">
      <c r="A270" s="168" t="s">
        <v>984</v>
      </c>
      <c r="B270" s="169" t="s">
        <v>983</v>
      </c>
      <c r="C270" s="956" t="s">
        <v>75</v>
      </c>
      <c r="D270" s="956" t="s">
        <v>89</v>
      </c>
      <c r="G270" s="947" t="s">
        <v>2458</v>
      </c>
      <c r="H270" s="947" t="s">
        <v>2459</v>
      </c>
    </row>
    <row r="271" spans="1:8" ht="15">
      <c r="A271" s="951" t="s">
        <v>1653</v>
      </c>
      <c r="B271" s="171" t="s">
        <v>1584</v>
      </c>
      <c r="C271" s="956" t="s">
        <v>75</v>
      </c>
      <c r="D271" s="956" t="s">
        <v>89</v>
      </c>
      <c r="G271" s="947" t="s">
        <v>2339</v>
      </c>
      <c r="H271" s="947" t="s">
        <v>2340</v>
      </c>
    </row>
    <row r="272" spans="1:8" ht="15">
      <c r="A272" s="951" t="s">
        <v>1655</v>
      </c>
      <c r="B272" s="171" t="s">
        <v>1586</v>
      </c>
      <c r="C272" s="956" t="s">
        <v>75</v>
      </c>
      <c r="D272" s="956" t="s">
        <v>89</v>
      </c>
      <c r="G272" s="947" t="s">
        <v>2341</v>
      </c>
      <c r="H272" s="947" t="s">
        <v>2342</v>
      </c>
    </row>
    <row r="273" spans="1:8" ht="15">
      <c r="A273" s="171" t="s">
        <v>301</v>
      </c>
      <c r="B273" s="171" t="s">
        <v>300</v>
      </c>
      <c r="C273" s="956" t="s">
        <v>75</v>
      </c>
      <c r="D273" s="956" t="s">
        <v>89</v>
      </c>
      <c r="G273" s="947" t="s">
        <v>2343</v>
      </c>
      <c r="H273" s="947" t="s">
        <v>2344</v>
      </c>
    </row>
    <row r="274" spans="1:8" ht="15">
      <c r="A274" s="168" t="s">
        <v>986</v>
      </c>
      <c r="B274" s="169" t="s">
        <v>985</v>
      </c>
      <c r="C274" s="956" t="s">
        <v>75</v>
      </c>
      <c r="D274" s="956" t="s">
        <v>89</v>
      </c>
      <c r="G274" s="947" t="s">
        <v>2038</v>
      </c>
      <c r="H274" s="947" t="s">
        <v>2827</v>
      </c>
    </row>
    <row r="275" spans="1:8" ht="15">
      <c r="A275" s="171" t="s">
        <v>1658</v>
      </c>
      <c r="B275" s="171" t="s">
        <v>1587</v>
      </c>
      <c r="C275" s="956" t="s">
        <v>75</v>
      </c>
      <c r="D275" s="956" t="s">
        <v>89</v>
      </c>
      <c r="G275" s="947" t="s">
        <v>2672</v>
      </c>
      <c r="H275" s="947" t="s">
        <v>2673</v>
      </c>
    </row>
    <row r="276" spans="1:8" ht="15">
      <c r="A276" s="951" t="s">
        <v>374</v>
      </c>
      <c r="B276" s="171" t="s">
        <v>373</v>
      </c>
      <c r="C276" s="956" t="s">
        <v>75</v>
      </c>
      <c r="D276" s="956" t="s">
        <v>89</v>
      </c>
      <c r="G276" s="947" t="s">
        <v>2006</v>
      </c>
      <c r="H276" s="947" t="s">
        <v>2848</v>
      </c>
    </row>
    <row r="277" spans="1:8" ht="15">
      <c r="A277" s="168" t="s">
        <v>988</v>
      </c>
      <c r="B277" s="169" t="s">
        <v>987</v>
      </c>
      <c r="C277" s="956" t="s">
        <v>75</v>
      </c>
      <c r="D277" s="956" t="s">
        <v>89</v>
      </c>
      <c r="G277" s="947" t="s">
        <v>2828</v>
      </c>
      <c r="H277" s="947" t="s">
        <v>2829</v>
      </c>
    </row>
    <row r="278" spans="1:8" ht="15">
      <c r="A278" s="951" t="s">
        <v>1664</v>
      </c>
      <c r="B278" s="171" t="s">
        <v>1592</v>
      </c>
      <c r="C278" s="956" t="s">
        <v>75</v>
      </c>
      <c r="D278" s="956" t="s">
        <v>89</v>
      </c>
      <c r="G278" s="947" t="s">
        <v>2566</v>
      </c>
      <c r="H278" s="947" t="s">
        <v>2567</v>
      </c>
    </row>
    <row r="279" spans="1:8" ht="15">
      <c r="A279" s="167" t="s">
        <v>1717</v>
      </c>
      <c r="B279" s="171" t="s">
        <v>1718</v>
      </c>
      <c r="C279" s="956" t="s">
        <v>75</v>
      </c>
      <c r="D279" s="956" t="s">
        <v>90</v>
      </c>
      <c r="G279" s="947" t="s">
        <v>2791</v>
      </c>
      <c r="H279" s="947" t="s">
        <v>2792</v>
      </c>
    </row>
    <row r="280" spans="1:8" ht="15">
      <c r="A280" s="951" t="s">
        <v>377</v>
      </c>
      <c r="B280" s="171" t="s">
        <v>1594</v>
      </c>
      <c r="C280" s="956" t="s">
        <v>75</v>
      </c>
      <c r="D280" s="956" t="s">
        <v>89</v>
      </c>
      <c r="G280" s="947" t="s">
        <v>2777</v>
      </c>
      <c r="H280" s="947" t="s">
        <v>2778</v>
      </c>
    </row>
    <row r="281" spans="1:8" ht="15">
      <c r="A281" s="951" t="s">
        <v>1675</v>
      </c>
      <c r="B281" s="171" t="s">
        <v>1603</v>
      </c>
      <c r="C281" s="956" t="s">
        <v>75</v>
      </c>
      <c r="D281" s="956" t="s">
        <v>89</v>
      </c>
      <c r="G281" s="947" t="s">
        <v>2345</v>
      </c>
      <c r="H281" s="947" t="s">
        <v>2346</v>
      </c>
    </row>
    <row r="282" spans="1:8" ht="15">
      <c r="A282" s="951" t="s">
        <v>351</v>
      </c>
      <c r="B282" s="171" t="s">
        <v>350</v>
      </c>
      <c r="C282" s="956" t="s">
        <v>75</v>
      </c>
      <c r="D282" s="956" t="s">
        <v>89</v>
      </c>
      <c r="G282" s="947" t="s">
        <v>2725</v>
      </c>
      <c r="H282" s="947" t="s">
        <v>2726</v>
      </c>
    </row>
    <row r="283" spans="1:8" ht="15">
      <c r="A283" s="168" t="s">
        <v>990</v>
      </c>
      <c r="B283" s="169" t="s">
        <v>989</v>
      </c>
      <c r="C283" s="956" t="s">
        <v>75</v>
      </c>
      <c r="D283" s="956" t="s">
        <v>89</v>
      </c>
      <c r="G283" s="947" t="s">
        <v>2348</v>
      </c>
      <c r="H283" s="947" t="s">
        <v>2349</v>
      </c>
    </row>
    <row r="284" spans="1:8" ht="15">
      <c r="A284" s="951" t="s">
        <v>1667</v>
      </c>
      <c r="B284" s="171" t="s">
        <v>1596</v>
      </c>
      <c r="C284" s="956" t="s">
        <v>75</v>
      </c>
      <c r="D284" s="956" t="s">
        <v>89</v>
      </c>
      <c r="G284" s="947" t="s">
        <v>2071</v>
      </c>
      <c r="H284" s="947" t="s">
        <v>2802</v>
      </c>
    </row>
    <row r="285" spans="1:8" ht="15">
      <c r="A285" s="951" t="s">
        <v>376</v>
      </c>
      <c r="B285" s="171" t="s">
        <v>375</v>
      </c>
      <c r="C285" s="956" t="s">
        <v>75</v>
      </c>
      <c r="D285" s="956" t="s">
        <v>89</v>
      </c>
      <c r="G285" s="947" t="s">
        <v>2144</v>
      </c>
      <c r="H285" s="947" t="s">
        <v>2713</v>
      </c>
    </row>
    <row r="286" spans="1:8" ht="15">
      <c r="A286" s="168" t="s">
        <v>992</v>
      </c>
      <c r="B286" s="169" t="s">
        <v>991</v>
      </c>
      <c r="C286" s="956" t="s">
        <v>75</v>
      </c>
      <c r="D286" s="956" t="s">
        <v>89</v>
      </c>
      <c r="G286" s="947" t="s">
        <v>2687</v>
      </c>
      <c r="H286" s="947" t="s">
        <v>2688</v>
      </c>
    </row>
    <row r="287" spans="1:8" ht="15">
      <c r="A287" s="951" t="s">
        <v>1669</v>
      </c>
      <c r="B287" s="171" t="s">
        <v>1598</v>
      </c>
      <c r="C287" s="956" t="s">
        <v>75</v>
      </c>
      <c r="D287" s="956" t="s">
        <v>89</v>
      </c>
      <c r="G287" s="947" t="s">
        <v>2789</v>
      </c>
      <c r="H287" s="947" t="s">
        <v>2790</v>
      </c>
    </row>
    <row r="288" spans="1:8" ht="15">
      <c r="A288" s="951" t="s">
        <v>349</v>
      </c>
      <c r="B288" s="171" t="s">
        <v>348</v>
      </c>
      <c r="C288" s="956" t="s">
        <v>75</v>
      </c>
      <c r="D288" s="956" t="s">
        <v>89</v>
      </c>
      <c r="G288" s="947" t="s">
        <v>2350</v>
      </c>
      <c r="H288" s="947" t="s">
        <v>2351</v>
      </c>
    </row>
    <row r="289" spans="1:8" ht="15">
      <c r="A289" s="168" t="s">
        <v>994</v>
      </c>
      <c r="B289" s="169" t="s">
        <v>993</v>
      </c>
      <c r="C289" s="956" t="s">
        <v>75</v>
      </c>
      <c r="D289" s="956" t="s">
        <v>89</v>
      </c>
      <c r="G289" s="947" t="s">
        <v>2352</v>
      </c>
      <c r="H289" s="947" t="s">
        <v>2353</v>
      </c>
    </row>
    <row r="290" spans="1:8" ht="15">
      <c r="A290" s="951" t="s">
        <v>1672</v>
      </c>
      <c r="B290" s="171" t="s">
        <v>1601</v>
      </c>
      <c r="C290" s="956" t="s">
        <v>75</v>
      </c>
      <c r="D290" s="956" t="s">
        <v>89</v>
      </c>
      <c r="G290" s="947" t="s">
        <v>2798</v>
      </c>
      <c r="H290" s="947" t="s">
        <v>2799</v>
      </c>
    </row>
    <row r="291" spans="1:8" ht="15">
      <c r="A291" s="167" t="s">
        <v>1713</v>
      </c>
      <c r="B291" s="171" t="s">
        <v>1714</v>
      </c>
      <c r="C291" s="956" t="s">
        <v>75</v>
      </c>
      <c r="D291" s="956" t="s">
        <v>90</v>
      </c>
      <c r="G291" s="947" t="s">
        <v>2808</v>
      </c>
      <c r="H291" s="947" t="s">
        <v>2809</v>
      </c>
    </row>
    <row r="292" spans="1:8" ht="15">
      <c r="A292" s="951" t="s">
        <v>1677</v>
      </c>
      <c r="B292" s="171" t="s">
        <v>1605</v>
      </c>
      <c r="C292" s="956" t="s">
        <v>75</v>
      </c>
      <c r="D292" s="956" t="s">
        <v>89</v>
      </c>
      <c r="G292" s="947" t="s">
        <v>2767</v>
      </c>
      <c r="H292" s="947" t="s">
        <v>2768</v>
      </c>
    </row>
    <row r="293" spans="1:8" ht="15">
      <c r="A293" s="951" t="s">
        <v>1681</v>
      </c>
      <c r="B293" s="958" t="s">
        <v>1609</v>
      </c>
      <c r="C293" s="956" t="s">
        <v>75</v>
      </c>
      <c r="D293" s="956" t="s">
        <v>89</v>
      </c>
      <c r="G293" s="947" t="s">
        <v>2832</v>
      </c>
      <c r="H293" s="947" t="s">
        <v>2833</v>
      </c>
    </row>
    <row r="294" spans="1:8" ht="15">
      <c r="A294" s="951" t="s">
        <v>847</v>
      </c>
      <c r="B294" s="958" t="s">
        <v>846</v>
      </c>
      <c r="C294" s="956" t="s">
        <v>75</v>
      </c>
      <c r="D294" s="956" t="s">
        <v>89</v>
      </c>
      <c r="G294" s="947" t="s">
        <v>2658</v>
      </c>
      <c r="H294" s="947" t="s">
        <v>2705</v>
      </c>
    </row>
    <row r="295" spans="1:8" ht="15">
      <c r="A295" s="168" t="s">
        <v>996</v>
      </c>
      <c r="B295" s="170" t="s">
        <v>995</v>
      </c>
      <c r="C295" s="956" t="s">
        <v>75</v>
      </c>
      <c r="D295" s="956" t="s">
        <v>89</v>
      </c>
      <c r="G295" s="947" t="s">
        <v>2814</v>
      </c>
      <c r="H295" s="947" t="s">
        <v>2815</v>
      </c>
    </row>
    <row r="296" spans="1:8" ht="15">
      <c r="A296" s="951" t="s">
        <v>370</v>
      </c>
      <c r="B296" s="958" t="s">
        <v>369</v>
      </c>
      <c r="C296" s="956" t="s">
        <v>75</v>
      </c>
      <c r="D296" s="956" t="s">
        <v>89</v>
      </c>
      <c r="G296" s="947" t="s">
        <v>2811</v>
      </c>
      <c r="H296" s="947" t="s">
        <v>2812</v>
      </c>
    </row>
    <row r="297" spans="1:8" ht="15">
      <c r="A297" s="168" t="s">
        <v>998</v>
      </c>
      <c r="B297" s="170" t="s">
        <v>997</v>
      </c>
      <c r="C297" s="956" t="s">
        <v>75</v>
      </c>
      <c r="D297" s="956" t="s">
        <v>89</v>
      </c>
      <c r="G297" s="947" t="s">
        <v>2658</v>
      </c>
      <c r="H297" s="947" t="s">
        <v>2659</v>
      </c>
    </row>
    <row r="298" spans="1:8" ht="15">
      <c r="A298" s="951" t="s">
        <v>284</v>
      </c>
      <c r="B298" s="171" t="s">
        <v>283</v>
      </c>
      <c r="C298" s="956" t="s">
        <v>75</v>
      </c>
      <c r="D298" s="956" t="s">
        <v>90</v>
      </c>
      <c r="G298" s="947" t="s">
        <v>2460</v>
      </c>
      <c r="H298" s="947" t="s">
        <v>2728</v>
      </c>
    </row>
    <row r="299" spans="1:8" ht="15">
      <c r="A299" s="168" t="s">
        <v>1000</v>
      </c>
      <c r="B299" s="169" t="s">
        <v>999</v>
      </c>
      <c r="C299" s="956" t="s">
        <v>75</v>
      </c>
      <c r="D299" s="956" t="s">
        <v>90</v>
      </c>
      <c r="G299" s="947" t="s">
        <v>2460</v>
      </c>
      <c r="H299" s="947" t="s">
        <v>2461</v>
      </c>
    </row>
    <row r="300" spans="1:8" ht="15">
      <c r="A300" s="951" t="s">
        <v>315</v>
      </c>
      <c r="B300" s="171" t="s">
        <v>314</v>
      </c>
      <c r="C300" s="956" t="s">
        <v>75</v>
      </c>
      <c r="D300" s="956" t="s">
        <v>90</v>
      </c>
      <c r="G300" s="947" t="s">
        <v>2754</v>
      </c>
      <c r="H300" s="947" t="s">
        <v>2755</v>
      </c>
    </row>
    <row r="301" spans="1:8" ht="15">
      <c r="A301" s="168" t="s">
        <v>1002</v>
      </c>
      <c r="B301" s="169" t="s">
        <v>1001</v>
      </c>
      <c r="C301" s="956" t="s">
        <v>75</v>
      </c>
      <c r="D301" s="956" t="s">
        <v>90</v>
      </c>
      <c r="G301" s="947" t="s">
        <v>2787</v>
      </c>
      <c r="H301" s="947" t="s">
        <v>2788</v>
      </c>
    </row>
    <row r="302" spans="1:8" ht="15">
      <c r="A302" s="167" t="s">
        <v>1730</v>
      </c>
      <c r="B302" s="171" t="s">
        <v>1731</v>
      </c>
      <c r="C302" s="956" t="s">
        <v>75</v>
      </c>
      <c r="D302" s="956" t="s">
        <v>90</v>
      </c>
      <c r="G302" s="947" t="s">
        <v>2668</v>
      </c>
      <c r="H302" s="947" t="s">
        <v>2669</v>
      </c>
    </row>
    <row r="303" spans="1:8" ht="15">
      <c r="A303" s="951" t="s">
        <v>286</v>
      </c>
      <c r="B303" s="171" t="s">
        <v>1611</v>
      </c>
      <c r="C303" s="956" t="s">
        <v>75</v>
      </c>
      <c r="D303" s="956" t="s">
        <v>89</v>
      </c>
      <c r="G303" s="947" t="s">
        <v>2794</v>
      </c>
      <c r="H303" s="947" t="s">
        <v>2795</v>
      </c>
    </row>
    <row r="304" spans="1:8" ht="15">
      <c r="A304" s="951" t="s">
        <v>1687</v>
      </c>
      <c r="B304" s="171" t="s">
        <v>1613</v>
      </c>
      <c r="C304" s="956" t="s">
        <v>75</v>
      </c>
      <c r="D304" s="956" t="s">
        <v>89</v>
      </c>
      <c r="G304" s="947" t="s">
        <v>2816</v>
      </c>
      <c r="H304" s="947" t="s">
        <v>2817</v>
      </c>
    </row>
    <row r="305" spans="1:8" ht="15">
      <c r="A305" s="951" t="s">
        <v>1689</v>
      </c>
      <c r="B305" s="171" t="s">
        <v>1615</v>
      </c>
      <c r="C305" s="956" t="s">
        <v>75</v>
      </c>
      <c r="D305" s="956" t="s">
        <v>89</v>
      </c>
      <c r="G305" s="947" t="s">
        <v>2820</v>
      </c>
      <c r="H305" s="947" t="s">
        <v>2821</v>
      </c>
    </row>
    <row r="306" spans="1:8" ht="15">
      <c r="A306" s="951" t="s">
        <v>849</v>
      </c>
      <c r="B306" s="171" t="s">
        <v>848</v>
      </c>
      <c r="C306" s="956" t="s">
        <v>75</v>
      </c>
      <c r="D306" s="956" t="s">
        <v>89</v>
      </c>
      <c r="G306" s="947" t="s">
        <v>2729</v>
      </c>
      <c r="H306" s="947" t="s">
        <v>2730</v>
      </c>
    </row>
    <row r="307" spans="1:8" ht="15">
      <c r="A307" s="168" t="s">
        <v>1004</v>
      </c>
      <c r="B307" s="169" t="s">
        <v>1003</v>
      </c>
      <c r="C307" s="956" t="s">
        <v>75</v>
      </c>
      <c r="D307" s="956" t="s">
        <v>89</v>
      </c>
      <c r="G307" s="947" t="s">
        <v>2462</v>
      </c>
      <c r="H307" s="947" t="s">
        <v>2137</v>
      </c>
    </row>
    <row r="308" spans="1:8" ht="15">
      <c r="A308" s="951" t="s">
        <v>379</v>
      </c>
      <c r="B308" s="171" t="s">
        <v>378</v>
      </c>
      <c r="C308" s="956" t="s">
        <v>75</v>
      </c>
      <c r="D308" s="956" t="s">
        <v>89</v>
      </c>
      <c r="G308" s="947" t="s">
        <v>2135</v>
      </c>
      <c r="H308" s="947" t="s">
        <v>2136</v>
      </c>
    </row>
    <row r="309" spans="1:8" ht="15">
      <c r="A309" s="169" t="s">
        <v>1006</v>
      </c>
      <c r="B309" s="169" t="s">
        <v>1005</v>
      </c>
      <c r="C309" s="956" t="s">
        <v>75</v>
      </c>
      <c r="D309" s="956" t="s">
        <v>89</v>
      </c>
      <c r="G309" s="947" t="s">
        <v>2216</v>
      </c>
      <c r="H309" s="947" t="s">
        <v>2217</v>
      </c>
    </row>
    <row r="310" spans="1:8" ht="15">
      <c r="A310" s="951" t="s">
        <v>1691</v>
      </c>
      <c r="B310" s="171" t="s">
        <v>1617</v>
      </c>
      <c r="C310" s="956" t="s">
        <v>75</v>
      </c>
      <c r="D310" s="956" t="s">
        <v>89</v>
      </c>
      <c r="G310" s="947" t="s">
        <v>1523</v>
      </c>
      <c r="H310" s="947" t="s">
        <v>2781</v>
      </c>
    </row>
    <row r="311" spans="1:8" ht="15">
      <c r="A311" s="951" t="s">
        <v>1693</v>
      </c>
      <c r="B311" s="171" t="s">
        <v>1619</v>
      </c>
      <c r="C311" s="956" t="s">
        <v>75</v>
      </c>
      <c r="D311" s="956" t="s">
        <v>89</v>
      </c>
      <c r="G311" s="947" t="s">
        <v>1442</v>
      </c>
      <c r="H311" s="947" t="s">
        <v>2770</v>
      </c>
    </row>
    <row r="312" spans="1:8" ht="15">
      <c r="A312" s="951" t="s">
        <v>1695</v>
      </c>
      <c r="B312" s="171" t="s">
        <v>1621</v>
      </c>
      <c r="C312" s="956" t="s">
        <v>75</v>
      </c>
      <c r="D312" s="956" t="s">
        <v>89</v>
      </c>
      <c r="G312" s="947" t="s">
        <v>399</v>
      </c>
      <c r="H312" s="947" t="s">
        <v>2706</v>
      </c>
    </row>
    <row r="313" spans="1:8" ht="15">
      <c r="A313" s="951" t="s">
        <v>851</v>
      </c>
      <c r="B313" s="171" t="s">
        <v>850</v>
      </c>
      <c r="C313" s="956" t="s">
        <v>75</v>
      </c>
      <c r="D313" s="956" t="s">
        <v>89</v>
      </c>
      <c r="G313" s="947" t="s">
        <v>2757</v>
      </c>
      <c r="H313" s="947" t="s">
        <v>2759</v>
      </c>
    </row>
    <row r="314" spans="1:8" ht="15">
      <c r="A314" s="169" t="s">
        <v>1008</v>
      </c>
      <c r="B314" s="169" t="s">
        <v>1007</v>
      </c>
      <c r="C314" s="956" t="s">
        <v>75</v>
      </c>
      <c r="D314" s="956" t="s">
        <v>89</v>
      </c>
      <c r="G314" s="947" t="s">
        <v>938</v>
      </c>
      <c r="H314" s="947" t="s">
        <v>2612</v>
      </c>
    </row>
    <row r="315" spans="1:8" ht="15">
      <c r="A315" s="951" t="s">
        <v>388</v>
      </c>
      <c r="B315" s="171" t="s">
        <v>387</v>
      </c>
      <c r="C315" s="956" t="s">
        <v>75</v>
      </c>
      <c r="D315" s="956" t="s">
        <v>89</v>
      </c>
      <c r="G315" s="947" t="s">
        <v>1407</v>
      </c>
      <c r="H315" s="947" t="s">
        <v>2696</v>
      </c>
    </row>
    <row r="316" spans="1:8" ht="15">
      <c r="A316" s="169" t="s">
        <v>1010</v>
      </c>
      <c r="B316" s="169" t="s">
        <v>1009</v>
      </c>
      <c r="C316" s="956" t="s">
        <v>75</v>
      </c>
      <c r="D316" s="956" t="s">
        <v>89</v>
      </c>
      <c r="G316" s="947" t="s">
        <v>1374</v>
      </c>
      <c r="H316" s="947" t="s">
        <v>2113</v>
      </c>
    </row>
    <row r="317" spans="1:8" ht="15">
      <c r="A317" s="951" t="s">
        <v>1697</v>
      </c>
      <c r="B317" s="171" t="s">
        <v>1623</v>
      </c>
      <c r="C317" s="956" t="s">
        <v>75</v>
      </c>
      <c r="D317" s="956" t="s">
        <v>89</v>
      </c>
      <c r="G317" s="947" t="s">
        <v>2111</v>
      </c>
      <c r="H317" s="947" t="s">
        <v>2112</v>
      </c>
    </row>
    <row r="318" spans="1:8" ht="15">
      <c r="A318" s="951" t="s">
        <v>372</v>
      </c>
      <c r="B318" s="171" t="s">
        <v>371</v>
      </c>
      <c r="C318" s="956" t="s">
        <v>75</v>
      </c>
      <c r="D318" s="956" t="s">
        <v>89</v>
      </c>
      <c r="G318" s="947" t="s">
        <v>1259</v>
      </c>
      <c r="H318" s="947" t="s">
        <v>2648</v>
      </c>
    </row>
    <row r="319" spans="1:8" ht="15">
      <c r="A319" s="169" t="s">
        <v>1012</v>
      </c>
      <c r="B319" s="169" t="s">
        <v>1011</v>
      </c>
      <c r="C319" s="956" t="s">
        <v>75</v>
      </c>
      <c r="D319" s="956" t="s">
        <v>89</v>
      </c>
      <c r="G319" s="947" t="s">
        <v>2624</v>
      </c>
      <c r="H319" s="947" t="s">
        <v>2626</v>
      </c>
    </row>
    <row r="320" spans="1:8" ht="15">
      <c r="A320" s="951" t="s">
        <v>333</v>
      </c>
      <c r="B320" s="171" t="s">
        <v>332</v>
      </c>
      <c r="C320" s="956" t="s">
        <v>75</v>
      </c>
      <c r="D320" s="956" t="s">
        <v>90</v>
      </c>
      <c r="G320" s="947" t="s">
        <v>1342</v>
      </c>
      <c r="H320" s="947" t="s">
        <v>2679</v>
      </c>
    </row>
    <row r="321" spans="1:8" ht="15">
      <c r="A321" s="169" t="s">
        <v>1014</v>
      </c>
      <c r="B321" s="169" t="s">
        <v>1013</v>
      </c>
      <c r="C321" s="956" t="s">
        <v>75</v>
      </c>
      <c r="D321" s="956" t="s">
        <v>90</v>
      </c>
      <c r="G321" s="947" t="s">
        <v>1249</v>
      </c>
      <c r="H321" s="947" t="s">
        <v>2735</v>
      </c>
    </row>
    <row r="322" spans="1:8" ht="15">
      <c r="A322" s="167" t="s">
        <v>1721</v>
      </c>
      <c r="B322" s="171" t="s">
        <v>1722</v>
      </c>
      <c r="C322" s="956" t="s">
        <v>75</v>
      </c>
      <c r="D322" s="956" t="s">
        <v>90</v>
      </c>
      <c r="G322" s="947" t="s">
        <v>1445</v>
      </c>
      <c r="H322" s="947" t="s">
        <v>2641</v>
      </c>
    </row>
    <row r="323" spans="1:8" ht="15">
      <c r="A323" s="951" t="s">
        <v>1710</v>
      </c>
      <c r="B323" s="171" t="s">
        <v>1635</v>
      </c>
      <c r="C323" s="956" t="s">
        <v>75</v>
      </c>
      <c r="D323" s="956" t="s">
        <v>89</v>
      </c>
      <c r="G323" s="947" t="s">
        <v>1252</v>
      </c>
      <c r="H323" s="947" t="s">
        <v>2586</v>
      </c>
    </row>
    <row r="324" spans="1:8" ht="15">
      <c r="A324" s="951" t="s">
        <v>853</v>
      </c>
      <c r="B324" s="171" t="s">
        <v>852</v>
      </c>
      <c r="C324" s="956" t="s">
        <v>75</v>
      </c>
      <c r="D324" s="956" t="s">
        <v>89</v>
      </c>
      <c r="G324" s="947" t="s">
        <v>1283</v>
      </c>
      <c r="H324" s="947" t="s">
        <v>2685</v>
      </c>
    </row>
    <row r="325" spans="1:8" ht="15">
      <c r="A325" s="169" t="s">
        <v>1016</v>
      </c>
      <c r="B325" s="169" t="s">
        <v>1015</v>
      </c>
      <c r="C325" s="956" t="s">
        <v>75</v>
      </c>
      <c r="D325" s="956" t="s">
        <v>89</v>
      </c>
      <c r="G325" s="947" t="s">
        <v>1414</v>
      </c>
      <c r="H325" s="947" t="s">
        <v>2694</v>
      </c>
    </row>
    <row r="326" spans="1:8" ht="15">
      <c r="A326" s="167" t="s">
        <v>395</v>
      </c>
      <c r="B326" s="166" t="s">
        <v>394</v>
      </c>
      <c r="C326" s="956" t="s">
        <v>75</v>
      </c>
      <c r="D326" s="956" t="s">
        <v>98</v>
      </c>
      <c r="G326" s="947" t="s">
        <v>2354</v>
      </c>
      <c r="H326" s="947" t="s">
        <v>2355</v>
      </c>
    </row>
    <row r="327" spans="1:8" ht="15">
      <c r="A327" s="169" t="s">
        <v>1018</v>
      </c>
      <c r="B327" s="169" t="s">
        <v>1017</v>
      </c>
      <c r="C327" s="956" t="s">
        <v>75</v>
      </c>
      <c r="D327" s="956">
        <v>0</v>
      </c>
      <c r="G327" s="947" t="s">
        <v>1157</v>
      </c>
      <c r="H327" s="947" t="s">
        <v>2563</v>
      </c>
    </row>
    <row r="328" spans="1:8" ht="15">
      <c r="A328" s="171" t="s">
        <v>1703</v>
      </c>
      <c r="B328" s="171" t="s">
        <v>1628</v>
      </c>
      <c r="C328" s="956" t="s">
        <v>75</v>
      </c>
      <c r="D328" s="956" t="s">
        <v>89</v>
      </c>
      <c r="G328" s="947" t="s">
        <v>932</v>
      </c>
      <c r="H328" s="947" t="s">
        <v>2159</v>
      </c>
    </row>
    <row r="329" spans="1:8" ht="15">
      <c r="A329" s="171" t="s">
        <v>1705</v>
      </c>
      <c r="B329" s="171" t="s">
        <v>1630</v>
      </c>
      <c r="C329" s="956" t="s">
        <v>75</v>
      </c>
      <c r="D329" s="956" t="s">
        <v>89</v>
      </c>
      <c r="G329" s="947" t="s">
        <v>934</v>
      </c>
      <c r="H329" s="947" t="s">
        <v>2561</v>
      </c>
    </row>
    <row r="330" spans="1:8" ht="15">
      <c r="A330" s="951" t="s">
        <v>390</v>
      </c>
      <c r="B330" s="171" t="s">
        <v>389</v>
      </c>
      <c r="C330" s="956" t="s">
        <v>75</v>
      </c>
      <c r="D330" s="956" t="s">
        <v>89</v>
      </c>
      <c r="G330" s="947" t="s">
        <v>1186</v>
      </c>
      <c r="H330" s="947" t="s">
        <v>2632</v>
      </c>
    </row>
    <row r="331" spans="1:8" ht="15">
      <c r="A331" s="169" t="s">
        <v>1020</v>
      </c>
      <c r="B331" s="169" t="s">
        <v>1019</v>
      </c>
      <c r="C331" s="956" t="s">
        <v>75</v>
      </c>
      <c r="D331" s="956" t="s">
        <v>89</v>
      </c>
      <c r="G331" s="947" t="s">
        <v>1180</v>
      </c>
      <c r="H331" s="947" t="s">
        <v>2581</v>
      </c>
    </row>
    <row r="332" spans="1:8" ht="15">
      <c r="A332" s="167" t="s">
        <v>297</v>
      </c>
      <c r="B332" s="166" t="s">
        <v>296</v>
      </c>
      <c r="C332" s="956" t="s">
        <v>75</v>
      </c>
      <c r="D332" s="956" t="s">
        <v>95</v>
      </c>
      <c r="G332" s="947" t="s">
        <v>2357</v>
      </c>
      <c r="H332" s="947" t="s">
        <v>2358</v>
      </c>
    </row>
    <row r="333" spans="1:8" ht="15">
      <c r="A333" s="169" t="s">
        <v>1022</v>
      </c>
      <c r="B333" s="169" t="s">
        <v>1021</v>
      </c>
      <c r="C333" s="956" t="s">
        <v>75</v>
      </c>
      <c r="D333" s="956" t="s">
        <v>95</v>
      </c>
      <c r="G333" s="947" t="s">
        <v>1286</v>
      </c>
      <c r="H333" s="947" t="s">
        <v>2702</v>
      </c>
    </row>
    <row r="334" spans="1:8" ht="15">
      <c r="A334" s="168" t="s">
        <v>317</v>
      </c>
      <c r="B334" s="169" t="s">
        <v>316</v>
      </c>
      <c r="C334" s="956" t="s">
        <v>75</v>
      </c>
      <c r="D334" s="956" t="s">
        <v>94</v>
      </c>
      <c r="G334" s="947" t="s">
        <v>1206</v>
      </c>
      <c r="H334" s="947" t="s">
        <v>2588</v>
      </c>
    </row>
    <row r="335" spans="1:8" ht="15">
      <c r="A335" s="169" t="s">
        <v>1024</v>
      </c>
      <c r="B335" s="169" t="s">
        <v>1023</v>
      </c>
      <c r="C335" s="956" t="s">
        <v>75</v>
      </c>
      <c r="D335" s="956" t="s">
        <v>94</v>
      </c>
      <c r="G335" s="947" t="s">
        <v>1154</v>
      </c>
      <c r="H335" s="947" t="s">
        <v>2592</v>
      </c>
    </row>
    <row r="336" spans="1:8" ht="15">
      <c r="A336" s="168" t="s">
        <v>290</v>
      </c>
      <c r="B336" s="169" t="s">
        <v>289</v>
      </c>
      <c r="C336" s="956" t="s">
        <v>75</v>
      </c>
      <c r="D336" s="956" t="s">
        <v>94</v>
      </c>
      <c r="G336" s="947" t="s">
        <v>1237</v>
      </c>
      <c r="H336" s="947" t="s">
        <v>2637</v>
      </c>
    </row>
    <row r="337" spans="1:8" ht="15">
      <c r="A337" s="169" t="s">
        <v>1026</v>
      </c>
      <c r="B337" s="169" t="s">
        <v>1025</v>
      </c>
      <c r="C337" s="956" t="s">
        <v>75</v>
      </c>
      <c r="D337" s="956" t="s">
        <v>94</v>
      </c>
      <c r="G337" s="947" t="s">
        <v>1315</v>
      </c>
      <c r="H337" s="947" t="s">
        <v>2470</v>
      </c>
    </row>
    <row r="338" spans="1:8" ht="15">
      <c r="A338" s="167" t="s">
        <v>1725</v>
      </c>
      <c r="B338" s="171" t="s">
        <v>1632</v>
      </c>
      <c r="C338" s="956" t="s">
        <v>75</v>
      </c>
      <c r="D338" s="956" t="s">
        <v>90</v>
      </c>
      <c r="G338" s="947" t="s">
        <v>1308</v>
      </c>
      <c r="H338" s="947" t="s">
        <v>2662</v>
      </c>
    </row>
    <row r="339" spans="1:8" ht="15">
      <c r="A339" s="951" t="s">
        <v>1708</v>
      </c>
      <c r="B339" s="171" t="s">
        <v>1633</v>
      </c>
      <c r="C339" s="956" t="s">
        <v>75</v>
      </c>
      <c r="D339" s="956" t="s">
        <v>89</v>
      </c>
      <c r="G339" s="947" t="s">
        <v>1333</v>
      </c>
      <c r="H339" s="947" t="s">
        <v>2653</v>
      </c>
    </row>
    <row r="340" spans="1:8" ht="15">
      <c r="A340" s="951" t="s">
        <v>1701</v>
      </c>
      <c r="B340" s="171" t="s">
        <v>1626</v>
      </c>
      <c r="C340" s="956" t="s">
        <v>75</v>
      </c>
      <c r="D340" s="956" t="s">
        <v>89</v>
      </c>
      <c r="G340" s="947" t="s">
        <v>936</v>
      </c>
      <c r="H340" s="947" t="s">
        <v>2463</v>
      </c>
    </row>
    <row r="341" spans="1:8" ht="15">
      <c r="A341" s="951" t="s">
        <v>855</v>
      </c>
      <c r="B341" s="171" t="s">
        <v>854</v>
      </c>
      <c r="C341" s="956" t="s">
        <v>75</v>
      </c>
      <c r="D341" s="956" t="s">
        <v>89</v>
      </c>
      <c r="G341" s="947" t="s">
        <v>1332</v>
      </c>
      <c r="H341" s="947" t="s">
        <v>2604</v>
      </c>
    </row>
    <row r="342" spans="1:8" ht="15">
      <c r="A342" s="169" t="s">
        <v>1028</v>
      </c>
      <c r="B342" s="169" t="s">
        <v>1027</v>
      </c>
      <c r="C342" s="956" t="s">
        <v>75</v>
      </c>
      <c r="D342" s="956" t="s">
        <v>89</v>
      </c>
      <c r="G342" s="947" t="s">
        <v>1469</v>
      </c>
      <c r="H342" s="947" t="s">
        <v>2709</v>
      </c>
    </row>
    <row r="343" spans="1:8" ht="15">
      <c r="A343" s="951" t="s">
        <v>313</v>
      </c>
      <c r="B343" s="171" t="s">
        <v>312</v>
      </c>
      <c r="C343" s="956" t="s">
        <v>75</v>
      </c>
      <c r="D343" s="956" t="s">
        <v>90</v>
      </c>
      <c r="G343" s="947" t="s">
        <v>1366</v>
      </c>
      <c r="H343" s="947" t="s">
        <v>2594</v>
      </c>
    </row>
    <row r="344" spans="1:8" ht="15">
      <c r="A344" s="169" t="s">
        <v>1030</v>
      </c>
      <c r="B344" s="169" t="s">
        <v>1029</v>
      </c>
      <c r="C344" s="956" t="s">
        <v>75</v>
      </c>
      <c r="D344" s="956" t="s">
        <v>90</v>
      </c>
      <c r="G344" s="947" t="s">
        <v>1362</v>
      </c>
      <c r="H344" s="947" t="s">
        <v>2614</v>
      </c>
    </row>
    <row r="345" spans="1:8" ht="15">
      <c r="A345" s="168" t="s">
        <v>438</v>
      </c>
      <c r="B345" s="169" t="s">
        <v>437</v>
      </c>
      <c r="C345" s="956" t="s">
        <v>75</v>
      </c>
      <c r="D345" s="956" t="s">
        <v>96</v>
      </c>
      <c r="G345" s="947" t="s">
        <v>1296</v>
      </c>
      <c r="H345" s="947" t="s">
        <v>2597</v>
      </c>
    </row>
    <row r="346" spans="1:8" ht="15">
      <c r="A346" s="169" t="s">
        <v>1032</v>
      </c>
      <c r="B346" s="169" t="s">
        <v>1031</v>
      </c>
      <c r="C346" s="956" t="s">
        <v>75</v>
      </c>
      <c r="D346" s="956" t="s">
        <v>89</v>
      </c>
      <c r="G346" s="947" t="s">
        <v>1395</v>
      </c>
      <c r="H346" s="947" t="s">
        <v>2635</v>
      </c>
    </row>
    <row r="347" spans="1:8" ht="15">
      <c r="A347" s="167" t="s">
        <v>1734</v>
      </c>
      <c r="B347" s="166" t="s">
        <v>1735</v>
      </c>
      <c r="C347" s="956" t="s">
        <v>144</v>
      </c>
      <c r="D347" s="956" t="s">
        <v>146</v>
      </c>
      <c r="G347" s="947" t="s">
        <v>1483</v>
      </c>
      <c r="H347" s="947" t="s">
        <v>2780</v>
      </c>
    </row>
    <row r="348" spans="1:8" ht="15">
      <c r="A348" s="167" t="s">
        <v>857</v>
      </c>
      <c r="B348" s="166" t="s">
        <v>856</v>
      </c>
      <c r="C348" s="956" t="s">
        <v>144</v>
      </c>
      <c r="D348" s="956" t="s">
        <v>181</v>
      </c>
      <c r="G348" s="947" t="s">
        <v>1442</v>
      </c>
      <c r="H348" s="947" t="s">
        <v>2769</v>
      </c>
    </row>
    <row r="349" spans="1:8" ht="15">
      <c r="A349" s="169" t="s">
        <v>1034</v>
      </c>
      <c r="B349" s="169" t="s">
        <v>1033</v>
      </c>
      <c r="C349" s="956" t="s">
        <v>144</v>
      </c>
      <c r="D349" s="956" t="s">
        <v>146</v>
      </c>
      <c r="G349" s="947" t="s">
        <v>1230</v>
      </c>
      <c r="H349" s="947" t="s">
        <v>2751</v>
      </c>
    </row>
    <row r="350" spans="1:8" ht="15">
      <c r="A350" s="167" t="s">
        <v>509</v>
      </c>
      <c r="B350" s="166" t="s">
        <v>508</v>
      </c>
      <c r="C350" s="956" t="s">
        <v>144</v>
      </c>
      <c r="D350" s="956" t="s">
        <v>98</v>
      </c>
      <c r="G350" s="947" t="s">
        <v>2757</v>
      </c>
      <c r="H350" s="947" t="s">
        <v>2758</v>
      </c>
    </row>
    <row r="351" spans="1:8" ht="15">
      <c r="A351" s="169" t="s">
        <v>1036</v>
      </c>
      <c r="B351" s="169" t="s">
        <v>1035</v>
      </c>
      <c r="C351" s="956" t="s">
        <v>144</v>
      </c>
      <c r="D351" s="956" t="s">
        <v>98</v>
      </c>
      <c r="G351" s="947" t="s">
        <v>938</v>
      </c>
      <c r="H351" s="947" t="s">
        <v>2611</v>
      </c>
    </row>
    <row r="352" spans="1:8" ht="15">
      <c r="A352" s="167" t="s">
        <v>311</v>
      </c>
      <c r="B352" s="166" t="s">
        <v>310</v>
      </c>
      <c r="C352" s="956" t="s">
        <v>144</v>
      </c>
      <c r="D352" s="956" t="s">
        <v>150</v>
      </c>
      <c r="G352" s="947" t="s">
        <v>1407</v>
      </c>
      <c r="H352" s="947" t="s">
        <v>2695</v>
      </c>
    </row>
    <row r="353" spans="1:8" ht="15">
      <c r="A353" s="169" t="s">
        <v>1038</v>
      </c>
      <c r="B353" s="169" t="s">
        <v>1037</v>
      </c>
      <c r="C353" s="956" t="s">
        <v>144</v>
      </c>
      <c r="D353" s="956" t="s">
        <v>150</v>
      </c>
      <c r="G353" s="947" t="s">
        <v>2359</v>
      </c>
      <c r="H353" s="947" t="s">
        <v>2360</v>
      </c>
    </row>
    <row r="354" spans="1:8" ht="15">
      <c r="A354" s="167" t="s">
        <v>295</v>
      </c>
      <c r="B354" s="166" t="s">
        <v>294</v>
      </c>
      <c r="C354" s="956" t="s">
        <v>144</v>
      </c>
      <c r="D354" s="956" t="s">
        <v>150</v>
      </c>
      <c r="G354" s="947" t="s">
        <v>1374</v>
      </c>
      <c r="H354" s="947" t="s">
        <v>2774</v>
      </c>
    </row>
    <row r="355" spans="1:8" ht="15">
      <c r="A355" s="169" t="s">
        <v>1040</v>
      </c>
      <c r="B355" s="169" t="s">
        <v>1039</v>
      </c>
      <c r="C355" s="956" t="s">
        <v>144</v>
      </c>
      <c r="D355" s="956" t="s">
        <v>150</v>
      </c>
      <c r="G355" s="947" t="s">
        <v>2148</v>
      </c>
      <c r="H355" s="947" t="s">
        <v>2149</v>
      </c>
    </row>
    <row r="356" spans="1:8" ht="15">
      <c r="A356" s="167" t="s">
        <v>1825</v>
      </c>
      <c r="B356" s="166" t="s">
        <v>1826</v>
      </c>
      <c r="C356" s="956" t="s">
        <v>144</v>
      </c>
      <c r="D356" s="956" t="s">
        <v>146</v>
      </c>
      <c r="G356" s="947" t="s">
        <v>2361</v>
      </c>
      <c r="H356" s="947" t="s">
        <v>2362</v>
      </c>
    </row>
    <row r="357" spans="1:8" ht="15">
      <c r="A357" s="166" t="s">
        <v>1865</v>
      </c>
      <c r="B357" s="166" t="s">
        <v>1866</v>
      </c>
      <c r="C357" s="956" t="s">
        <v>144</v>
      </c>
      <c r="D357" s="956" t="s">
        <v>146</v>
      </c>
      <c r="G357" s="947" t="s">
        <v>1259</v>
      </c>
      <c r="H357" s="947" t="s">
        <v>2674</v>
      </c>
    </row>
    <row r="358" spans="1:8" ht="15">
      <c r="A358" s="167" t="s">
        <v>1843</v>
      </c>
      <c r="B358" s="166" t="s">
        <v>1844</v>
      </c>
      <c r="C358" s="956" t="s">
        <v>144</v>
      </c>
      <c r="D358" s="956" t="s">
        <v>146</v>
      </c>
      <c r="G358" s="947" t="s">
        <v>2624</v>
      </c>
      <c r="H358" s="947" t="s">
        <v>2748</v>
      </c>
    </row>
    <row r="359" spans="1:8" ht="15">
      <c r="A359" s="167" t="s">
        <v>1855</v>
      </c>
      <c r="B359" s="166" t="s">
        <v>1856</v>
      </c>
      <c r="C359" s="956" t="s">
        <v>144</v>
      </c>
      <c r="D359" s="956" t="s">
        <v>146</v>
      </c>
      <c r="G359" s="947" t="s">
        <v>1342</v>
      </c>
      <c r="H359" s="947" t="s">
        <v>2707</v>
      </c>
    </row>
    <row r="360" spans="1:8" ht="15">
      <c r="A360" s="167" t="s">
        <v>1739</v>
      </c>
      <c r="B360" s="166" t="s">
        <v>1740</v>
      </c>
      <c r="C360" s="956" t="s">
        <v>144</v>
      </c>
      <c r="D360" s="956" t="s">
        <v>146</v>
      </c>
      <c r="G360" s="947" t="s">
        <v>1412</v>
      </c>
      <c r="H360" s="947" t="s">
        <v>2776</v>
      </c>
    </row>
    <row r="361" spans="1:8" ht="15">
      <c r="A361" s="167" t="s">
        <v>1739</v>
      </c>
      <c r="B361" s="166" t="s">
        <v>1740</v>
      </c>
      <c r="C361" s="956" t="s">
        <v>144</v>
      </c>
      <c r="D361" s="956" t="s">
        <v>146</v>
      </c>
      <c r="G361" s="947" t="s">
        <v>1211</v>
      </c>
      <c r="H361" s="947" t="s">
        <v>2712</v>
      </c>
    </row>
    <row r="362" spans="1:8" ht="15">
      <c r="A362" s="167" t="s">
        <v>1831</v>
      </c>
      <c r="B362" s="166" t="s">
        <v>1832</v>
      </c>
      <c r="C362" s="956" t="s">
        <v>144</v>
      </c>
      <c r="D362" s="956" t="s">
        <v>181</v>
      </c>
      <c r="G362" s="947" t="s">
        <v>1252</v>
      </c>
      <c r="H362" s="947" t="s">
        <v>2697</v>
      </c>
    </row>
    <row r="363" spans="1:8" ht="15">
      <c r="A363" s="167" t="s">
        <v>1837</v>
      </c>
      <c r="B363" s="166" t="s">
        <v>1838</v>
      </c>
      <c r="C363" s="956" t="s">
        <v>144</v>
      </c>
      <c r="D363" s="956" t="s">
        <v>181</v>
      </c>
      <c r="G363" s="947" t="s">
        <v>1283</v>
      </c>
      <c r="H363" s="947" t="s">
        <v>2717</v>
      </c>
    </row>
    <row r="364" spans="1:8" ht="15">
      <c r="A364" s="167" t="s">
        <v>1849</v>
      </c>
      <c r="B364" s="166" t="s">
        <v>1850</v>
      </c>
      <c r="C364" s="956" t="s">
        <v>144</v>
      </c>
      <c r="D364" s="956" t="s">
        <v>181</v>
      </c>
      <c r="G364" s="947" t="s">
        <v>1305</v>
      </c>
      <c r="H364" s="947" t="s">
        <v>2719</v>
      </c>
    </row>
    <row r="365" spans="1:8" ht="15">
      <c r="A365" s="167" t="s">
        <v>1819</v>
      </c>
      <c r="B365" s="166" t="s">
        <v>1820</v>
      </c>
      <c r="C365" s="956" t="s">
        <v>144</v>
      </c>
      <c r="D365" s="956" t="s">
        <v>146</v>
      </c>
      <c r="G365" s="947" t="s">
        <v>2363</v>
      </c>
      <c r="H365" s="947" t="s">
        <v>2364</v>
      </c>
    </row>
    <row r="366" spans="1:8" ht="15">
      <c r="A366" s="167" t="s">
        <v>1861</v>
      </c>
      <c r="B366" s="166" t="s">
        <v>1862</v>
      </c>
      <c r="C366" s="956" t="s">
        <v>144</v>
      </c>
      <c r="D366" s="956" t="s">
        <v>181</v>
      </c>
      <c r="G366" s="947" t="s">
        <v>1157</v>
      </c>
      <c r="H366" s="947" t="s">
        <v>2565</v>
      </c>
    </row>
    <row r="367" spans="1:8" ht="15">
      <c r="A367" s="167" t="s">
        <v>331</v>
      </c>
      <c r="B367" s="166" t="s">
        <v>330</v>
      </c>
      <c r="C367" s="956" t="s">
        <v>155</v>
      </c>
      <c r="D367" s="956" t="s">
        <v>159</v>
      </c>
      <c r="G367" s="947" t="s">
        <v>932</v>
      </c>
      <c r="H367" s="947" t="s">
        <v>2464</v>
      </c>
    </row>
    <row r="368" spans="1:8" ht="15">
      <c r="A368" s="169" t="s">
        <v>1042</v>
      </c>
      <c r="B368" s="169" t="s">
        <v>1041</v>
      </c>
      <c r="C368" s="956" t="s">
        <v>155</v>
      </c>
      <c r="D368" s="956" t="s">
        <v>159</v>
      </c>
      <c r="G368" s="947" t="s">
        <v>934</v>
      </c>
      <c r="H368" s="947" t="s">
        <v>2564</v>
      </c>
    </row>
    <row r="369" spans="1:8" ht="15">
      <c r="A369" s="167" t="s">
        <v>501</v>
      </c>
      <c r="B369" s="166" t="s">
        <v>500</v>
      </c>
      <c r="C369" s="956" t="s">
        <v>155</v>
      </c>
      <c r="D369" s="956" t="s">
        <v>163</v>
      </c>
      <c r="G369" s="947" t="s">
        <v>1186</v>
      </c>
      <c r="H369" s="947" t="s">
        <v>2649</v>
      </c>
    </row>
    <row r="370" spans="1:8" ht="15">
      <c r="A370" s="169" t="s">
        <v>1044</v>
      </c>
      <c r="B370" s="169" t="s">
        <v>1043</v>
      </c>
      <c r="C370" s="956" t="s">
        <v>155</v>
      </c>
      <c r="D370" s="956" t="s">
        <v>163</v>
      </c>
      <c r="G370" s="947" t="s">
        <v>1180</v>
      </c>
      <c r="H370" s="947" t="s">
        <v>2584</v>
      </c>
    </row>
    <row r="371" spans="1:8" ht="15">
      <c r="A371" s="167" t="s">
        <v>353</v>
      </c>
      <c r="B371" s="166" t="s">
        <v>352</v>
      </c>
      <c r="C371" s="956" t="s">
        <v>155</v>
      </c>
      <c r="D371" s="956" t="s">
        <v>161</v>
      </c>
      <c r="G371" s="947" t="s">
        <v>1286</v>
      </c>
      <c r="H371" s="947" t="s">
        <v>2723</v>
      </c>
    </row>
    <row r="372" spans="1:8" ht="15">
      <c r="A372" s="169" t="s">
        <v>1046</v>
      </c>
      <c r="B372" s="169" t="s">
        <v>1045</v>
      </c>
      <c r="C372" s="956" t="s">
        <v>155</v>
      </c>
      <c r="D372" s="956" t="s">
        <v>161</v>
      </c>
      <c r="G372" s="947" t="s">
        <v>1206</v>
      </c>
      <c r="H372" s="947" t="s">
        <v>2602</v>
      </c>
    </row>
    <row r="373" spans="1:8" ht="15">
      <c r="A373" s="167" t="s">
        <v>337</v>
      </c>
      <c r="B373" s="166" t="s">
        <v>336</v>
      </c>
      <c r="C373" s="956" t="s">
        <v>155</v>
      </c>
      <c r="D373" s="956" t="s">
        <v>162</v>
      </c>
      <c r="G373" s="947" t="s">
        <v>1154</v>
      </c>
      <c r="H373" s="947" t="s">
        <v>2595</v>
      </c>
    </row>
    <row r="374" spans="1:8" ht="15">
      <c r="A374" s="168" t="s">
        <v>1048</v>
      </c>
      <c r="B374" s="169" t="s">
        <v>1047</v>
      </c>
      <c r="C374" s="956" t="s">
        <v>155</v>
      </c>
      <c r="D374" s="956" t="s">
        <v>162</v>
      </c>
      <c r="G374" s="947" t="s">
        <v>1237</v>
      </c>
      <c r="H374" s="947" t="s">
        <v>2666</v>
      </c>
    </row>
    <row r="375" spans="1:8" ht="15">
      <c r="A375" s="167" t="s">
        <v>531</v>
      </c>
      <c r="B375" s="166" t="s">
        <v>530</v>
      </c>
      <c r="C375" s="956" t="s">
        <v>155</v>
      </c>
      <c r="D375" s="956" t="s">
        <v>161</v>
      </c>
      <c r="G375" s="947" t="s">
        <v>1247</v>
      </c>
      <c r="H375" s="947" t="s">
        <v>2676</v>
      </c>
    </row>
    <row r="376" spans="1:8" ht="15">
      <c r="A376" s="168" t="s">
        <v>1050</v>
      </c>
      <c r="B376" s="169" t="s">
        <v>1049</v>
      </c>
      <c r="C376" s="956" t="s">
        <v>155</v>
      </c>
      <c r="D376" s="956" t="s">
        <v>161</v>
      </c>
      <c r="G376" s="947" t="s">
        <v>1308</v>
      </c>
      <c r="H376" s="947" t="s">
        <v>2698</v>
      </c>
    </row>
    <row r="377" spans="1:8" ht="15">
      <c r="A377" s="167" t="s">
        <v>1873</v>
      </c>
      <c r="B377" s="166" t="s">
        <v>1874</v>
      </c>
      <c r="C377" s="956" t="s">
        <v>1646</v>
      </c>
      <c r="D377" s="956" t="s">
        <v>167</v>
      </c>
      <c r="G377" s="947" t="s">
        <v>1333</v>
      </c>
      <c r="H377" s="947" t="s">
        <v>2680</v>
      </c>
    </row>
    <row r="378" spans="1:8" ht="15">
      <c r="A378" s="167" t="s">
        <v>415</v>
      </c>
      <c r="B378" s="166" t="s">
        <v>414</v>
      </c>
      <c r="C378" s="956" t="s">
        <v>175</v>
      </c>
      <c r="D378" s="956" t="s">
        <v>187</v>
      </c>
      <c r="G378" s="947" t="s">
        <v>936</v>
      </c>
      <c r="H378" s="947" t="s">
        <v>2465</v>
      </c>
    </row>
    <row r="379" spans="1:8" ht="15">
      <c r="A379" s="168" t="s">
        <v>1052</v>
      </c>
      <c r="B379" s="169" t="s">
        <v>1051</v>
      </c>
      <c r="C379" s="956" t="s">
        <v>155</v>
      </c>
      <c r="D379" s="956" t="s">
        <v>89</v>
      </c>
      <c r="G379" s="947" t="s">
        <v>1380</v>
      </c>
      <c r="H379" s="947" t="s">
        <v>2633</v>
      </c>
    </row>
    <row r="380" spans="1:8" ht="15">
      <c r="A380" s="167" t="s">
        <v>1879</v>
      </c>
      <c r="B380" s="166" t="s">
        <v>1880</v>
      </c>
      <c r="C380" s="956" t="s">
        <v>155</v>
      </c>
      <c r="D380" s="956" t="s">
        <v>1700</v>
      </c>
      <c r="G380" s="947" t="s">
        <v>1462</v>
      </c>
      <c r="H380" s="947" t="s">
        <v>2724</v>
      </c>
    </row>
    <row r="381" spans="1:8" ht="15">
      <c r="A381" s="167" t="s">
        <v>473</v>
      </c>
      <c r="B381" s="166" t="s">
        <v>472</v>
      </c>
      <c r="C381" s="956" t="s">
        <v>155</v>
      </c>
      <c r="D381" s="956" t="s">
        <v>167</v>
      </c>
      <c r="G381" s="947" t="s">
        <v>1290</v>
      </c>
      <c r="H381" s="947" t="s">
        <v>2615</v>
      </c>
    </row>
    <row r="382" spans="1:8" ht="15">
      <c r="A382" s="168" t="s">
        <v>1054</v>
      </c>
      <c r="B382" s="169" t="s">
        <v>1053</v>
      </c>
      <c r="C382" s="956" t="s">
        <v>155</v>
      </c>
      <c r="D382" s="956" t="s">
        <v>167</v>
      </c>
      <c r="G382" s="947" t="s">
        <v>1203</v>
      </c>
      <c r="H382" s="947" t="s">
        <v>2651</v>
      </c>
    </row>
    <row r="383" spans="1:8" ht="15">
      <c r="A383" s="167" t="s">
        <v>547</v>
      </c>
      <c r="B383" s="166" t="s">
        <v>546</v>
      </c>
      <c r="C383" s="956" t="s">
        <v>155</v>
      </c>
      <c r="D383" s="956" t="s">
        <v>167</v>
      </c>
      <c r="G383" s="947" t="s">
        <v>1393</v>
      </c>
      <c r="H383" s="947" t="s">
        <v>2620</v>
      </c>
    </row>
    <row r="384" spans="1:8" ht="15">
      <c r="A384" s="168" t="s">
        <v>1056</v>
      </c>
      <c r="B384" s="169" t="s">
        <v>1055</v>
      </c>
      <c r="C384" s="956" t="s">
        <v>155</v>
      </c>
      <c r="D384" s="956" t="s">
        <v>167</v>
      </c>
      <c r="G384" s="947" t="s">
        <v>1318</v>
      </c>
      <c r="H384" s="947" t="s">
        <v>2664</v>
      </c>
    </row>
    <row r="385" spans="1:8" ht="15">
      <c r="A385" s="167" t="s">
        <v>413</v>
      </c>
      <c r="B385" s="166" t="s">
        <v>412</v>
      </c>
      <c r="C385" s="956" t="s">
        <v>155</v>
      </c>
      <c r="D385" s="956" t="s">
        <v>167</v>
      </c>
      <c r="G385" s="947" t="s">
        <v>1403</v>
      </c>
      <c r="H385" s="947" t="s">
        <v>2743</v>
      </c>
    </row>
    <row r="386" spans="1:8" ht="15">
      <c r="A386" s="169" t="s">
        <v>1058</v>
      </c>
      <c r="B386" s="169" t="s">
        <v>1057</v>
      </c>
      <c r="C386" s="956" t="s">
        <v>155</v>
      </c>
      <c r="D386" s="956" t="s">
        <v>167</v>
      </c>
      <c r="G386" s="947" t="s">
        <v>1450</v>
      </c>
      <c r="H386" s="947" t="s">
        <v>2677</v>
      </c>
    </row>
    <row r="387" spans="1:8" ht="15">
      <c r="A387" s="167" t="s">
        <v>453</v>
      </c>
      <c r="B387" s="166" t="s">
        <v>452</v>
      </c>
      <c r="C387" s="956" t="s">
        <v>171</v>
      </c>
      <c r="D387" s="956" t="s">
        <v>172</v>
      </c>
      <c r="G387" s="947" t="s">
        <v>1374</v>
      </c>
      <c r="H387" s="947" t="s">
        <v>2714</v>
      </c>
    </row>
    <row r="388" spans="1:8" ht="15">
      <c r="A388" s="169" t="s">
        <v>1060</v>
      </c>
      <c r="B388" s="169" t="s">
        <v>1059</v>
      </c>
      <c r="C388" s="956" t="s">
        <v>171</v>
      </c>
      <c r="D388" s="956" t="s">
        <v>172</v>
      </c>
      <c r="G388" s="947" t="s">
        <v>1259</v>
      </c>
      <c r="H388" s="947" t="s">
        <v>2711</v>
      </c>
    </row>
    <row r="389" spans="1:8" ht="15">
      <c r="A389" s="167" t="s">
        <v>859</v>
      </c>
      <c r="B389" s="166" t="s">
        <v>858</v>
      </c>
      <c r="C389" s="956" t="s">
        <v>171</v>
      </c>
      <c r="D389" s="956" t="s">
        <v>172</v>
      </c>
      <c r="G389" s="947" t="s">
        <v>2624</v>
      </c>
      <c r="H389" s="947" t="s">
        <v>2771</v>
      </c>
    </row>
    <row r="390" spans="1:8" ht="15">
      <c r="A390" s="169" t="s">
        <v>1062</v>
      </c>
      <c r="B390" s="169" t="s">
        <v>1061</v>
      </c>
      <c r="C390" s="956" t="s">
        <v>171</v>
      </c>
      <c r="D390" s="956" t="s">
        <v>172</v>
      </c>
      <c r="G390" s="947" t="s">
        <v>1266</v>
      </c>
      <c r="H390" s="947" t="s">
        <v>2766</v>
      </c>
    </row>
    <row r="391" spans="1:8" ht="15">
      <c r="A391" s="167" t="s">
        <v>513</v>
      </c>
      <c r="B391" s="166" t="s">
        <v>512</v>
      </c>
      <c r="C391" s="956" t="s">
        <v>171</v>
      </c>
      <c r="D391" s="956" t="s">
        <v>172</v>
      </c>
      <c r="G391" s="947" t="s">
        <v>1249</v>
      </c>
      <c r="H391" s="947" t="s">
        <v>2805</v>
      </c>
    </row>
    <row r="392" spans="1:8" ht="15">
      <c r="A392" s="169" t="s">
        <v>1064</v>
      </c>
      <c r="B392" s="169" t="s">
        <v>1063</v>
      </c>
      <c r="C392" s="956" t="s">
        <v>171</v>
      </c>
      <c r="D392" s="956" t="s">
        <v>172</v>
      </c>
      <c r="G392" s="947" t="s">
        <v>1330</v>
      </c>
      <c r="H392" s="947" t="s">
        <v>2810</v>
      </c>
    </row>
    <row r="393" spans="1:8" ht="15">
      <c r="A393" s="167" t="s">
        <v>327</v>
      </c>
      <c r="B393" s="166" t="s">
        <v>326</v>
      </c>
      <c r="C393" s="956" t="s">
        <v>144</v>
      </c>
      <c r="D393" s="956" t="s">
        <v>146</v>
      </c>
      <c r="G393" s="947" t="s">
        <v>1448</v>
      </c>
      <c r="H393" s="947" t="s">
        <v>2793</v>
      </c>
    </row>
    <row r="394" spans="1:8" ht="15">
      <c r="A394" s="169" t="s">
        <v>1066</v>
      </c>
      <c r="B394" s="169" t="s">
        <v>1065</v>
      </c>
      <c r="C394" s="956" t="s">
        <v>144</v>
      </c>
      <c r="D394" s="956" t="s">
        <v>146</v>
      </c>
      <c r="G394" s="947" t="s">
        <v>1252</v>
      </c>
      <c r="H394" s="947" t="s">
        <v>2732</v>
      </c>
    </row>
    <row r="395" spans="1:8" ht="15">
      <c r="A395" s="167" t="s">
        <v>1789</v>
      </c>
      <c r="B395" s="166" t="s">
        <v>1790</v>
      </c>
      <c r="C395" s="956" t="s">
        <v>144</v>
      </c>
      <c r="D395" s="956" t="s">
        <v>146</v>
      </c>
      <c r="G395" s="947" t="s">
        <v>1283</v>
      </c>
      <c r="H395" s="947" t="s">
        <v>2779</v>
      </c>
    </row>
    <row r="396" spans="1:8" ht="15">
      <c r="A396" s="169" t="s">
        <v>1068</v>
      </c>
      <c r="B396" s="169" t="s">
        <v>1067</v>
      </c>
      <c r="C396" s="956" t="s">
        <v>144</v>
      </c>
      <c r="D396" s="956" t="s">
        <v>146</v>
      </c>
      <c r="G396" s="947" t="s">
        <v>1220</v>
      </c>
      <c r="H396" s="947" t="s">
        <v>2608</v>
      </c>
    </row>
    <row r="397" spans="1:8" ht="15">
      <c r="A397" s="167" t="s">
        <v>321</v>
      </c>
      <c r="B397" s="166" t="s">
        <v>320</v>
      </c>
      <c r="C397" s="956" t="s">
        <v>144</v>
      </c>
      <c r="D397" s="956" t="s">
        <v>146</v>
      </c>
      <c r="G397" s="947" t="s">
        <v>1305</v>
      </c>
      <c r="H397" s="947" t="s">
        <v>2742</v>
      </c>
    </row>
    <row r="398" spans="1:8" ht="15">
      <c r="A398" s="169" t="s">
        <v>1070</v>
      </c>
      <c r="B398" s="169" t="s">
        <v>1069</v>
      </c>
      <c r="C398" s="956" t="s">
        <v>144</v>
      </c>
      <c r="D398" s="956" t="s">
        <v>146</v>
      </c>
      <c r="G398" s="947" t="s">
        <v>2365</v>
      </c>
      <c r="H398" s="947" t="s">
        <v>2366</v>
      </c>
    </row>
    <row r="399" spans="1:8" ht="15">
      <c r="A399" s="167" t="s">
        <v>1792</v>
      </c>
      <c r="B399" s="166" t="s">
        <v>1793</v>
      </c>
      <c r="C399" s="956" t="s">
        <v>144</v>
      </c>
      <c r="D399" s="956" t="s">
        <v>146</v>
      </c>
      <c r="G399" s="947" t="s">
        <v>1178</v>
      </c>
      <c r="H399" s="947" t="s">
        <v>2466</v>
      </c>
    </row>
    <row r="400" spans="1:8" ht="15">
      <c r="A400" s="167" t="s">
        <v>861</v>
      </c>
      <c r="B400" s="166" t="s">
        <v>860</v>
      </c>
      <c r="C400" s="956" t="s">
        <v>144</v>
      </c>
      <c r="D400" s="956" t="s">
        <v>146</v>
      </c>
      <c r="G400" s="947" t="s">
        <v>1157</v>
      </c>
      <c r="H400" s="947" t="s">
        <v>2655</v>
      </c>
    </row>
    <row r="401" spans="1:8" ht="15">
      <c r="A401" s="169" t="s">
        <v>1072</v>
      </c>
      <c r="B401" s="169" t="s">
        <v>1071</v>
      </c>
      <c r="C401" s="956" t="s">
        <v>144</v>
      </c>
      <c r="D401" s="956" t="s">
        <v>146</v>
      </c>
      <c r="G401" s="947" t="s">
        <v>932</v>
      </c>
      <c r="H401" s="947" t="s">
        <v>2158</v>
      </c>
    </row>
    <row r="402" spans="1:8" ht="15">
      <c r="A402" s="167" t="s">
        <v>357</v>
      </c>
      <c r="B402" s="166" t="s">
        <v>356</v>
      </c>
      <c r="C402" s="956" t="s">
        <v>144</v>
      </c>
      <c r="D402" s="956" t="s">
        <v>146</v>
      </c>
      <c r="G402" s="947" t="s">
        <v>934</v>
      </c>
      <c r="H402" s="947" t="s">
        <v>2572</v>
      </c>
    </row>
    <row r="403" spans="1:8" ht="15">
      <c r="A403" s="169" t="s">
        <v>1074</v>
      </c>
      <c r="B403" s="169" t="s">
        <v>1073</v>
      </c>
      <c r="C403" s="956" t="s">
        <v>144</v>
      </c>
      <c r="D403" s="956" t="s">
        <v>146</v>
      </c>
      <c r="G403" s="947" t="s">
        <v>1527</v>
      </c>
      <c r="H403" s="947" t="s">
        <v>2801</v>
      </c>
    </row>
    <row r="404" spans="1:8" ht="15">
      <c r="A404" s="167" t="s">
        <v>329</v>
      </c>
      <c r="B404" s="166" t="s">
        <v>328</v>
      </c>
      <c r="C404" s="956" t="s">
        <v>144</v>
      </c>
      <c r="D404" s="956" t="s">
        <v>146</v>
      </c>
      <c r="G404" s="947" t="s">
        <v>1180</v>
      </c>
      <c r="H404" s="947" t="s">
        <v>2609</v>
      </c>
    </row>
    <row r="405" spans="1:8" ht="15">
      <c r="A405" s="169" t="s">
        <v>1076</v>
      </c>
      <c r="B405" s="169" t="s">
        <v>1075</v>
      </c>
      <c r="C405" s="956" t="s">
        <v>144</v>
      </c>
      <c r="D405" s="956" t="s">
        <v>146</v>
      </c>
      <c r="G405" s="947" t="s">
        <v>1286</v>
      </c>
      <c r="H405" s="947" t="s">
        <v>2745</v>
      </c>
    </row>
    <row r="406" spans="1:8" ht="15">
      <c r="A406" s="167" t="s">
        <v>299</v>
      </c>
      <c r="B406" s="166" t="s">
        <v>298</v>
      </c>
      <c r="C406" s="956" t="s">
        <v>144</v>
      </c>
      <c r="D406" s="956" t="s">
        <v>146</v>
      </c>
      <c r="G406" s="947" t="s">
        <v>1206</v>
      </c>
      <c r="H406" s="947" t="s">
        <v>2644</v>
      </c>
    </row>
    <row r="407" spans="1:8" ht="15">
      <c r="A407" s="169" t="s">
        <v>1078</v>
      </c>
      <c r="B407" s="169" t="s">
        <v>1077</v>
      </c>
      <c r="C407" s="956" t="s">
        <v>144</v>
      </c>
      <c r="D407" s="956" t="s">
        <v>146</v>
      </c>
      <c r="G407" s="947" t="s">
        <v>1154</v>
      </c>
      <c r="H407" s="947" t="s">
        <v>2645</v>
      </c>
    </row>
    <row r="408" spans="1:8" ht="15">
      <c r="A408" s="167" t="s">
        <v>1797</v>
      </c>
      <c r="B408" s="166" t="s">
        <v>1798</v>
      </c>
      <c r="C408" s="956" t="s">
        <v>144</v>
      </c>
      <c r="D408" s="956" t="s">
        <v>146</v>
      </c>
      <c r="G408" s="947" t="s">
        <v>1237</v>
      </c>
      <c r="H408" s="947" t="s">
        <v>2700</v>
      </c>
    </row>
    <row r="409" spans="1:8" ht="15">
      <c r="A409" s="167" t="s">
        <v>403</v>
      </c>
      <c r="B409" s="166" t="s">
        <v>402</v>
      </c>
      <c r="C409" s="956" t="s">
        <v>144</v>
      </c>
      <c r="D409" s="956" t="s">
        <v>146</v>
      </c>
      <c r="G409" s="947" t="s">
        <v>1292</v>
      </c>
      <c r="H409" s="947" t="s">
        <v>2656</v>
      </c>
    </row>
    <row r="410" spans="1:8" ht="15">
      <c r="A410" s="169" t="s">
        <v>1080</v>
      </c>
      <c r="B410" s="169" t="s">
        <v>1079</v>
      </c>
      <c r="C410" s="956" t="s">
        <v>144</v>
      </c>
      <c r="D410" s="956" t="s">
        <v>146</v>
      </c>
      <c r="G410" s="947" t="s">
        <v>1308</v>
      </c>
      <c r="H410" s="947" t="s">
        <v>2736</v>
      </c>
    </row>
    <row r="411" spans="1:8" ht="15">
      <c r="A411" s="167" t="s">
        <v>863</v>
      </c>
      <c r="B411" s="166" t="s">
        <v>862</v>
      </c>
      <c r="C411" s="956" t="s">
        <v>144</v>
      </c>
      <c r="D411" s="956" t="s">
        <v>146</v>
      </c>
      <c r="G411" s="947" t="s">
        <v>1333</v>
      </c>
      <c r="H411" s="947" t="s">
        <v>2716</v>
      </c>
    </row>
    <row r="412" spans="1:8" ht="15">
      <c r="A412" s="169" t="s">
        <v>1082</v>
      </c>
      <c r="B412" s="169" t="s">
        <v>1081</v>
      </c>
      <c r="C412" s="956" t="s">
        <v>144</v>
      </c>
      <c r="D412" s="956" t="s">
        <v>146</v>
      </c>
      <c r="G412" s="947" t="s">
        <v>936</v>
      </c>
      <c r="H412" s="947" t="s">
        <v>2607</v>
      </c>
    </row>
    <row r="413" spans="1:8" ht="15">
      <c r="A413" s="167" t="s">
        <v>1802</v>
      </c>
      <c r="B413" s="166" t="s">
        <v>1803</v>
      </c>
      <c r="C413" s="956" t="s">
        <v>144</v>
      </c>
      <c r="D413" s="956" t="s">
        <v>146</v>
      </c>
      <c r="G413" s="947" t="s">
        <v>1168</v>
      </c>
      <c r="H413" s="947" t="s">
        <v>2638</v>
      </c>
    </row>
    <row r="414" spans="1:8" ht="15">
      <c r="A414" s="167" t="s">
        <v>1807</v>
      </c>
      <c r="B414" s="166" t="s">
        <v>1808</v>
      </c>
      <c r="C414" s="956" t="s">
        <v>144</v>
      </c>
      <c r="D414" s="956" t="s">
        <v>146</v>
      </c>
      <c r="G414" s="947" t="s">
        <v>1311</v>
      </c>
      <c r="H414" s="947" t="s">
        <v>2670</v>
      </c>
    </row>
    <row r="415" spans="1:8" ht="15">
      <c r="A415" s="167" t="s">
        <v>865</v>
      </c>
      <c r="B415" s="166" t="s">
        <v>864</v>
      </c>
      <c r="C415" s="956" t="s">
        <v>144</v>
      </c>
      <c r="D415" s="956" t="s">
        <v>146</v>
      </c>
      <c r="G415" s="947" t="s">
        <v>1452</v>
      </c>
      <c r="H415" s="947" t="s">
        <v>2756</v>
      </c>
    </row>
    <row r="416" spans="1:8" ht="15">
      <c r="A416" s="169" t="s">
        <v>1084</v>
      </c>
      <c r="B416" s="169" t="s">
        <v>1083</v>
      </c>
      <c r="C416" s="956" t="s">
        <v>144</v>
      </c>
      <c r="D416" s="956" t="s">
        <v>146</v>
      </c>
      <c r="G416" s="947" t="s">
        <v>1347</v>
      </c>
      <c r="H416" s="947" t="s">
        <v>2657</v>
      </c>
    </row>
    <row r="417" spans="1:8" ht="15">
      <c r="A417" s="167" t="s">
        <v>1812</v>
      </c>
      <c r="B417" s="166" t="s">
        <v>1813</v>
      </c>
      <c r="C417" s="956" t="s">
        <v>144</v>
      </c>
      <c r="D417" s="956" t="s">
        <v>146</v>
      </c>
      <c r="G417" s="947" t="s">
        <v>1340</v>
      </c>
      <c r="H417" s="947" t="s">
        <v>2681</v>
      </c>
    </row>
    <row r="418" spans="1:8" ht="15">
      <c r="A418" s="167" t="s">
        <v>1210</v>
      </c>
      <c r="B418" s="166" t="s">
        <v>1209</v>
      </c>
      <c r="C418" s="956" t="s">
        <v>144</v>
      </c>
      <c r="D418" s="956" t="s">
        <v>146</v>
      </c>
      <c r="G418" s="947" t="s">
        <v>1274</v>
      </c>
      <c r="H418" s="947" t="s">
        <v>2663</v>
      </c>
    </row>
    <row r="419" spans="1:8" ht="15">
      <c r="A419" s="167" t="s">
        <v>867</v>
      </c>
      <c r="B419" s="166" t="s">
        <v>866</v>
      </c>
      <c r="C419" s="956" t="s">
        <v>144</v>
      </c>
      <c r="D419" s="956" t="s">
        <v>147</v>
      </c>
      <c r="G419" s="947" t="s">
        <v>1367</v>
      </c>
      <c r="H419" s="947" t="s">
        <v>2699</v>
      </c>
    </row>
    <row r="420" spans="1:8" ht="15">
      <c r="A420" s="169" t="s">
        <v>1086</v>
      </c>
      <c r="B420" s="169" t="s">
        <v>1085</v>
      </c>
      <c r="C420" s="956" t="s">
        <v>144</v>
      </c>
      <c r="D420" s="956" t="s">
        <v>147</v>
      </c>
      <c r="G420" s="947" t="s">
        <v>399</v>
      </c>
      <c r="H420" s="947" t="s">
        <v>2627</v>
      </c>
    </row>
    <row r="421" spans="1:8" ht="15">
      <c r="A421" s="167" t="s">
        <v>1747</v>
      </c>
      <c r="B421" s="166" t="s">
        <v>1748</v>
      </c>
      <c r="C421" s="956" t="s">
        <v>144</v>
      </c>
      <c r="D421" s="956" t="s">
        <v>147</v>
      </c>
      <c r="G421" s="947" t="s">
        <v>2368</v>
      </c>
      <c r="H421" s="947" t="s">
        <v>2369</v>
      </c>
    </row>
    <row r="422" spans="1:8" ht="15">
      <c r="A422" s="167" t="s">
        <v>869</v>
      </c>
      <c r="B422" s="166" t="s">
        <v>868</v>
      </c>
      <c r="C422" s="956" t="s">
        <v>144</v>
      </c>
      <c r="D422" s="956" t="s">
        <v>147</v>
      </c>
      <c r="G422" s="947" t="s">
        <v>1374</v>
      </c>
      <c r="H422" s="947" t="s">
        <v>2559</v>
      </c>
    </row>
    <row r="423" spans="1:8" ht="15">
      <c r="A423" s="168" t="s">
        <v>1088</v>
      </c>
      <c r="B423" s="169" t="s">
        <v>1087</v>
      </c>
      <c r="C423" s="956" t="s">
        <v>144</v>
      </c>
      <c r="D423" s="956" t="s">
        <v>147</v>
      </c>
      <c r="G423" s="947" t="s">
        <v>2370</v>
      </c>
      <c r="H423" s="947" t="s">
        <v>2371</v>
      </c>
    </row>
    <row r="424" spans="1:8" ht="15">
      <c r="A424" s="167" t="s">
        <v>1751</v>
      </c>
      <c r="B424" s="166" t="s">
        <v>1752</v>
      </c>
      <c r="C424" s="956" t="s">
        <v>144</v>
      </c>
      <c r="D424" s="956" t="s">
        <v>147</v>
      </c>
      <c r="G424" s="947" t="s">
        <v>1259</v>
      </c>
      <c r="H424" s="947" t="s">
        <v>2647</v>
      </c>
    </row>
    <row r="425" spans="1:8" ht="15">
      <c r="A425" s="167" t="s">
        <v>1755</v>
      </c>
      <c r="B425" s="166" t="s">
        <v>1756</v>
      </c>
      <c r="C425" s="956" t="s">
        <v>144</v>
      </c>
      <c r="D425" s="956" t="s">
        <v>147</v>
      </c>
      <c r="G425" s="947" t="s">
        <v>2624</v>
      </c>
      <c r="H425" s="947" t="s">
        <v>2625</v>
      </c>
    </row>
    <row r="426" spans="1:8" ht="15">
      <c r="A426" s="167" t="s">
        <v>1759</v>
      </c>
      <c r="B426" s="166" t="s">
        <v>1760</v>
      </c>
      <c r="C426" s="956" t="s">
        <v>144</v>
      </c>
      <c r="D426" s="956" t="s">
        <v>147</v>
      </c>
      <c r="G426" s="947" t="s">
        <v>1266</v>
      </c>
      <c r="H426" s="947" t="s">
        <v>2678</v>
      </c>
    </row>
    <row r="427" spans="1:8" ht="15">
      <c r="A427" s="167" t="s">
        <v>1763</v>
      </c>
      <c r="B427" s="166" t="s">
        <v>1764</v>
      </c>
      <c r="C427" s="956" t="s">
        <v>144</v>
      </c>
      <c r="D427" s="956" t="s">
        <v>147</v>
      </c>
      <c r="G427" s="947" t="s">
        <v>1249</v>
      </c>
      <c r="H427" s="947" t="s">
        <v>2734</v>
      </c>
    </row>
    <row r="428" spans="1:8" ht="15">
      <c r="A428" s="167" t="s">
        <v>426</v>
      </c>
      <c r="B428" s="166" t="s">
        <v>425</v>
      </c>
      <c r="C428" s="956" t="s">
        <v>144</v>
      </c>
      <c r="D428" s="956" t="s">
        <v>147</v>
      </c>
      <c r="G428" s="947" t="s">
        <v>1330</v>
      </c>
      <c r="H428" s="947" t="s">
        <v>2720</v>
      </c>
    </row>
    <row r="429" spans="1:8" ht="15">
      <c r="A429" s="168" t="s">
        <v>1090</v>
      </c>
      <c r="B429" s="169" t="s">
        <v>1089</v>
      </c>
      <c r="C429" s="956" t="s">
        <v>144</v>
      </c>
      <c r="D429" s="956" t="s">
        <v>147</v>
      </c>
      <c r="G429" s="947" t="s">
        <v>1211</v>
      </c>
      <c r="H429" s="947" t="s">
        <v>2640</v>
      </c>
    </row>
    <row r="430" spans="1:8" ht="15">
      <c r="A430" s="167" t="s">
        <v>1767</v>
      </c>
      <c r="B430" s="166" t="s">
        <v>1768</v>
      </c>
      <c r="C430" s="956" t="s">
        <v>144</v>
      </c>
      <c r="D430" s="956" t="s">
        <v>147</v>
      </c>
      <c r="G430" s="947" t="s">
        <v>1252</v>
      </c>
      <c r="H430" s="947" t="s">
        <v>2585</v>
      </c>
    </row>
    <row r="431" spans="1:8" ht="15">
      <c r="A431" s="167" t="s">
        <v>1771</v>
      </c>
      <c r="B431" s="166" t="s">
        <v>1772</v>
      </c>
      <c r="C431" s="956" t="s">
        <v>144</v>
      </c>
      <c r="D431" s="956" t="s">
        <v>147</v>
      </c>
      <c r="G431" s="947" t="s">
        <v>1283</v>
      </c>
      <c r="H431" s="947" t="s">
        <v>2684</v>
      </c>
    </row>
    <row r="432" spans="1:8" ht="15">
      <c r="A432" s="167" t="s">
        <v>1775</v>
      </c>
      <c r="B432" s="166" t="s">
        <v>1776</v>
      </c>
      <c r="C432" s="956" t="s">
        <v>144</v>
      </c>
      <c r="D432" s="956" t="s">
        <v>147</v>
      </c>
      <c r="G432" s="947" t="s">
        <v>1305</v>
      </c>
      <c r="H432" s="947" t="s">
        <v>2693</v>
      </c>
    </row>
    <row r="433" spans="1:8" ht="15">
      <c r="A433" s="167" t="s">
        <v>1779</v>
      </c>
      <c r="B433" s="166" t="s">
        <v>1780</v>
      </c>
      <c r="C433" s="956" t="s">
        <v>144</v>
      </c>
      <c r="D433" s="956" t="s">
        <v>147</v>
      </c>
      <c r="G433" s="947" t="s">
        <v>2372</v>
      </c>
      <c r="H433" s="947" t="s">
        <v>2373</v>
      </c>
    </row>
    <row r="434" spans="1:8" ht="15">
      <c r="A434" s="167" t="s">
        <v>871</v>
      </c>
      <c r="B434" s="166" t="s">
        <v>870</v>
      </c>
      <c r="C434" s="956" t="s">
        <v>144</v>
      </c>
      <c r="D434" s="956" t="s">
        <v>147</v>
      </c>
      <c r="G434" s="947" t="s">
        <v>1157</v>
      </c>
      <c r="H434" s="947" t="s">
        <v>2562</v>
      </c>
    </row>
    <row r="435" spans="1:8" ht="15">
      <c r="A435" s="168" t="s">
        <v>1092</v>
      </c>
      <c r="B435" s="169" t="s">
        <v>1091</v>
      </c>
      <c r="C435" s="956" t="s">
        <v>144</v>
      </c>
      <c r="D435" s="956" t="s">
        <v>147</v>
      </c>
      <c r="G435" s="947" t="s">
        <v>1196</v>
      </c>
      <c r="H435" s="947" t="s">
        <v>2468</v>
      </c>
    </row>
    <row r="436" spans="1:8" ht="15">
      <c r="A436" s="167" t="s">
        <v>1783</v>
      </c>
      <c r="B436" s="166" t="s">
        <v>1784</v>
      </c>
      <c r="C436" s="956" t="s">
        <v>144</v>
      </c>
      <c r="D436" s="956" t="s">
        <v>147</v>
      </c>
      <c r="G436" s="947" t="s">
        <v>934</v>
      </c>
      <c r="H436" s="947" t="s">
        <v>2560</v>
      </c>
    </row>
    <row r="437" spans="1:8" ht="15">
      <c r="A437" s="167" t="s">
        <v>1150</v>
      </c>
      <c r="B437" s="166" t="s">
        <v>1149</v>
      </c>
      <c r="C437" s="956" t="s">
        <v>144</v>
      </c>
      <c r="D437" s="956" t="s">
        <v>147</v>
      </c>
      <c r="G437" s="947" t="s">
        <v>1186</v>
      </c>
      <c r="H437" s="947" t="s">
        <v>2654</v>
      </c>
    </row>
    <row r="438" spans="1:8" ht="15">
      <c r="A438" s="168" t="s">
        <v>309</v>
      </c>
      <c r="B438" s="169" t="s">
        <v>308</v>
      </c>
      <c r="C438" s="956" t="s">
        <v>144</v>
      </c>
      <c r="D438" s="956" t="s">
        <v>146</v>
      </c>
      <c r="G438" s="947" t="s">
        <v>1180</v>
      </c>
      <c r="H438" s="947" t="s">
        <v>2580</v>
      </c>
    </row>
    <row r="439" spans="1:8" ht="15">
      <c r="A439" s="168" t="s">
        <v>1094</v>
      </c>
      <c r="B439" s="169" t="s">
        <v>1093</v>
      </c>
      <c r="C439" s="956" t="s">
        <v>144</v>
      </c>
      <c r="D439" s="956" t="s">
        <v>146</v>
      </c>
      <c r="G439" s="947" t="s">
        <v>2374</v>
      </c>
      <c r="H439" s="947" t="s">
        <v>2375</v>
      </c>
    </row>
    <row r="440" spans="1:8" ht="15">
      <c r="A440" s="167" t="s">
        <v>873</v>
      </c>
      <c r="B440" s="166" t="s">
        <v>872</v>
      </c>
      <c r="C440" s="956" t="s">
        <v>144</v>
      </c>
      <c r="D440" s="956" t="s">
        <v>146</v>
      </c>
      <c r="G440" s="947" t="s">
        <v>1286</v>
      </c>
      <c r="H440" s="947" t="s">
        <v>2701</v>
      </c>
    </row>
    <row r="441" spans="1:8" ht="15">
      <c r="A441" s="168" t="s">
        <v>1096</v>
      </c>
      <c r="B441" s="169" t="s">
        <v>1095</v>
      </c>
      <c r="C441" s="956" t="s">
        <v>144</v>
      </c>
      <c r="D441" s="956" t="s">
        <v>146</v>
      </c>
      <c r="G441" s="947" t="s">
        <v>1206</v>
      </c>
      <c r="H441" s="947" t="s">
        <v>2587</v>
      </c>
    </row>
    <row r="442" spans="1:8" ht="15">
      <c r="A442" s="167" t="s">
        <v>875</v>
      </c>
      <c r="B442" s="166" t="s">
        <v>874</v>
      </c>
      <c r="C442" s="956" t="s">
        <v>144</v>
      </c>
      <c r="D442" s="956" t="s">
        <v>147</v>
      </c>
      <c r="G442" s="947" t="s">
        <v>1154</v>
      </c>
      <c r="H442" s="947" t="s">
        <v>2591</v>
      </c>
    </row>
    <row r="443" spans="1:8" ht="15">
      <c r="A443" s="168" t="s">
        <v>1098</v>
      </c>
      <c r="B443" s="169" t="s">
        <v>1097</v>
      </c>
      <c r="C443" s="956" t="s">
        <v>144</v>
      </c>
      <c r="D443" s="956" t="s">
        <v>147</v>
      </c>
      <c r="G443" s="947" t="s">
        <v>1237</v>
      </c>
      <c r="H443" s="947" t="s">
        <v>2636</v>
      </c>
    </row>
    <row r="444" spans="1:8" ht="15">
      <c r="A444" s="168" t="s">
        <v>364</v>
      </c>
      <c r="B444" s="169" t="s">
        <v>363</v>
      </c>
      <c r="C444" s="956" t="s">
        <v>144</v>
      </c>
      <c r="D444" s="956" t="s">
        <v>147</v>
      </c>
      <c r="G444" s="947" t="s">
        <v>1217</v>
      </c>
      <c r="H444" s="947" t="s">
        <v>2469</v>
      </c>
    </row>
    <row r="445" spans="1:8" ht="15">
      <c r="A445" s="168" t="s">
        <v>1100</v>
      </c>
      <c r="B445" s="169" t="s">
        <v>1099</v>
      </c>
      <c r="C445" s="956" t="s">
        <v>144</v>
      </c>
      <c r="D445" s="956" t="s">
        <v>147</v>
      </c>
      <c r="G445" s="947" t="s">
        <v>1308</v>
      </c>
      <c r="H445" s="947" t="s">
        <v>2661</v>
      </c>
    </row>
    <row r="446" spans="1:8" ht="15">
      <c r="A446" s="167" t="s">
        <v>335</v>
      </c>
      <c r="B446" s="166" t="s">
        <v>334</v>
      </c>
      <c r="C446" s="956" t="s">
        <v>175</v>
      </c>
      <c r="D446" s="956" t="s">
        <v>177</v>
      </c>
      <c r="G446" s="947" t="s">
        <v>1333</v>
      </c>
      <c r="H446" s="947" t="s">
        <v>2652</v>
      </c>
    </row>
    <row r="447" spans="1:8" ht="15">
      <c r="A447" s="168" t="s">
        <v>1102</v>
      </c>
      <c r="B447" s="169" t="s">
        <v>1101</v>
      </c>
      <c r="C447" s="956" t="s">
        <v>175</v>
      </c>
      <c r="D447" s="956" t="s">
        <v>89</v>
      </c>
      <c r="G447" s="947" t="s">
        <v>936</v>
      </c>
      <c r="H447" s="947" t="s">
        <v>2471</v>
      </c>
    </row>
    <row r="448" spans="1:8" ht="15">
      <c r="A448" s="169" t="s">
        <v>524</v>
      </c>
      <c r="B448" s="169" t="s">
        <v>523</v>
      </c>
      <c r="C448" s="956"/>
      <c r="D448" s="956"/>
      <c r="G448" s="947" t="s">
        <v>2376</v>
      </c>
      <c r="H448" s="947" t="s">
        <v>2377</v>
      </c>
    </row>
    <row r="449" spans="1:8" ht="15">
      <c r="A449" s="167" t="s">
        <v>323</v>
      </c>
      <c r="B449" s="166" t="s">
        <v>322</v>
      </c>
      <c r="C449" s="956" t="s">
        <v>175</v>
      </c>
      <c r="D449" s="956" t="s">
        <v>179</v>
      </c>
      <c r="G449" s="947" t="s">
        <v>1244</v>
      </c>
      <c r="H449" s="947" t="s">
        <v>2603</v>
      </c>
    </row>
    <row r="450" spans="1:8" ht="15">
      <c r="A450" s="168" t="s">
        <v>1104</v>
      </c>
      <c r="B450" s="169" t="s">
        <v>1103</v>
      </c>
      <c r="C450" s="956" t="s">
        <v>175</v>
      </c>
      <c r="D450" s="956" t="s">
        <v>179</v>
      </c>
      <c r="G450" s="947" t="s">
        <v>1398</v>
      </c>
      <c r="H450" s="947" t="s">
        <v>2708</v>
      </c>
    </row>
    <row r="451" spans="1:8" ht="15">
      <c r="A451" s="166" t="s">
        <v>550</v>
      </c>
      <c r="B451" s="166" t="s">
        <v>523</v>
      </c>
      <c r="C451" s="956"/>
      <c r="D451" s="956"/>
      <c r="G451" s="947" t="s">
        <v>1255</v>
      </c>
      <c r="H451" s="947" t="s">
        <v>2593</v>
      </c>
    </row>
    <row r="452" spans="1:8" ht="15">
      <c r="A452" s="166" t="s">
        <v>344</v>
      </c>
      <c r="B452" s="166" t="s">
        <v>343</v>
      </c>
      <c r="C452" s="956" t="s">
        <v>175</v>
      </c>
      <c r="D452" s="956" t="s">
        <v>180</v>
      </c>
      <c r="G452" s="947" t="s">
        <v>1264</v>
      </c>
      <c r="H452" s="947" t="s">
        <v>2613</v>
      </c>
    </row>
    <row r="453" spans="1:8" ht="15">
      <c r="A453" s="168" t="s">
        <v>1106</v>
      </c>
      <c r="B453" s="169" t="s">
        <v>1105</v>
      </c>
      <c r="C453" s="956" t="s">
        <v>175</v>
      </c>
      <c r="D453" s="956" t="s">
        <v>180</v>
      </c>
      <c r="G453" s="947" t="s">
        <v>1225</v>
      </c>
      <c r="H453" s="947" t="s">
        <v>2596</v>
      </c>
    </row>
    <row r="454" spans="1:8" ht="15">
      <c r="A454" s="168" t="s">
        <v>529</v>
      </c>
      <c r="B454" s="169" t="s">
        <v>523</v>
      </c>
      <c r="C454" s="956"/>
      <c r="D454" s="956"/>
      <c r="G454" s="947" t="s">
        <v>1271</v>
      </c>
      <c r="H454" s="947" t="s">
        <v>2634</v>
      </c>
    </row>
    <row r="455" spans="1:8" ht="15">
      <c r="A455" s="166" t="s">
        <v>545</v>
      </c>
      <c r="B455" s="166" t="s">
        <v>544</v>
      </c>
      <c r="C455" s="956" t="s">
        <v>175</v>
      </c>
      <c r="D455" s="956" t="s">
        <v>179</v>
      </c>
      <c r="G455" s="947" t="s">
        <v>2378</v>
      </c>
      <c r="H455" s="947" t="s">
        <v>2379</v>
      </c>
    </row>
    <row r="456" spans="1:8" ht="15">
      <c r="A456" s="168" t="s">
        <v>1108</v>
      </c>
      <c r="B456" s="169" t="s">
        <v>1107</v>
      </c>
      <c r="C456" s="956" t="s">
        <v>175</v>
      </c>
      <c r="D456" s="956" t="s">
        <v>179</v>
      </c>
      <c r="G456" s="947" t="s">
        <v>2380</v>
      </c>
      <c r="H456" s="947" t="s">
        <v>2381</v>
      </c>
    </row>
    <row r="457" spans="1:8" ht="15">
      <c r="A457" s="167" t="s">
        <v>465</v>
      </c>
      <c r="B457" s="166" t="s">
        <v>464</v>
      </c>
      <c r="C457" s="956" t="s">
        <v>175</v>
      </c>
      <c r="D457" s="956" t="s">
        <v>177</v>
      </c>
      <c r="G457" s="947" t="s">
        <v>2382</v>
      </c>
      <c r="H457" s="947" t="s">
        <v>2383</v>
      </c>
    </row>
    <row r="458" spans="1:8" ht="15">
      <c r="A458" s="167" t="s">
        <v>483</v>
      </c>
      <c r="B458" s="166" t="s">
        <v>482</v>
      </c>
      <c r="C458" s="956" t="s">
        <v>175</v>
      </c>
      <c r="D458" s="956" t="s">
        <v>189</v>
      </c>
      <c r="G458" s="947" t="s">
        <v>2384</v>
      </c>
      <c r="H458" s="947" t="s">
        <v>2385</v>
      </c>
    </row>
    <row r="459" spans="1:8" ht="15">
      <c r="A459" s="168" t="s">
        <v>1110</v>
      </c>
      <c r="B459" s="169" t="s">
        <v>1109</v>
      </c>
      <c r="C459" s="956" t="s">
        <v>1646</v>
      </c>
      <c r="D459" s="956" t="s">
        <v>89</v>
      </c>
      <c r="G459" s="947" t="s">
        <v>399</v>
      </c>
      <c r="H459" s="947" t="s">
        <v>2472</v>
      </c>
    </row>
    <row r="460" spans="1:8" ht="15">
      <c r="A460" s="167" t="s">
        <v>1877</v>
      </c>
      <c r="B460" s="166" t="s">
        <v>1878</v>
      </c>
      <c r="C460" s="956" t="s">
        <v>1646</v>
      </c>
      <c r="D460" s="956" t="s">
        <v>178</v>
      </c>
      <c r="G460" s="947" t="s">
        <v>1391</v>
      </c>
      <c r="H460" s="947" t="s">
        <v>2473</v>
      </c>
    </row>
    <row r="461" spans="1:8" ht="15">
      <c r="A461" s="166" t="s">
        <v>467</v>
      </c>
      <c r="B461" s="166" t="s">
        <v>466</v>
      </c>
      <c r="C461" s="956" t="s">
        <v>175</v>
      </c>
      <c r="D461" s="956" t="s">
        <v>178</v>
      </c>
      <c r="G461" s="947" t="s">
        <v>1374</v>
      </c>
      <c r="H461" s="947" t="s">
        <v>2675</v>
      </c>
    </row>
    <row r="462" spans="1:8" ht="15">
      <c r="A462" s="168" t="s">
        <v>1112</v>
      </c>
      <c r="B462" s="169" t="s">
        <v>1111</v>
      </c>
      <c r="C462" s="956" t="s">
        <v>175</v>
      </c>
      <c r="D462" s="956" t="s">
        <v>89</v>
      </c>
      <c r="G462" s="947" t="s">
        <v>1357</v>
      </c>
      <c r="H462" s="947" t="s">
        <v>2715</v>
      </c>
    </row>
    <row r="463" spans="1:8" ht="15">
      <c r="A463" s="166" t="s">
        <v>877</v>
      </c>
      <c r="B463" s="166" t="s">
        <v>876</v>
      </c>
      <c r="C463" s="956" t="s">
        <v>175</v>
      </c>
      <c r="D463" s="956" t="s">
        <v>178</v>
      </c>
      <c r="G463" s="947" t="s">
        <v>2624</v>
      </c>
      <c r="H463" s="947" t="s">
        <v>2765</v>
      </c>
    </row>
    <row r="464" spans="1:8" ht="15">
      <c r="A464" s="168" t="s">
        <v>1114</v>
      </c>
      <c r="B464" s="169" t="s">
        <v>1113</v>
      </c>
      <c r="C464" s="956" t="s">
        <v>175</v>
      </c>
      <c r="D464" s="956" t="s">
        <v>89</v>
      </c>
      <c r="G464" s="947" t="s">
        <v>1342</v>
      </c>
      <c r="H464" s="947" t="s">
        <v>2731</v>
      </c>
    </row>
    <row r="465" spans="1:8" ht="15">
      <c r="A465" s="167" t="s">
        <v>522</v>
      </c>
      <c r="B465" s="166" t="s">
        <v>521</v>
      </c>
      <c r="C465" s="956" t="s">
        <v>175</v>
      </c>
      <c r="D465" s="956" t="s">
        <v>178</v>
      </c>
      <c r="G465" s="947" t="s">
        <v>1249</v>
      </c>
      <c r="H465" s="947" t="s">
        <v>2800</v>
      </c>
    </row>
    <row r="466" spans="1:8" ht="15">
      <c r="A466" s="168" t="s">
        <v>1116</v>
      </c>
      <c r="B466" s="169" t="s">
        <v>1115</v>
      </c>
      <c r="C466" s="956" t="s">
        <v>1646</v>
      </c>
      <c r="D466" s="956" t="s">
        <v>178</v>
      </c>
      <c r="G466" s="947" t="s">
        <v>1328</v>
      </c>
      <c r="H466" s="947" t="s">
        <v>2722</v>
      </c>
    </row>
    <row r="467" spans="1:8" ht="15">
      <c r="A467" s="167" t="s">
        <v>430</v>
      </c>
      <c r="B467" s="166" t="s">
        <v>429</v>
      </c>
      <c r="C467" s="956" t="s">
        <v>175</v>
      </c>
      <c r="D467" s="956" t="s">
        <v>181</v>
      </c>
      <c r="G467" s="947" t="s">
        <v>1252</v>
      </c>
      <c r="H467" s="947" t="s">
        <v>2667</v>
      </c>
    </row>
    <row r="468" spans="1:8" ht="15">
      <c r="A468" s="168" t="s">
        <v>1118</v>
      </c>
      <c r="B468" s="169" t="s">
        <v>1117</v>
      </c>
      <c r="C468" s="956" t="s">
        <v>175</v>
      </c>
      <c r="D468" s="956" t="s">
        <v>89</v>
      </c>
      <c r="G468" s="947" t="s">
        <v>1283</v>
      </c>
      <c r="H468" s="947" t="s">
        <v>2733</v>
      </c>
    </row>
    <row r="469" spans="1:8" ht="15">
      <c r="A469" s="167" t="s">
        <v>533</v>
      </c>
      <c r="B469" s="166" t="s">
        <v>532</v>
      </c>
      <c r="C469" s="956" t="s">
        <v>175</v>
      </c>
      <c r="D469" s="956" t="s">
        <v>181</v>
      </c>
      <c r="G469" s="947" t="s">
        <v>1164</v>
      </c>
      <c r="H469" s="947" t="s">
        <v>2578</v>
      </c>
    </row>
    <row r="470" spans="1:8" ht="15">
      <c r="A470" s="168" t="s">
        <v>1120</v>
      </c>
      <c r="B470" s="169" t="s">
        <v>1119</v>
      </c>
      <c r="C470" s="956" t="s">
        <v>1646</v>
      </c>
      <c r="D470" s="956" t="s">
        <v>89</v>
      </c>
      <c r="G470" s="947" t="s">
        <v>1305</v>
      </c>
      <c r="H470" s="947" t="s">
        <v>2744</v>
      </c>
    </row>
    <row r="471" spans="1:8" ht="15">
      <c r="A471" s="167" t="s">
        <v>368</v>
      </c>
      <c r="B471" s="166" t="s">
        <v>367</v>
      </c>
      <c r="C471" s="956" t="s">
        <v>175</v>
      </c>
      <c r="D471" s="956" t="s">
        <v>1922</v>
      </c>
      <c r="G471" s="947" t="s">
        <v>1157</v>
      </c>
      <c r="H471" s="947" t="s">
        <v>2598</v>
      </c>
    </row>
    <row r="472" spans="1:8" ht="15">
      <c r="A472" s="168" t="s">
        <v>1122</v>
      </c>
      <c r="B472" s="169" t="s">
        <v>1121</v>
      </c>
      <c r="C472" s="956" t="s">
        <v>175</v>
      </c>
      <c r="D472" s="956" t="s">
        <v>89</v>
      </c>
      <c r="G472" s="947" t="s">
        <v>932</v>
      </c>
      <c r="H472" s="947" t="s">
        <v>2474</v>
      </c>
    </row>
    <row r="473" spans="1:8" ht="15">
      <c r="A473" s="167" t="s">
        <v>386</v>
      </c>
      <c r="B473" s="166" t="s">
        <v>385</v>
      </c>
      <c r="C473" s="956" t="s">
        <v>175</v>
      </c>
      <c r="D473" s="956" t="s">
        <v>186</v>
      </c>
      <c r="G473" s="947" t="s">
        <v>934</v>
      </c>
      <c r="H473" s="947" t="s">
        <v>2573</v>
      </c>
    </row>
    <row r="474" spans="1:8" ht="15">
      <c r="A474" s="168" t="s">
        <v>1124</v>
      </c>
      <c r="B474" s="169" t="s">
        <v>1123</v>
      </c>
      <c r="C474" s="956" t="s">
        <v>1646</v>
      </c>
      <c r="D474" s="956" t="s">
        <v>89</v>
      </c>
      <c r="G474" s="947" t="s">
        <v>1186</v>
      </c>
      <c r="H474" s="947" t="s">
        <v>2631</v>
      </c>
    </row>
    <row r="475" spans="1:8" ht="15">
      <c r="A475" s="171" t="s">
        <v>1643</v>
      </c>
      <c r="B475" s="171" t="s">
        <v>1578</v>
      </c>
      <c r="C475" s="956" t="s">
        <v>75</v>
      </c>
      <c r="D475" s="956" t="s">
        <v>89</v>
      </c>
      <c r="G475" s="947" t="s">
        <v>1180</v>
      </c>
      <c r="H475" s="947" t="s">
        <v>2610</v>
      </c>
    </row>
    <row r="476" spans="1:8" ht="15">
      <c r="A476" s="951" t="s">
        <v>1645</v>
      </c>
      <c r="B476" s="171" t="s">
        <v>1579</v>
      </c>
      <c r="C476" s="956" t="s">
        <v>75</v>
      </c>
      <c r="D476" s="956" t="s">
        <v>89</v>
      </c>
      <c r="G476" s="947" t="s">
        <v>1286</v>
      </c>
      <c r="H476" s="947" t="s">
        <v>2739</v>
      </c>
    </row>
    <row r="477" spans="1:8" ht="15">
      <c r="A477" s="951" t="s">
        <v>1530</v>
      </c>
      <c r="B477" s="171" t="s">
        <v>1529</v>
      </c>
      <c r="C477" s="956" t="s">
        <v>75</v>
      </c>
      <c r="D477" s="956" t="s">
        <v>89</v>
      </c>
      <c r="G477" s="947" t="s">
        <v>1206</v>
      </c>
      <c r="H477" s="947" t="s">
        <v>2646</v>
      </c>
    </row>
    <row r="478" spans="1:8" ht="15">
      <c r="A478" s="951" t="s">
        <v>879</v>
      </c>
      <c r="B478" s="171" t="s">
        <v>878</v>
      </c>
      <c r="C478" s="956" t="s">
        <v>75</v>
      </c>
      <c r="D478" s="956" t="s">
        <v>90</v>
      </c>
      <c r="G478" s="947" t="s">
        <v>1154</v>
      </c>
      <c r="H478" s="947" t="s">
        <v>2630</v>
      </c>
    </row>
    <row r="479" spans="1:8" ht="15">
      <c r="A479" s="952" t="s">
        <v>1525</v>
      </c>
      <c r="B479" s="958" t="s">
        <v>1524</v>
      </c>
      <c r="C479" s="956" t="s">
        <v>75</v>
      </c>
      <c r="D479" s="956" t="s">
        <v>90</v>
      </c>
      <c r="G479" s="947" t="s">
        <v>1237</v>
      </c>
      <c r="H479" s="947" t="s">
        <v>2704</v>
      </c>
    </row>
    <row r="480" spans="1:8" ht="15">
      <c r="A480" s="951" t="s">
        <v>881</v>
      </c>
      <c r="B480" s="171" t="s">
        <v>880</v>
      </c>
      <c r="C480" s="956" t="s">
        <v>75</v>
      </c>
      <c r="D480" s="956" t="s">
        <v>89</v>
      </c>
      <c r="G480" s="947" t="s">
        <v>1294</v>
      </c>
      <c r="H480" s="947" t="s">
        <v>2475</v>
      </c>
    </row>
    <row r="481" spans="1:8" ht="15">
      <c r="A481" s="951" t="s">
        <v>1571</v>
      </c>
      <c r="B481" s="171" t="s">
        <v>1570</v>
      </c>
      <c r="C481" s="956" t="s">
        <v>75</v>
      </c>
      <c r="D481" s="956" t="s">
        <v>90</v>
      </c>
      <c r="G481" s="947" t="s">
        <v>1308</v>
      </c>
      <c r="H481" s="947" t="s">
        <v>2775</v>
      </c>
    </row>
    <row r="482" spans="1:8" ht="15">
      <c r="A482" s="167" t="s">
        <v>1537</v>
      </c>
      <c r="B482" s="166" t="s">
        <v>1536</v>
      </c>
      <c r="C482" s="956" t="s">
        <v>75</v>
      </c>
      <c r="D482" s="956" t="s">
        <v>90</v>
      </c>
      <c r="G482" s="947" t="s">
        <v>1333</v>
      </c>
      <c r="H482" s="947" t="s">
        <v>2718</v>
      </c>
    </row>
    <row r="483" spans="1:8" ht="15">
      <c r="A483" s="951" t="s">
        <v>1539</v>
      </c>
      <c r="B483" s="171" t="s">
        <v>1538</v>
      </c>
      <c r="C483" s="956" t="s">
        <v>75</v>
      </c>
      <c r="D483" s="956" t="s">
        <v>89</v>
      </c>
      <c r="G483" s="947" t="s">
        <v>936</v>
      </c>
      <c r="H483" s="947" t="s">
        <v>2476</v>
      </c>
    </row>
    <row r="484" spans="1:8" ht="15">
      <c r="A484" s="951" t="s">
        <v>883</v>
      </c>
      <c r="B484" s="171" t="s">
        <v>882</v>
      </c>
      <c r="C484" s="956" t="s">
        <v>75</v>
      </c>
      <c r="D484" s="956" t="s">
        <v>89</v>
      </c>
      <c r="G484" s="947" t="s">
        <v>2386</v>
      </c>
      <c r="H484" s="947" t="s">
        <v>2387</v>
      </c>
    </row>
    <row r="485" spans="1:8" ht="15">
      <c r="A485" s="951" t="s">
        <v>886</v>
      </c>
      <c r="B485" s="171" t="s">
        <v>885</v>
      </c>
      <c r="C485" s="956" t="s">
        <v>75</v>
      </c>
      <c r="D485" s="956" t="s">
        <v>89</v>
      </c>
      <c r="G485" s="947" t="s">
        <v>1316</v>
      </c>
      <c r="H485" s="947" t="s">
        <v>2671</v>
      </c>
    </row>
    <row r="486" spans="1:8" ht="15">
      <c r="A486" s="951" t="s">
        <v>888</v>
      </c>
      <c r="B486" s="171" t="s">
        <v>887</v>
      </c>
      <c r="C486" s="956" t="s">
        <v>75</v>
      </c>
      <c r="D486" s="956" t="s">
        <v>89</v>
      </c>
      <c r="G486" s="947" t="s">
        <v>1457</v>
      </c>
      <c r="H486" s="947" t="s">
        <v>2760</v>
      </c>
    </row>
    <row r="487" spans="1:8" ht="15">
      <c r="A487" s="951" t="s">
        <v>1650</v>
      </c>
      <c r="B487" s="171" t="s">
        <v>1581</v>
      </c>
      <c r="C487" s="956" t="s">
        <v>75</v>
      </c>
      <c r="D487" s="956" t="s">
        <v>89</v>
      </c>
      <c r="G487" s="947" t="s">
        <v>1352</v>
      </c>
      <c r="H487" s="947" t="s">
        <v>2660</v>
      </c>
    </row>
    <row r="488" spans="1:8" ht="15">
      <c r="A488" s="951" t="s">
        <v>890</v>
      </c>
      <c r="B488" s="171" t="s">
        <v>889</v>
      </c>
      <c r="C488" s="956" t="s">
        <v>75</v>
      </c>
      <c r="D488" s="956" t="s">
        <v>89</v>
      </c>
      <c r="G488" s="947" t="s">
        <v>1344</v>
      </c>
      <c r="H488" s="947" t="s">
        <v>2686</v>
      </c>
    </row>
    <row r="489" spans="1:8" ht="15">
      <c r="A489" s="951" t="s">
        <v>1654</v>
      </c>
      <c r="B489" s="171" t="s">
        <v>1585</v>
      </c>
      <c r="C489" s="956" t="s">
        <v>75</v>
      </c>
      <c r="D489" s="956" t="s">
        <v>89</v>
      </c>
      <c r="G489" s="947" t="s">
        <v>1278</v>
      </c>
      <c r="H489" s="947" t="s">
        <v>2665</v>
      </c>
    </row>
    <row r="490" spans="1:8" ht="15">
      <c r="A490" s="951" t="s">
        <v>1656</v>
      </c>
      <c r="B490" s="171" t="s">
        <v>1560</v>
      </c>
      <c r="C490" s="956" t="s">
        <v>75</v>
      </c>
      <c r="D490" s="956" t="s">
        <v>89</v>
      </c>
      <c r="G490" s="947" t="s">
        <v>1371</v>
      </c>
      <c r="H490" s="947" t="s">
        <v>2703</v>
      </c>
    </row>
    <row r="491" spans="1:8" ht="15">
      <c r="A491" s="171" t="s">
        <v>1561</v>
      </c>
      <c r="B491" s="171" t="s">
        <v>1560</v>
      </c>
      <c r="C491" s="956" t="s">
        <v>75</v>
      </c>
      <c r="D491" s="956" t="s">
        <v>89</v>
      </c>
      <c r="G491" s="947" t="s">
        <v>2218</v>
      </c>
      <c r="H491" s="947" t="s">
        <v>2219</v>
      </c>
    </row>
    <row r="492" spans="1:8" ht="15">
      <c r="A492" s="951" t="s">
        <v>1659</v>
      </c>
      <c r="B492" s="171" t="s">
        <v>1588</v>
      </c>
      <c r="C492" s="956" t="s">
        <v>75</v>
      </c>
      <c r="D492" s="956" t="s">
        <v>89</v>
      </c>
      <c r="G492" s="947" t="s">
        <v>2220</v>
      </c>
      <c r="H492" s="947" t="s">
        <v>2221</v>
      </c>
    </row>
    <row r="493" spans="1:8" ht="15">
      <c r="A493" s="951" t="s">
        <v>1506</v>
      </c>
      <c r="B493" s="171" t="s">
        <v>1505</v>
      </c>
      <c r="C493" s="956" t="s">
        <v>75</v>
      </c>
      <c r="D493" s="956" t="s">
        <v>89</v>
      </c>
      <c r="G493" s="947" t="s">
        <v>2222</v>
      </c>
      <c r="H493" s="947" t="s">
        <v>2223</v>
      </c>
    </row>
    <row r="494" spans="1:8" ht="15">
      <c r="A494" s="951" t="s">
        <v>1665</v>
      </c>
      <c r="B494" s="171" t="s">
        <v>1593</v>
      </c>
      <c r="C494" s="956" t="s">
        <v>75</v>
      </c>
      <c r="D494" s="956" t="s">
        <v>89</v>
      </c>
      <c r="G494" s="947" t="s">
        <v>2053</v>
      </c>
      <c r="H494" s="947" t="s">
        <v>2054</v>
      </c>
    </row>
    <row r="495" spans="1:8" ht="15">
      <c r="A495" s="167" t="s">
        <v>1719</v>
      </c>
      <c r="B495" s="171" t="s">
        <v>1720</v>
      </c>
      <c r="C495" s="956" t="s">
        <v>75</v>
      </c>
      <c r="D495" s="956" t="s">
        <v>90</v>
      </c>
      <c r="G495" s="947" t="s">
        <v>2138</v>
      </c>
      <c r="H495" s="947" t="s">
        <v>2139</v>
      </c>
    </row>
    <row r="496" spans="1:8" ht="15">
      <c r="A496" s="951" t="s">
        <v>1666</v>
      </c>
      <c r="B496" s="171" t="s">
        <v>1595</v>
      </c>
      <c r="C496" s="956" t="s">
        <v>75</v>
      </c>
      <c r="D496" s="956" t="s">
        <v>89</v>
      </c>
      <c r="G496" s="947" t="s">
        <v>2077</v>
      </c>
      <c r="H496" s="947" t="s">
        <v>2078</v>
      </c>
    </row>
    <row r="497" spans="1:8" ht="15">
      <c r="A497" s="954" t="s">
        <v>1676</v>
      </c>
      <c r="B497" s="959" t="s">
        <v>1604</v>
      </c>
      <c r="C497" s="956" t="s">
        <v>75</v>
      </c>
      <c r="D497" s="956" t="s">
        <v>89</v>
      </c>
      <c r="G497" s="947" t="s">
        <v>2170</v>
      </c>
      <c r="H497" s="947" t="s">
        <v>2076</v>
      </c>
    </row>
    <row r="498" spans="1:8" ht="15">
      <c r="A498" s="951" t="s">
        <v>1532</v>
      </c>
      <c r="B498" s="171" t="s">
        <v>1531</v>
      </c>
      <c r="C498" s="956" t="s">
        <v>75</v>
      </c>
      <c r="D498" s="956" t="s">
        <v>89</v>
      </c>
      <c r="G498" s="947" t="s">
        <v>2084</v>
      </c>
      <c r="H498" s="947" t="s">
        <v>2085</v>
      </c>
    </row>
    <row r="499" spans="1:8" ht="15">
      <c r="A499" s="951" t="s">
        <v>1668</v>
      </c>
      <c r="B499" s="171" t="s">
        <v>1597</v>
      </c>
      <c r="C499" s="956" t="s">
        <v>75</v>
      </c>
      <c r="D499" s="956" t="s">
        <v>89</v>
      </c>
      <c r="G499" s="947" t="s">
        <v>2171</v>
      </c>
      <c r="H499" s="947" t="s">
        <v>2172</v>
      </c>
    </row>
    <row r="500" spans="1:8" ht="15">
      <c r="A500" s="951" t="s">
        <v>1502</v>
      </c>
      <c r="B500" s="171" t="s">
        <v>1501</v>
      </c>
      <c r="C500" s="956" t="s">
        <v>75</v>
      </c>
      <c r="D500" s="956" t="s">
        <v>89</v>
      </c>
      <c r="G500" s="947" t="s">
        <v>2179</v>
      </c>
      <c r="H500" s="947" t="s">
        <v>2180</v>
      </c>
    </row>
    <row r="501" spans="1:8" ht="15">
      <c r="A501" s="951" t="s">
        <v>1670</v>
      </c>
      <c r="B501" s="171" t="s">
        <v>1599</v>
      </c>
      <c r="C501" s="956" t="s">
        <v>75</v>
      </c>
      <c r="D501" s="956" t="s">
        <v>89</v>
      </c>
      <c r="G501" s="947" t="s">
        <v>2092</v>
      </c>
      <c r="H501" s="947" t="s">
        <v>2093</v>
      </c>
    </row>
    <row r="502" spans="1:8" ht="15">
      <c r="A502" s="954" t="s">
        <v>1535</v>
      </c>
      <c r="B502" s="958" t="s">
        <v>1534</v>
      </c>
      <c r="C502" s="956" t="s">
        <v>75</v>
      </c>
      <c r="D502" s="956" t="s">
        <v>89</v>
      </c>
      <c r="G502" s="947" t="s">
        <v>2074</v>
      </c>
      <c r="H502" s="947" t="s">
        <v>2075</v>
      </c>
    </row>
    <row r="503" spans="1:8" ht="15">
      <c r="A503" s="951" t="s">
        <v>1674</v>
      </c>
      <c r="B503" s="960" t="s">
        <v>1602</v>
      </c>
      <c r="C503" s="956" t="s">
        <v>75</v>
      </c>
      <c r="D503" s="956" t="s">
        <v>89</v>
      </c>
      <c r="G503" s="947" t="s">
        <v>2088</v>
      </c>
      <c r="H503" s="947" t="s">
        <v>2089</v>
      </c>
    </row>
    <row r="504" spans="1:8" ht="15">
      <c r="A504" s="176" t="s">
        <v>1715</v>
      </c>
      <c r="B504" s="961" t="s">
        <v>1716</v>
      </c>
      <c r="C504" s="956" t="s">
        <v>75</v>
      </c>
      <c r="D504" s="956" t="s">
        <v>90</v>
      </c>
      <c r="G504" s="947" t="s">
        <v>2096</v>
      </c>
      <c r="H504" s="947" t="s">
        <v>2097</v>
      </c>
    </row>
    <row r="505" spans="1:8" ht="15">
      <c r="A505" s="954" t="s">
        <v>1679</v>
      </c>
      <c r="B505" s="958" t="s">
        <v>1607</v>
      </c>
      <c r="C505" s="956" t="s">
        <v>75</v>
      </c>
      <c r="D505" s="956" t="s">
        <v>89</v>
      </c>
      <c r="G505" s="947" t="s">
        <v>2080</v>
      </c>
      <c r="H505" s="947" t="s">
        <v>2081</v>
      </c>
    </row>
    <row r="506" spans="1:8" ht="15">
      <c r="A506" s="951" t="s">
        <v>1683</v>
      </c>
      <c r="B506" s="958" t="s">
        <v>1610</v>
      </c>
      <c r="C506" s="956" t="s">
        <v>75</v>
      </c>
      <c r="D506" s="956" t="s">
        <v>89</v>
      </c>
      <c r="G506" s="947" t="s">
        <v>2062</v>
      </c>
      <c r="H506" s="947" t="s">
        <v>2063</v>
      </c>
    </row>
    <row r="507" spans="1:8" ht="15">
      <c r="A507" s="951" t="s">
        <v>892</v>
      </c>
      <c r="B507" s="171" t="s">
        <v>891</v>
      </c>
      <c r="C507" s="956" t="s">
        <v>75</v>
      </c>
      <c r="D507" s="956" t="s">
        <v>89</v>
      </c>
      <c r="G507" s="947" t="s">
        <v>2650</v>
      </c>
      <c r="H507" s="947" t="s">
        <v>2176</v>
      </c>
    </row>
    <row r="508" spans="1:8" ht="15">
      <c r="A508" s="951" t="s">
        <v>1512</v>
      </c>
      <c r="B508" s="171" t="s">
        <v>1511</v>
      </c>
      <c r="C508" s="956" t="s">
        <v>75</v>
      </c>
      <c r="D508" s="956" t="s">
        <v>89</v>
      </c>
      <c r="G508" s="947" t="s">
        <v>2174</v>
      </c>
      <c r="H508" s="947" t="s">
        <v>2175</v>
      </c>
    </row>
    <row r="509" spans="1:8" ht="15">
      <c r="A509" s="951" t="s">
        <v>1573</v>
      </c>
      <c r="B509" s="171" t="s">
        <v>1572</v>
      </c>
      <c r="C509" s="956" t="s">
        <v>75</v>
      </c>
      <c r="D509" s="956" t="s">
        <v>90</v>
      </c>
      <c r="G509" s="947" t="s">
        <v>1389</v>
      </c>
      <c r="H509" s="947" t="s">
        <v>2599</v>
      </c>
    </row>
    <row r="510" spans="1:8" ht="15">
      <c r="A510" s="951" t="s">
        <v>1551</v>
      </c>
      <c r="B510" s="171" t="s">
        <v>1550</v>
      </c>
      <c r="C510" s="956" t="s">
        <v>75</v>
      </c>
      <c r="D510" s="956" t="s">
        <v>90</v>
      </c>
      <c r="G510" s="947" t="s">
        <v>1385</v>
      </c>
      <c r="H510" s="947" t="s">
        <v>2782</v>
      </c>
    </row>
    <row r="511" spans="1:8">
      <c r="A511" s="167" t="s">
        <v>1732</v>
      </c>
      <c r="B511" s="171" t="s">
        <v>1733</v>
      </c>
      <c r="C511" s="956" t="s">
        <v>75</v>
      </c>
      <c r="D511" s="956" t="s">
        <v>90</v>
      </c>
    </row>
    <row r="512" spans="1:8">
      <c r="A512" s="951" t="s">
        <v>1686</v>
      </c>
      <c r="B512" s="171" t="s">
        <v>1612</v>
      </c>
      <c r="C512" s="956" t="s">
        <v>75</v>
      </c>
      <c r="D512" s="956" t="s">
        <v>89</v>
      </c>
    </row>
    <row r="513" spans="1:4">
      <c r="A513" s="951" t="s">
        <v>1688</v>
      </c>
      <c r="B513" s="171" t="s">
        <v>1614</v>
      </c>
      <c r="C513" s="956" t="s">
        <v>75</v>
      </c>
      <c r="D513" s="956" t="s">
        <v>89</v>
      </c>
    </row>
    <row r="514" spans="1:4">
      <c r="A514" s="951" t="s">
        <v>1690</v>
      </c>
      <c r="B514" s="171" t="s">
        <v>1616</v>
      </c>
      <c r="C514" s="956" t="s">
        <v>75</v>
      </c>
      <c r="D514" s="956" t="s">
        <v>89</v>
      </c>
    </row>
    <row r="515" spans="1:4">
      <c r="A515" s="951" t="s">
        <v>894</v>
      </c>
      <c r="B515" s="171" t="s">
        <v>893</v>
      </c>
      <c r="C515" s="956" t="s">
        <v>75</v>
      </c>
      <c r="D515" s="956" t="s">
        <v>89</v>
      </c>
    </row>
    <row r="516" spans="1:4">
      <c r="A516" s="951" t="s">
        <v>1508</v>
      </c>
      <c r="B516" s="171" t="s">
        <v>1507</v>
      </c>
      <c r="C516" s="956" t="s">
        <v>75</v>
      </c>
      <c r="D516" s="956" t="s">
        <v>89</v>
      </c>
    </row>
    <row r="517" spans="1:4">
      <c r="A517" s="951" t="s">
        <v>1692</v>
      </c>
      <c r="B517" s="171" t="s">
        <v>1618</v>
      </c>
      <c r="C517" s="956" t="s">
        <v>75</v>
      </c>
      <c r="D517" s="956" t="s">
        <v>89</v>
      </c>
    </row>
    <row r="518" spans="1:4">
      <c r="A518" s="951" t="s">
        <v>1694</v>
      </c>
      <c r="B518" s="171" t="s">
        <v>1620</v>
      </c>
      <c r="C518" s="956" t="s">
        <v>75</v>
      </c>
      <c r="D518" s="956" t="s">
        <v>89</v>
      </c>
    </row>
    <row r="519" spans="1:4">
      <c r="A519" s="951" t="s">
        <v>1696</v>
      </c>
      <c r="B519" s="171" t="s">
        <v>1622</v>
      </c>
      <c r="C519" s="956" t="s">
        <v>75</v>
      </c>
      <c r="D519" s="956" t="s">
        <v>89</v>
      </c>
    </row>
    <row r="520" spans="1:4">
      <c r="A520" s="951" t="s">
        <v>896</v>
      </c>
      <c r="B520" s="171" t="s">
        <v>895</v>
      </c>
      <c r="C520" s="956" t="s">
        <v>75</v>
      </c>
      <c r="D520" s="956" t="s">
        <v>89</v>
      </c>
    </row>
    <row r="521" spans="1:4">
      <c r="A521" s="951" t="s">
        <v>1498</v>
      </c>
      <c r="B521" s="171" t="s">
        <v>1497</v>
      </c>
      <c r="C521" s="956" t="s">
        <v>75</v>
      </c>
      <c r="D521" s="956" t="s">
        <v>89</v>
      </c>
    </row>
    <row r="522" spans="1:4">
      <c r="A522" s="951" t="s">
        <v>1698</v>
      </c>
      <c r="B522" s="171" t="s">
        <v>1624</v>
      </c>
      <c r="C522" s="956" t="s">
        <v>75</v>
      </c>
      <c r="D522" s="956" t="s">
        <v>89</v>
      </c>
    </row>
    <row r="523" spans="1:4">
      <c r="A523" s="951" t="s">
        <v>1510</v>
      </c>
      <c r="B523" s="171" t="s">
        <v>1509</v>
      </c>
      <c r="C523" s="956" t="s">
        <v>75</v>
      </c>
      <c r="D523" s="956" t="s">
        <v>89</v>
      </c>
    </row>
    <row r="524" spans="1:4">
      <c r="A524" s="951" t="s">
        <v>1545</v>
      </c>
      <c r="B524" s="171" t="s">
        <v>1544</v>
      </c>
      <c r="C524" s="956" t="s">
        <v>75</v>
      </c>
      <c r="D524" s="956" t="s">
        <v>90</v>
      </c>
    </row>
    <row r="525" spans="1:4">
      <c r="A525" s="167" t="s">
        <v>1723</v>
      </c>
      <c r="B525" s="171" t="s">
        <v>1724</v>
      </c>
      <c r="C525" s="956" t="s">
        <v>75</v>
      </c>
      <c r="D525" s="956" t="s">
        <v>90</v>
      </c>
    </row>
    <row r="526" spans="1:4">
      <c r="A526" s="951" t="s">
        <v>1711</v>
      </c>
      <c r="B526" s="171" t="s">
        <v>1636</v>
      </c>
      <c r="C526" s="956" t="s">
        <v>75</v>
      </c>
      <c r="D526" s="956" t="s">
        <v>89</v>
      </c>
    </row>
    <row r="527" spans="1:4">
      <c r="A527" s="171" t="s">
        <v>898</v>
      </c>
      <c r="B527" s="171" t="s">
        <v>897</v>
      </c>
      <c r="C527" s="956" t="s">
        <v>75</v>
      </c>
      <c r="D527" s="956" t="s">
        <v>89</v>
      </c>
    </row>
    <row r="528" spans="1:4">
      <c r="A528" s="167" t="s">
        <v>1489</v>
      </c>
      <c r="B528" s="166" t="s">
        <v>1488</v>
      </c>
      <c r="C528" s="956" t="s">
        <v>75</v>
      </c>
      <c r="D528" s="956" t="s">
        <v>98</v>
      </c>
    </row>
    <row r="529" spans="1:4">
      <c r="A529" s="171" t="s">
        <v>1704</v>
      </c>
      <c r="B529" s="171" t="s">
        <v>1629</v>
      </c>
      <c r="C529" s="956" t="s">
        <v>75</v>
      </c>
      <c r="D529" s="956" t="s">
        <v>89</v>
      </c>
    </row>
    <row r="530" spans="1:4">
      <c r="A530" s="171" t="s">
        <v>1706</v>
      </c>
      <c r="B530" s="171" t="s">
        <v>1631</v>
      </c>
      <c r="C530" s="956" t="s">
        <v>75</v>
      </c>
      <c r="D530" s="956" t="s">
        <v>89</v>
      </c>
    </row>
    <row r="531" spans="1:4">
      <c r="A531" s="951" t="s">
        <v>1495</v>
      </c>
      <c r="B531" s="171" t="s">
        <v>1494</v>
      </c>
      <c r="C531" s="956" t="s">
        <v>75</v>
      </c>
      <c r="D531" s="956" t="s">
        <v>89</v>
      </c>
    </row>
    <row r="532" spans="1:4">
      <c r="A532" s="167" t="s">
        <v>1564</v>
      </c>
      <c r="B532" s="166" t="s">
        <v>1563</v>
      </c>
      <c r="C532" s="956" t="s">
        <v>75</v>
      </c>
      <c r="D532" s="956" t="s">
        <v>95</v>
      </c>
    </row>
    <row r="533" spans="1:4">
      <c r="A533" s="168" t="s">
        <v>1548</v>
      </c>
      <c r="B533" s="169" t="s">
        <v>1547</v>
      </c>
      <c r="C533" s="956" t="s">
        <v>75</v>
      </c>
      <c r="D533" s="956" t="s">
        <v>94</v>
      </c>
    </row>
    <row r="534" spans="1:4">
      <c r="A534" s="168" t="s">
        <v>1569</v>
      </c>
      <c r="B534" s="169" t="s">
        <v>1568</v>
      </c>
      <c r="C534" s="956" t="s">
        <v>75</v>
      </c>
      <c r="D534" s="956" t="s">
        <v>94</v>
      </c>
    </row>
    <row r="535" spans="1:4">
      <c r="A535" s="167" t="s">
        <v>1726</v>
      </c>
      <c r="B535" s="171" t="s">
        <v>1727</v>
      </c>
      <c r="C535" s="956" t="s">
        <v>75</v>
      </c>
      <c r="D535" s="956" t="s">
        <v>90</v>
      </c>
    </row>
    <row r="536" spans="1:4">
      <c r="A536" s="951" t="s">
        <v>1709</v>
      </c>
      <c r="B536" s="171" t="s">
        <v>1634</v>
      </c>
      <c r="C536" s="956" t="s">
        <v>75</v>
      </c>
      <c r="D536" s="956" t="s">
        <v>89</v>
      </c>
    </row>
    <row r="537" spans="1:4">
      <c r="A537" s="951" t="s">
        <v>1702</v>
      </c>
      <c r="B537" s="171" t="s">
        <v>1627</v>
      </c>
      <c r="C537" s="956" t="s">
        <v>75</v>
      </c>
      <c r="D537" s="956" t="s">
        <v>89</v>
      </c>
    </row>
    <row r="538" spans="1:4">
      <c r="A538" s="951" t="s">
        <v>900</v>
      </c>
      <c r="B538" s="171" t="s">
        <v>899</v>
      </c>
      <c r="C538" s="956" t="s">
        <v>75</v>
      </c>
      <c r="D538" s="956" t="s">
        <v>89</v>
      </c>
    </row>
    <row r="539" spans="1:4">
      <c r="A539" s="951" t="s">
        <v>1553</v>
      </c>
      <c r="B539" s="171" t="s">
        <v>1552</v>
      </c>
      <c r="C539" s="956" t="s">
        <v>75</v>
      </c>
      <c r="D539" s="956" t="s">
        <v>90</v>
      </c>
    </row>
    <row r="540" spans="1:4">
      <c r="A540" s="167" t="s">
        <v>1736</v>
      </c>
      <c r="B540" s="166" t="s">
        <v>1737</v>
      </c>
      <c r="C540" s="956" t="s">
        <v>144</v>
      </c>
      <c r="D540" s="956" t="s">
        <v>146</v>
      </c>
    </row>
    <row r="541" spans="1:4">
      <c r="A541" s="167" t="s">
        <v>902</v>
      </c>
      <c r="B541" s="166" t="s">
        <v>901</v>
      </c>
      <c r="C541" s="956" t="s">
        <v>144</v>
      </c>
      <c r="D541" s="956" t="s">
        <v>181</v>
      </c>
    </row>
    <row r="542" spans="1:4">
      <c r="A542" s="167" t="s">
        <v>904</v>
      </c>
      <c r="B542" s="166" t="s">
        <v>903</v>
      </c>
      <c r="C542" s="956" t="s">
        <v>144</v>
      </c>
      <c r="D542" s="956" t="s">
        <v>181</v>
      </c>
    </row>
    <row r="543" spans="1:4">
      <c r="A543" s="955" t="s">
        <v>1302</v>
      </c>
      <c r="B543" s="962" t="s">
        <v>1301</v>
      </c>
      <c r="C543" s="956" t="s">
        <v>144</v>
      </c>
      <c r="D543" s="956" t="s">
        <v>98</v>
      </c>
    </row>
    <row r="544" spans="1:4">
      <c r="A544" s="167" t="s">
        <v>1557</v>
      </c>
      <c r="B544" s="166" t="s">
        <v>1556</v>
      </c>
      <c r="C544" s="956" t="s">
        <v>144</v>
      </c>
      <c r="D544" s="956" t="s">
        <v>150</v>
      </c>
    </row>
    <row r="545" spans="1:4">
      <c r="A545" s="167" t="s">
        <v>1566</v>
      </c>
      <c r="B545" s="166" t="s">
        <v>1565</v>
      </c>
      <c r="C545" s="956" t="s">
        <v>144</v>
      </c>
      <c r="D545" s="956" t="s">
        <v>150</v>
      </c>
    </row>
    <row r="546" spans="1:4">
      <c r="A546" s="167" t="s">
        <v>1827</v>
      </c>
      <c r="B546" s="166" t="s">
        <v>1828</v>
      </c>
      <c r="C546" s="956" t="s">
        <v>144</v>
      </c>
      <c r="D546" s="956" t="s">
        <v>146</v>
      </c>
    </row>
    <row r="547" spans="1:4">
      <c r="A547" s="167" t="s">
        <v>1829</v>
      </c>
      <c r="B547" s="166" t="s">
        <v>1830</v>
      </c>
      <c r="C547" s="956" t="s">
        <v>144</v>
      </c>
      <c r="D547" s="956" t="s">
        <v>146</v>
      </c>
    </row>
    <row r="548" spans="1:4">
      <c r="A548" s="166" t="s">
        <v>1867</v>
      </c>
      <c r="B548" s="166" t="s">
        <v>1868</v>
      </c>
      <c r="C548" s="956" t="s">
        <v>144</v>
      </c>
      <c r="D548" s="956" t="s">
        <v>146</v>
      </c>
    </row>
    <row r="549" spans="1:4">
      <c r="A549" s="166" t="s">
        <v>1869</v>
      </c>
      <c r="B549" s="166" t="s">
        <v>1870</v>
      </c>
      <c r="C549" s="956" t="s">
        <v>144</v>
      </c>
      <c r="D549" s="956" t="s">
        <v>146</v>
      </c>
    </row>
    <row r="550" spans="1:4">
      <c r="A550" s="167" t="s">
        <v>1845</v>
      </c>
      <c r="B550" s="166" t="s">
        <v>1846</v>
      </c>
      <c r="C550" s="956" t="s">
        <v>144</v>
      </c>
      <c r="D550" s="956" t="s">
        <v>146</v>
      </c>
    </row>
    <row r="551" spans="1:4">
      <c r="A551" s="167" t="s">
        <v>1847</v>
      </c>
      <c r="B551" s="166" t="s">
        <v>1848</v>
      </c>
      <c r="C551" s="956" t="s">
        <v>144</v>
      </c>
      <c r="D551" s="956" t="s">
        <v>146</v>
      </c>
    </row>
    <row r="552" spans="1:4">
      <c r="A552" s="167" t="s">
        <v>1857</v>
      </c>
      <c r="B552" s="166" t="s">
        <v>1858</v>
      </c>
      <c r="C552" s="956" t="s">
        <v>144</v>
      </c>
      <c r="D552" s="956" t="s">
        <v>146</v>
      </c>
    </row>
    <row r="553" spans="1:4">
      <c r="A553" s="167" t="s">
        <v>1859</v>
      </c>
      <c r="B553" s="166" t="s">
        <v>1860</v>
      </c>
      <c r="C553" s="956" t="s">
        <v>144</v>
      </c>
      <c r="D553" s="956" t="s">
        <v>146</v>
      </c>
    </row>
    <row r="554" spans="1:4">
      <c r="A554" s="167" t="s">
        <v>1741</v>
      </c>
      <c r="B554" s="166" t="s">
        <v>1742</v>
      </c>
      <c r="C554" s="956" t="s">
        <v>144</v>
      </c>
      <c r="D554" s="956" t="s">
        <v>146</v>
      </c>
    </row>
    <row r="555" spans="1:4">
      <c r="A555" s="167" t="s">
        <v>1741</v>
      </c>
      <c r="B555" s="166" t="s">
        <v>1742</v>
      </c>
      <c r="C555" s="956" t="s">
        <v>144</v>
      </c>
      <c r="D555" s="956" t="s">
        <v>146</v>
      </c>
    </row>
    <row r="556" spans="1:4">
      <c r="A556" s="167" t="s">
        <v>1743</v>
      </c>
      <c r="B556" s="166" t="s">
        <v>1744</v>
      </c>
      <c r="C556" s="956" t="s">
        <v>144</v>
      </c>
      <c r="D556" s="956" t="s">
        <v>146</v>
      </c>
    </row>
    <row r="557" spans="1:4">
      <c r="A557" s="167" t="s">
        <v>1743</v>
      </c>
      <c r="B557" s="166" t="s">
        <v>1744</v>
      </c>
      <c r="C557" s="956" t="s">
        <v>144</v>
      </c>
      <c r="D557" s="956" t="s">
        <v>146</v>
      </c>
    </row>
    <row r="558" spans="1:4">
      <c r="A558" s="167" t="s">
        <v>1871</v>
      </c>
      <c r="B558" s="166" t="s">
        <v>1872</v>
      </c>
      <c r="C558" s="956" t="s">
        <v>144</v>
      </c>
      <c r="D558" s="956" t="s">
        <v>146</v>
      </c>
    </row>
    <row r="559" spans="1:4">
      <c r="A559" s="167" t="s">
        <v>1833</v>
      </c>
      <c r="B559" s="166" t="s">
        <v>1834</v>
      </c>
      <c r="C559" s="956" t="s">
        <v>144</v>
      </c>
      <c r="D559" s="956" t="s">
        <v>181</v>
      </c>
    </row>
    <row r="560" spans="1:4">
      <c r="A560" s="167" t="s">
        <v>1835</v>
      </c>
      <c r="B560" s="166" t="s">
        <v>1836</v>
      </c>
      <c r="C560" s="956" t="s">
        <v>144</v>
      </c>
      <c r="D560" s="956" t="s">
        <v>146</v>
      </c>
    </row>
    <row r="561" spans="1:4">
      <c r="A561" s="167" t="s">
        <v>1839</v>
      </c>
      <c r="B561" s="166" t="s">
        <v>1840</v>
      </c>
      <c r="C561" s="956" t="s">
        <v>144</v>
      </c>
      <c r="D561" s="956" t="s">
        <v>181</v>
      </c>
    </row>
    <row r="562" spans="1:4">
      <c r="A562" s="167" t="s">
        <v>1841</v>
      </c>
      <c r="B562" s="166" t="s">
        <v>1842</v>
      </c>
      <c r="C562" s="956" t="s">
        <v>144</v>
      </c>
      <c r="D562" s="956" t="s">
        <v>146</v>
      </c>
    </row>
    <row r="563" spans="1:4">
      <c r="A563" s="167" t="s">
        <v>1851</v>
      </c>
      <c r="B563" s="166" t="s">
        <v>1852</v>
      </c>
      <c r="C563" s="956" t="s">
        <v>144</v>
      </c>
      <c r="D563" s="956" t="s">
        <v>181</v>
      </c>
    </row>
    <row r="564" spans="1:4">
      <c r="A564" s="167" t="s">
        <v>1853</v>
      </c>
      <c r="B564" s="166" t="s">
        <v>1854</v>
      </c>
      <c r="C564" s="956" t="s">
        <v>144</v>
      </c>
      <c r="D564" s="956" t="s">
        <v>146</v>
      </c>
    </row>
    <row r="565" spans="1:4">
      <c r="A565" s="167" t="s">
        <v>1821</v>
      </c>
      <c r="B565" s="166" t="s">
        <v>1822</v>
      </c>
      <c r="C565" s="956" t="s">
        <v>144</v>
      </c>
      <c r="D565" s="956" t="s">
        <v>146</v>
      </c>
    </row>
    <row r="566" spans="1:4">
      <c r="A566" s="167" t="s">
        <v>1823</v>
      </c>
      <c r="B566" s="166" t="s">
        <v>1824</v>
      </c>
      <c r="C566" s="956" t="s">
        <v>144</v>
      </c>
      <c r="D566" s="956" t="s">
        <v>146</v>
      </c>
    </row>
    <row r="567" spans="1:4">
      <c r="A567" s="167" t="s">
        <v>1745</v>
      </c>
      <c r="B567" s="166" t="s">
        <v>1746</v>
      </c>
      <c r="C567" s="956" t="s">
        <v>144</v>
      </c>
      <c r="D567" s="956" t="s">
        <v>181</v>
      </c>
    </row>
    <row r="568" spans="1:4">
      <c r="A568" s="166" t="s">
        <v>1745</v>
      </c>
      <c r="B568" s="166" t="s">
        <v>1746</v>
      </c>
      <c r="C568" s="956" t="s">
        <v>144</v>
      </c>
      <c r="D568" s="956" t="s">
        <v>181</v>
      </c>
    </row>
    <row r="569" spans="1:4">
      <c r="A569" s="166" t="s">
        <v>1863</v>
      </c>
      <c r="B569" s="166" t="s">
        <v>1864</v>
      </c>
      <c r="C569" s="956" t="s">
        <v>144</v>
      </c>
      <c r="D569" s="956" t="s">
        <v>146</v>
      </c>
    </row>
    <row r="570" spans="1:4">
      <c r="A570" s="167" t="s">
        <v>1471</v>
      </c>
      <c r="B570" s="166" t="s">
        <v>1470</v>
      </c>
      <c r="C570" s="956" t="s">
        <v>155</v>
      </c>
      <c r="D570" s="956" t="s">
        <v>159</v>
      </c>
    </row>
    <row r="571" spans="1:4">
      <c r="A571" s="167" t="s">
        <v>1243</v>
      </c>
      <c r="B571" s="166" t="s">
        <v>1242</v>
      </c>
      <c r="C571" s="956" t="s">
        <v>155</v>
      </c>
      <c r="D571" s="956" t="s">
        <v>163</v>
      </c>
    </row>
    <row r="572" spans="1:4">
      <c r="A572" s="167" t="s">
        <v>1477</v>
      </c>
      <c r="B572" s="166" t="s">
        <v>1476</v>
      </c>
      <c r="C572" s="956" t="s">
        <v>155</v>
      </c>
      <c r="D572" s="956" t="s">
        <v>161</v>
      </c>
    </row>
    <row r="573" spans="1:4">
      <c r="A573" s="167" t="s">
        <v>1473</v>
      </c>
      <c r="B573" s="556" t="s">
        <v>1472</v>
      </c>
      <c r="C573" s="956" t="s">
        <v>155</v>
      </c>
      <c r="D573" s="956" t="s">
        <v>162</v>
      </c>
    </row>
    <row r="574" spans="1:4">
      <c r="A574" s="167" t="s">
        <v>1397</v>
      </c>
      <c r="B574" s="166" t="s">
        <v>1396</v>
      </c>
      <c r="C574" s="956" t="s">
        <v>155</v>
      </c>
      <c r="D574" s="956" t="s">
        <v>164</v>
      </c>
    </row>
    <row r="575" spans="1:4">
      <c r="A575" s="167" t="s">
        <v>1174</v>
      </c>
      <c r="B575" s="166" t="s">
        <v>1173</v>
      </c>
      <c r="C575" s="956" t="s">
        <v>155</v>
      </c>
      <c r="D575" s="956" t="s">
        <v>161</v>
      </c>
    </row>
    <row r="576" spans="1:4">
      <c r="A576" s="167" t="s">
        <v>1875</v>
      </c>
      <c r="B576" s="166" t="s">
        <v>1876</v>
      </c>
      <c r="C576" s="956" t="s">
        <v>1646</v>
      </c>
      <c r="D576" s="956" t="s">
        <v>167</v>
      </c>
    </row>
    <row r="577" spans="1:4">
      <c r="A577" s="167" t="s">
        <v>1460</v>
      </c>
      <c r="B577" s="166" t="s">
        <v>1459</v>
      </c>
      <c r="C577" s="956" t="s">
        <v>175</v>
      </c>
      <c r="D577" s="956" t="s">
        <v>187</v>
      </c>
    </row>
    <row r="578" spans="1:4">
      <c r="A578" s="167" t="s">
        <v>1881</v>
      </c>
      <c r="B578" s="166" t="s">
        <v>1882</v>
      </c>
      <c r="C578" s="956" t="s">
        <v>155</v>
      </c>
      <c r="D578" s="956" t="s">
        <v>1700</v>
      </c>
    </row>
    <row r="579" spans="1:4">
      <c r="A579" s="167" t="s">
        <v>1384</v>
      </c>
      <c r="B579" s="166" t="s">
        <v>1383</v>
      </c>
      <c r="C579" s="956" t="s">
        <v>155</v>
      </c>
      <c r="D579" s="956" t="s">
        <v>167</v>
      </c>
    </row>
    <row r="580" spans="1:4">
      <c r="A580" s="167" t="s">
        <v>1167</v>
      </c>
      <c r="B580" s="166" t="s">
        <v>1166</v>
      </c>
      <c r="C580" s="956" t="s">
        <v>155</v>
      </c>
      <c r="D580" s="956" t="s">
        <v>167</v>
      </c>
    </row>
    <row r="581" spans="1:4">
      <c r="A581" s="167" t="s">
        <v>1468</v>
      </c>
      <c r="B581" s="166" t="s">
        <v>1467</v>
      </c>
      <c r="C581" s="956" t="s">
        <v>155</v>
      </c>
      <c r="D581" s="956" t="s">
        <v>167</v>
      </c>
    </row>
    <row r="582" spans="1:4">
      <c r="A582" s="167" t="s">
        <v>1411</v>
      </c>
      <c r="B582" s="166" t="s">
        <v>1410</v>
      </c>
      <c r="C582" s="956" t="s">
        <v>171</v>
      </c>
      <c r="D582" s="956" t="s">
        <v>172</v>
      </c>
    </row>
    <row r="583" spans="1:4">
      <c r="A583" s="167" t="s">
        <v>906</v>
      </c>
      <c r="B583" s="166" t="s">
        <v>905</v>
      </c>
      <c r="C583" s="956" t="s">
        <v>171</v>
      </c>
      <c r="D583" s="956" t="s">
        <v>172</v>
      </c>
    </row>
    <row r="584" spans="1:4">
      <c r="A584" s="167" t="s">
        <v>1263</v>
      </c>
      <c r="B584" s="166" t="s">
        <v>1262</v>
      </c>
      <c r="C584" s="956" t="s">
        <v>171</v>
      </c>
      <c r="D584" s="956" t="s">
        <v>172</v>
      </c>
    </row>
    <row r="585" spans="1:4">
      <c r="A585" s="167" t="s">
        <v>1540</v>
      </c>
      <c r="B585" s="166" t="s">
        <v>1419</v>
      </c>
      <c r="C585" s="956" t="s">
        <v>144</v>
      </c>
      <c r="D585" s="956" t="s">
        <v>146</v>
      </c>
    </row>
    <row r="586" spans="1:4">
      <c r="A586" s="167" t="s">
        <v>1791</v>
      </c>
      <c r="B586" s="166" t="s">
        <v>923</v>
      </c>
      <c r="C586" s="956" t="s">
        <v>144</v>
      </c>
      <c r="D586" s="956" t="s">
        <v>146</v>
      </c>
    </row>
    <row r="587" spans="1:4">
      <c r="A587" s="167" t="s">
        <v>1546</v>
      </c>
      <c r="B587" s="166" t="s">
        <v>1446</v>
      </c>
      <c r="C587" s="956" t="s">
        <v>144</v>
      </c>
      <c r="D587" s="956" t="s">
        <v>146</v>
      </c>
    </row>
    <row r="588" spans="1:4">
      <c r="A588" s="167" t="s">
        <v>1794</v>
      </c>
      <c r="B588" s="166" t="s">
        <v>1795</v>
      </c>
      <c r="C588" s="956" t="s">
        <v>144</v>
      </c>
      <c r="D588" s="956" t="s">
        <v>146</v>
      </c>
    </row>
    <row r="589" spans="1:4">
      <c r="A589" s="167" t="s">
        <v>908</v>
      </c>
      <c r="B589" s="166" t="s">
        <v>907</v>
      </c>
      <c r="C589" s="956" t="s">
        <v>144</v>
      </c>
      <c r="D589" s="956" t="s">
        <v>146</v>
      </c>
    </row>
    <row r="590" spans="1:4">
      <c r="A590" s="167" t="s">
        <v>1519</v>
      </c>
      <c r="B590" s="166" t="s">
        <v>1313</v>
      </c>
      <c r="C590" s="956" t="s">
        <v>144</v>
      </c>
      <c r="D590" s="956" t="s">
        <v>146</v>
      </c>
    </row>
    <row r="591" spans="1:4">
      <c r="A591" s="167" t="s">
        <v>1541</v>
      </c>
      <c r="B591" s="166" t="s">
        <v>1421</v>
      </c>
      <c r="C591" s="956" t="s">
        <v>144</v>
      </c>
      <c r="D591" s="956" t="s">
        <v>146</v>
      </c>
    </row>
    <row r="592" spans="1:4">
      <c r="A592" s="167" t="s">
        <v>1562</v>
      </c>
      <c r="B592" s="166" t="s">
        <v>1486</v>
      </c>
      <c r="C592" s="956" t="s">
        <v>144</v>
      </c>
      <c r="D592" s="956" t="s">
        <v>146</v>
      </c>
    </row>
    <row r="593" spans="1:4">
      <c r="A593" s="167" t="s">
        <v>1799</v>
      </c>
      <c r="B593" s="166" t="s">
        <v>1800</v>
      </c>
      <c r="C593" s="956" t="s">
        <v>144</v>
      </c>
      <c r="D593" s="956" t="s">
        <v>146</v>
      </c>
    </row>
    <row r="594" spans="1:4">
      <c r="A594" s="167" t="s">
        <v>1482</v>
      </c>
      <c r="B594" s="166" t="s">
        <v>1322</v>
      </c>
      <c r="C594" s="956" t="s">
        <v>144</v>
      </c>
      <c r="D594" s="956" t="s">
        <v>146</v>
      </c>
    </row>
    <row r="595" spans="1:4">
      <c r="A595" s="167" t="s">
        <v>910</v>
      </c>
      <c r="B595" s="166" t="s">
        <v>909</v>
      </c>
      <c r="C595" s="956" t="s">
        <v>144</v>
      </c>
      <c r="D595" s="956" t="s">
        <v>146</v>
      </c>
    </row>
    <row r="596" spans="1:4">
      <c r="A596" s="167" t="s">
        <v>1804</v>
      </c>
      <c r="B596" s="166" t="s">
        <v>1805</v>
      </c>
      <c r="C596" s="956" t="s">
        <v>144</v>
      </c>
      <c r="D596" s="956" t="s">
        <v>146</v>
      </c>
    </row>
    <row r="597" spans="1:4">
      <c r="A597" s="167" t="s">
        <v>1809</v>
      </c>
      <c r="B597" s="166" t="s">
        <v>1810</v>
      </c>
      <c r="C597" s="956" t="s">
        <v>144</v>
      </c>
      <c r="D597" s="956" t="s">
        <v>146</v>
      </c>
    </row>
    <row r="598" spans="1:4">
      <c r="A598" s="167" t="s">
        <v>912</v>
      </c>
      <c r="B598" s="166" t="s">
        <v>911</v>
      </c>
      <c r="C598" s="956" t="s">
        <v>144</v>
      </c>
      <c r="D598" s="956" t="s">
        <v>146</v>
      </c>
    </row>
    <row r="599" spans="1:4">
      <c r="A599" s="167" t="s">
        <v>1814</v>
      </c>
      <c r="B599" s="166" t="s">
        <v>1815</v>
      </c>
      <c r="C599" s="956" t="s">
        <v>144</v>
      </c>
      <c r="D599" s="956" t="s">
        <v>146</v>
      </c>
    </row>
    <row r="600" spans="1:4">
      <c r="A600" s="167" t="s">
        <v>1817</v>
      </c>
      <c r="B600" s="166" t="s">
        <v>1818</v>
      </c>
      <c r="C600" s="956" t="s">
        <v>144</v>
      </c>
      <c r="D600" s="956" t="s">
        <v>146</v>
      </c>
    </row>
    <row r="601" spans="1:4">
      <c r="A601" s="167" t="s">
        <v>914</v>
      </c>
      <c r="B601" s="962" t="s">
        <v>913</v>
      </c>
      <c r="C601" s="956" t="s">
        <v>144</v>
      </c>
      <c r="D601" s="956" t="s">
        <v>147</v>
      </c>
    </row>
    <row r="602" spans="1:4">
      <c r="A602" s="167" t="s">
        <v>1749</v>
      </c>
      <c r="B602" s="962" t="s">
        <v>1750</v>
      </c>
      <c r="C602" s="956" t="s">
        <v>144</v>
      </c>
      <c r="D602" s="956" t="s">
        <v>147</v>
      </c>
    </row>
    <row r="603" spans="1:4">
      <c r="A603" s="167" t="s">
        <v>916</v>
      </c>
      <c r="B603" s="166" t="s">
        <v>915</v>
      </c>
      <c r="C603" s="956" t="s">
        <v>144</v>
      </c>
      <c r="D603" s="956" t="s">
        <v>147</v>
      </c>
    </row>
    <row r="604" spans="1:4">
      <c r="A604" s="167" t="s">
        <v>1753</v>
      </c>
      <c r="B604" s="166" t="s">
        <v>1754</v>
      </c>
      <c r="C604" s="956" t="s">
        <v>144</v>
      </c>
      <c r="D604" s="956" t="s">
        <v>147</v>
      </c>
    </row>
    <row r="605" spans="1:4">
      <c r="A605" s="167" t="s">
        <v>1757</v>
      </c>
      <c r="B605" s="166" t="s">
        <v>1758</v>
      </c>
      <c r="C605" s="956" t="s">
        <v>144</v>
      </c>
      <c r="D605" s="956" t="s">
        <v>147</v>
      </c>
    </row>
    <row r="606" spans="1:4">
      <c r="A606" s="167" t="s">
        <v>1761</v>
      </c>
      <c r="B606" s="166" t="s">
        <v>1762</v>
      </c>
      <c r="C606" s="956" t="s">
        <v>144</v>
      </c>
      <c r="D606" s="956" t="s">
        <v>147</v>
      </c>
    </row>
    <row r="607" spans="1:4">
      <c r="A607" s="167" t="s">
        <v>1765</v>
      </c>
      <c r="B607" s="166" t="s">
        <v>1766</v>
      </c>
      <c r="C607" s="956" t="s">
        <v>144</v>
      </c>
      <c r="D607" s="956" t="s">
        <v>147</v>
      </c>
    </row>
    <row r="608" spans="1:4">
      <c r="A608" s="167" t="s">
        <v>1454</v>
      </c>
      <c r="B608" s="166" t="s">
        <v>1320</v>
      </c>
      <c r="C608" s="956" t="s">
        <v>144</v>
      </c>
      <c r="D608" s="956" t="s">
        <v>147</v>
      </c>
    </row>
    <row r="609" spans="1:4">
      <c r="A609" s="167" t="s">
        <v>1773</v>
      </c>
      <c r="B609" s="166" t="s">
        <v>1774</v>
      </c>
      <c r="C609" s="956" t="s">
        <v>144</v>
      </c>
      <c r="D609" s="956" t="s">
        <v>147</v>
      </c>
    </row>
    <row r="610" spans="1:4">
      <c r="A610" s="167" t="s">
        <v>1777</v>
      </c>
      <c r="B610" s="166" t="s">
        <v>1778</v>
      </c>
      <c r="C610" s="956" t="s">
        <v>144</v>
      </c>
      <c r="D610" s="956" t="s">
        <v>147</v>
      </c>
    </row>
    <row r="611" spans="1:4">
      <c r="A611" s="167" t="s">
        <v>1153</v>
      </c>
      <c r="B611" s="166" t="s">
        <v>928</v>
      </c>
      <c r="C611" s="956" t="s">
        <v>144</v>
      </c>
      <c r="D611" s="956" t="s">
        <v>147</v>
      </c>
    </row>
    <row r="612" spans="1:4">
      <c r="A612" s="167" t="s">
        <v>1785</v>
      </c>
      <c r="B612" s="166" t="s">
        <v>1786</v>
      </c>
      <c r="C612" s="956" t="s">
        <v>144</v>
      </c>
      <c r="D612" s="956" t="s">
        <v>147</v>
      </c>
    </row>
    <row r="613" spans="1:4">
      <c r="A613" s="167" t="s">
        <v>1787</v>
      </c>
      <c r="B613" s="166" t="s">
        <v>1788</v>
      </c>
      <c r="C613" s="956" t="s">
        <v>144</v>
      </c>
      <c r="D613" s="956" t="s">
        <v>147</v>
      </c>
    </row>
    <row r="614" spans="1:4">
      <c r="A614" s="167" t="s">
        <v>1555</v>
      </c>
      <c r="B614" s="166" t="s">
        <v>1554</v>
      </c>
      <c r="C614" s="956" t="s">
        <v>144</v>
      </c>
      <c r="D614" s="956" t="s">
        <v>146</v>
      </c>
    </row>
    <row r="615" spans="1:4">
      <c r="A615" s="167" t="s">
        <v>918</v>
      </c>
      <c r="B615" s="166" t="s">
        <v>917</v>
      </c>
      <c r="C615" s="956" t="s">
        <v>144</v>
      </c>
      <c r="D615" s="956" t="s">
        <v>146</v>
      </c>
    </row>
    <row r="616" spans="1:4">
      <c r="A616" s="168" t="s">
        <v>1518</v>
      </c>
      <c r="B616" s="169" t="s">
        <v>1223</v>
      </c>
      <c r="C616" s="956" t="s">
        <v>144</v>
      </c>
      <c r="D616" s="956" t="s">
        <v>147</v>
      </c>
    </row>
    <row r="617" spans="1:4">
      <c r="A617" s="167" t="s">
        <v>1517</v>
      </c>
      <c r="B617" s="166" t="s">
        <v>1516</v>
      </c>
      <c r="C617" s="956" t="s">
        <v>175</v>
      </c>
      <c r="D617" s="956" t="s">
        <v>177</v>
      </c>
    </row>
    <row r="618" spans="1:4">
      <c r="A618" s="169" t="s">
        <v>1228</v>
      </c>
      <c r="B618" s="169" t="s">
        <v>1147</v>
      </c>
      <c r="C618" s="956"/>
      <c r="D618" s="956"/>
    </row>
    <row r="619" spans="1:4">
      <c r="A619" s="166" t="s">
        <v>1543</v>
      </c>
      <c r="B619" s="166" t="s">
        <v>1542</v>
      </c>
      <c r="C619" s="956" t="s">
        <v>175</v>
      </c>
      <c r="D619" s="956" t="s">
        <v>179</v>
      </c>
    </row>
    <row r="620" spans="1:4">
      <c r="A620" s="168" t="s">
        <v>1148</v>
      </c>
      <c r="B620" s="169" t="s">
        <v>1147</v>
      </c>
      <c r="C620" s="956"/>
      <c r="D620" s="956"/>
    </row>
    <row r="621" spans="1:4">
      <c r="A621" s="166" t="s">
        <v>1514</v>
      </c>
      <c r="B621" s="166" t="s">
        <v>1513</v>
      </c>
      <c r="C621" s="956" t="s">
        <v>175</v>
      </c>
      <c r="D621" s="956" t="s">
        <v>180</v>
      </c>
    </row>
    <row r="622" spans="1:4">
      <c r="A622" s="168" t="s">
        <v>1222</v>
      </c>
      <c r="B622" s="169" t="s">
        <v>1147</v>
      </c>
      <c r="C622" s="956"/>
      <c r="D622" s="956"/>
    </row>
    <row r="623" spans="1:4">
      <c r="A623" s="166" t="s">
        <v>1163</v>
      </c>
      <c r="B623" s="166" t="s">
        <v>1162</v>
      </c>
      <c r="C623" s="956" t="s">
        <v>175</v>
      </c>
      <c r="D623" s="956" t="s">
        <v>179</v>
      </c>
    </row>
    <row r="624" spans="1:4">
      <c r="A624" s="167" t="s">
        <v>1355</v>
      </c>
      <c r="B624" s="166" t="s">
        <v>1354</v>
      </c>
      <c r="C624" s="956" t="s">
        <v>175</v>
      </c>
      <c r="D624" s="956" t="s">
        <v>177</v>
      </c>
    </row>
    <row r="625" spans="1:4">
      <c r="A625" s="167" t="s">
        <v>1378</v>
      </c>
      <c r="B625" s="166" t="s">
        <v>1377</v>
      </c>
      <c r="C625" s="956" t="s">
        <v>175</v>
      </c>
      <c r="D625" s="956" t="s">
        <v>189</v>
      </c>
    </row>
    <row r="626" spans="1:4">
      <c r="A626" s="167" t="s">
        <v>1883</v>
      </c>
      <c r="B626" s="166" t="s">
        <v>1876</v>
      </c>
      <c r="C626" s="956" t="s">
        <v>155</v>
      </c>
      <c r="D626" s="956" t="s">
        <v>1700</v>
      </c>
    </row>
    <row r="627" spans="1:4">
      <c r="A627" s="166" t="s">
        <v>1364</v>
      </c>
      <c r="B627" s="166" t="s">
        <v>1363</v>
      </c>
      <c r="C627" s="956" t="s">
        <v>175</v>
      </c>
      <c r="D627" s="956" t="s">
        <v>178</v>
      </c>
    </row>
    <row r="628" spans="1:4">
      <c r="A628" s="166" t="s">
        <v>920</v>
      </c>
      <c r="B628" s="166" t="s">
        <v>919</v>
      </c>
      <c r="C628" s="956" t="s">
        <v>175</v>
      </c>
      <c r="D628" s="956" t="s">
        <v>178</v>
      </c>
    </row>
    <row r="629" spans="1:4">
      <c r="A629" s="167" t="s">
        <v>1215</v>
      </c>
      <c r="B629" s="166" t="s">
        <v>1214</v>
      </c>
      <c r="C629" s="956" t="s">
        <v>175</v>
      </c>
      <c r="D629" s="956" t="s">
        <v>178</v>
      </c>
    </row>
    <row r="630" spans="1:4">
      <c r="A630" s="167" t="s">
        <v>1435</v>
      </c>
      <c r="B630" s="166" t="s">
        <v>1434</v>
      </c>
      <c r="C630" s="956" t="s">
        <v>175</v>
      </c>
      <c r="D630" s="956" t="s">
        <v>181</v>
      </c>
    </row>
    <row r="631" spans="1:4">
      <c r="A631" s="167" t="s">
        <v>1194</v>
      </c>
      <c r="B631" s="166" t="s">
        <v>1193</v>
      </c>
      <c r="C631" s="956" t="s">
        <v>175</v>
      </c>
      <c r="D631" s="956" t="s">
        <v>181</v>
      </c>
    </row>
    <row r="632" spans="1:4">
      <c r="A632" s="167" t="s">
        <v>1504</v>
      </c>
      <c r="B632" s="166" t="s">
        <v>1503</v>
      </c>
      <c r="C632" s="956" t="s">
        <v>175</v>
      </c>
      <c r="D632" s="956" t="s">
        <v>1922</v>
      </c>
    </row>
    <row r="633" spans="1:4">
      <c r="A633" s="167" t="s">
        <v>1491</v>
      </c>
      <c r="B633" s="166" t="s">
        <v>1490</v>
      </c>
      <c r="C633" s="956" t="s">
        <v>175</v>
      </c>
      <c r="D633" s="956" t="s">
        <v>186</v>
      </c>
    </row>
    <row r="634" spans="1:4">
      <c r="A634" s="167" t="s">
        <v>922</v>
      </c>
      <c r="B634" s="166" t="s">
        <v>921</v>
      </c>
      <c r="C634" s="956" t="s">
        <v>1646</v>
      </c>
      <c r="D634" s="956" t="s">
        <v>178</v>
      </c>
    </row>
    <row r="635" spans="1:4">
      <c r="A635" s="167" t="s">
        <v>423</v>
      </c>
      <c r="B635" s="166" t="s">
        <v>422</v>
      </c>
      <c r="C635" s="956" t="s">
        <v>175</v>
      </c>
      <c r="D635" s="956" t="s">
        <v>183</v>
      </c>
    </row>
    <row r="636" spans="1:4">
      <c r="A636" s="167" t="s">
        <v>1420</v>
      </c>
      <c r="B636" s="166" t="s">
        <v>1419</v>
      </c>
      <c r="C636" s="956" t="s">
        <v>144</v>
      </c>
      <c r="D636" s="956" t="s">
        <v>146</v>
      </c>
    </row>
    <row r="637" spans="1:4">
      <c r="A637" s="167" t="s">
        <v>924</v>
      </c>
      <c r="B637" s="166" t="s">
        <v>923</v>
      </c>
      <c r="C637" s="956" t="s">
        <v>144</v>
      </c>
      <c r="D637" s="956" t="s">
        <v>146</v>
      </c>
    </row>
    <row r="638" spans="1:4">
      <c r="A638" s="167" t="s">
        <v>1447</v>
      </c>
      <c r="B638" s="166" t="s">
        <v>1446</v>
      </c>
      <c r="C638" s="956" t="s">
        <v>144</v>
      </c>
      <c r="D638" s="956" t="s">
        <v>146</v>
      </c>
    </row>
    <row r="639" spans="1:4">
      <c r="A639" s="167" t="s">
        <v>1796</v>
      </c>
      <c r="B639" s="166" t="s">
        <v>1795</v>
      </c>
      <c r="C639" s="956" t="s">
        <v>144</v>
      </c>
      <c r="D639" s="956" t="s">
        <v>146</v>
      </c>
    </row>
    <row r="640" spans="1:4">
      <c r="A640" s="176" t="s">
        <v>925</v>
      </c>
      <c r="B640" s="556" t="s">
        <v>907</v>
      </c>
      <c r="C640" s="956" t="s">
        <v>144</v>
      </c>
      <c r="D640" s="956" t="s">
        <v>146</v>
      </c>
    </row>
    <row r="641" spans="1:4">
      <c r="A641" s="167" t="s">
        <v>1314</v>
      </c>
      <c r="B641" s="166" t="s">
        <v>1313</v>
      </c>
      <c r="C641" s="956" t="s">
        <v>144</v>
      </c>
      <c r="D641" s="956" t="s">
        <v>146</v>
      </c>
    </row>
    <row r="642" spans="1:4">
      <c r="A642" s="167" t="s">
        <v>1422</v>
      </c>
      <c r="B642" s="166" t="s">
        <v>1421</v>
      </c>
      <c r="C642" s="956" t="s">
        <v>144</v>
      </c>
      <c r="D642" s="956" t="s">
        <v>146</v>
      </c>
    </row>
    <row r="643" spans="1:4">
      <c r="A643" s="167" t="s">
        <v>1487</v>
      </c>
      <c r="B643" s="166" t="s">
        <v>1486</v>
      </c>
      <c r="C643" s="956" t="s">
        <v>144</v>
      </c>
      <c r="D643" s="956" t="s">
        <v>146</v>
      </c>
    </row>
    <row r="644" spans="1:4">
      <c r="A644" s="167" t="s">
        <v>1801</v>
      </c>
      <c r="B644" s="166" t="s">
        <v>1800</v>
      </c>
      <c r="C644" s="956" t="s">
        <v>144</v>
      </c>
      <c r="D644" s="956" t="s">
        <v>146</v>
      </c>
    </row>
    <row r="645" spans="1:4">
      <c r="A645" s="167" t="s">
        <v>1323</v>
      </c>
      <c r="B645" s="166" t="s">
        <v>1322</v>
      </c>
      <c r="C645" s="956" t="s">
        <v>144</v>
      </c>
      <c r="D645" s="956" t="s">
        <v>146</v>
      </c>
    </row>
    <row r="646" spans="1:4">
      <c r="A646" s="167" t="s">
        <v>926</v>
      </c>
      <c r="B646" s="166" t="s">
        <v>909</v>
      </c>
      <c r="C646" s="956" t="s">
        <v>144</v>
      </c>
      <c r="D646" s="956" t="s">
        <v>146</v>
      </c>
    </row>
    <row r="647" spans="1:4">
      <c r="A647" s="167" t="s">
        <v>1806</v>
      </c>
      <c r="B647" s="166" t="s">
        <v>1805</v>
      </c>
      <c r="C647" s="956" t="s">
        <v>144</v>
      </c>
      <c r="D647" s="956" t="s">
        <v>146</v>
      </c>
    </row>
    <row r="648" spans="1:4">
      <c r="A648" s="167" t="s">
        <v>1811</v>
      </c>
      <c r="B648" s="166" t="s">
        <v>1810</v>
      </c>
      <c r="C648" s="956" t="s">
        <v>144</v>
      </c>
      <c r="D648" s="956" t="s">
        <v>146</v>
      </c>
    </row>
    <row r="649" spans="1:4">
      <c r="A649" s="167" t="s">
        <v>927</v>
      </c>
      <c r="B649" s="166" t="s">
        <v>911</v>
      </c>
      <c r="C649" s="956" t="s">
        <v>144</v>
      </c>
      <c r="D649" s="956" t="s">
        <v>146</v>
      </c>
    </row>
    <row r="650" spans="1:4">
      <c r="A650" s="176" t="s">
        <v>1816</v>
      </c>
      <c r="B650" s="571" t="s">
        <v>1815</v>
      </c>
      <c r="C650" s="956" t="s">
        <v>144</v>
      </c>
      <c r="D650" s="956" t="s">
        <v>146</v>
      </c>
    </row>
    <row r="651" spans="1:4">
      <c r="A651" s="167" t="s">
        <v>1321</v>
      </c>
      <c r="B651" s="171" t="s">
        <v>1320</v>
      </c>
      <c r="C651" s="956" t="s">
        <v>144</v>
      </c>
      <c r="D651" s="956" t="s">
        <v>147</v>
      </c>
    </row>
    <row r="652" spans="1:4">
      <c r="A652" s="167" t="s">
        <v>1769</v>
      </c>
      <c r="B652" s="166" t="s">
        <v>1770</v>
      </c>
      <c r="C652" s="956" t="s">
        <v>144</v>
      </c>
      <c r="D652" s="956" t="s">
        <v>147</v>
      </c>
    </row>
    <row r="653" spans="1:4">
      <c r="A653" s="167" t="s">
        <v>1782</v>
      </c>
      <c r="B653" s="166" t="s">
        <v>1781</v>
      </c>
      <c r="C653" s="956" t="s">
        <v>144</v>
      </c>
      <c r="D653" s="956" t="s">
        <v>147</v>
      </c>
    </row>
    <row r="654" spans="1:4">
      <c r="A654" s="167" t="s">
        <v>1493</v>
      </c>
      <c r="B654" s="166" t="s">
        <v>1492</v>
      </c>
      <c r="C654" s="956" t="s">
        <v>144</v>
      </c>
      <c r="D654" s="956" t="s">
        <v>146</v>
      </c>
    </row>
    <row r="655" spans="1:4">
      <c r="A655" s="167" t="s">
        <v>929</v>
      </c>
      <c r="B655" s="166" t="s">
        <v>917</v>
      </c>
      <c r="C655" s="956" t="s">
        <v>144</v>
      </c>
      <c r="D655" s="956" t="s">
        <v>146</v>
      </c>
    </row>
    <row r="656" spans="1:4">
      <c r="A656" s="167" t="s">
        <v>931</v>
      </c>
      <c r="B656" s="166" t="s">
        <v>930</v>
      </c>
      <c r="C656" s="956" t="s">
        <v>144</v>
      </c>
      <c r="D656" s="956" t="s">
        <v>147</v>
      </c>
    </row>
    <row r="657" spans="1:4">
      <c r="A657" s="168" t="s">
        <v>1224</v>
      </c>
      <c r="B657" s="169" t="s">
        <v>1223</v>
      </c>
      <c r="C657" s="956" t="s">
        <v>144</v>
      </c>
      <c r="D657" s="956" t="s">
        <v>147</v>
      </c>
    </row>
    <row r="658" spans="1:4">
      <c r="A658" s="167" t="s">
        <v>1485</v>
      </c>
      <c r="B658" s="166" t="s">
        <v>1523</v>
      </c>
      <c r="C658" s="956" t="s">
        <v>75</v>
      </c>
      <c r="D658" s="956" t="s">
        <v>103</v>
      </c>
    </row>
    <row r="659" spans="1:4">
      <c r="A659" s="167" t="s">
        <v>1444</v>
      </c>
      <c r="B659" s="166" t="s">
        <v>1442</v>
      </c>
      <c r="C659" s="956" t="s">
        <v>75</v>
      </c>
      <c r="D659" s="956" t="s">
        <v>104</v>
      </c>
    </row>
    <row r="660" spans="1:4">
      <c r="A660" s="167" t="s">
        <v>400</v>
      </c>
      <c r="B660" s="166" t="s">
        <v>399</v>
      </c>
      <c r="C660" s="956" t="s">
        <v>75</v>
      </c>
      <c r="D660" s="956" t="s">
        <v>106</v>
      </c>
    </row>
    <row r="661" spans="1:4">
      <c r="A661" s="167" t="s">
        <v>1436</v>
      </c>
      <c r="B661" s="166" t="s">
        <v>1360</v>
      </c>
      <c r="C661" s="956" t="s">
        <v>75</v>
      </c>
      <c r="D661" s="956" t="s">
        <v>107</v>
      </c>
    </row>
    <row r="662" spans="1:4">
      <c r="A662" s="167" t="s">
        <v>940</v>
      </c>
      <c r="B662" s="166" t="s">
        <v>938</v>
      </c>
      <c r="C662" s="956" t="s">
        <v>75</v>
      </c>
      <c r="D662" s="956" t="s">
        <v>109</v>
      </c>
    </row>
    <row r="663" spans="1:4">
      <c r="A663" s="167" t="s">
        <v>1409</v>
      </c>
      <c r="B663" s="166" t="s">
        <v>1407</v>
      </c>
      <c r="C663" s="956" t="s">
        <v>75</v>
      </c>
      <c r="D663" s="956" t="s">
        <v>105</v>
      </c>
    </row>
    <row r="664" spans="1:4">
      <c r="A664" s="167" t="s">
        <v>1376</v>
      </c>
      <c r="B664" s="166" t="s">
        <v>1374</v>
      </c>
      <c r="C664" s="956" t="s">
        <v>75</v>
      </c>
      <c r="D664" s="956" t="s">
        <v>108</v>
      </c>
    </row>
    <row r="665" spans="1:4">
      <c r="A665" s="167" t="s">
        <v>444</v>
      </c>
      <c r="B665" s="166" t="s">
        <v>443</v>
      </c>
      <c r="C665" s="956" t="s">
        <v>75</v>
      </c>
      <c r="D665" s="956" t="s">
        <v>108</v>
      </c>
    </row>
    <row r="666" spans="1:4">
      <c r="A666" s="167" t="s">
        <v>1885</v>
      </c>
      <c r="B666" s="556" t="s">
        <v>1886</v>
      </c>
      <c r="C666" s="956" t="s">
        <v>75</v>
      </c>
      <c r="D666" s="956" t="s">
        <v>108</v>
      </c>
    </row>
    <row r="667" spans="1:4">
      <c r="A667" s="167" t="s">
        <v>1261</v>
      </c>
      <c r="B667" s="166" t="s">
        <v>1259</v>
      </c>
      <c r="C667" s="956" t="s">
        <v>75</v>
      </c>
      <c r="D667" s="956" t="s">
        <v>213</v>
      </c>
    </row>
    <row r="668" spans="1:4">
      <c r="A668" s="167" t="s">
        <v>1185</v>
      </c>
      <c r="B668" s="166" t="s">
        <v>1183</v>
      </c>
      <c r="C668" s="956" t="s">
        <v>75</v>
      </c>
      <c r="D668" s="956" t="s">
        <v>112</v>
      </c>
    </row>
    <row r="669" spans="1:4">
      <c r="A669" s="167" t="s">
        <v>1268</v>
      </c>
      <c r="B669" s="166" t="s">
        <v>1342</v>
      </c>
      <c r="C669" s="956" t="s">
        <v>75</v>
      </c>
      <c r="D669" s="956" t="s">
        <v>113</v>
      </c>
    </row>
    <row r="670" spans="1:4">
      <c r="A670" s="167" t="s">
        <v>1251</v>
      </c>
      <c r="B670" s="166" t="s">
        <v>1249</v>
      </c>
      <c r="C670" s="956" t="s">
        <v>75</v>
      </c>
      <c r="D670" s="956" t="s">
        <v>114</v>
      </c>
    </row>
    <row r="671" spans="1:4">
      <c r="A671" s="167" t="s">
        <v>1213</v>
      </c>
      <c r="B671" s="166" t="s">
        <v>1445</v>
      </c>
      <c r="C671" s="956" t="s">
        <v>75</v>
      </c>
      <c r="D671" s="956" t="s">
        <v>116</v>
      </c>
    </row>
    <row r="672" spans="1:4">
      <c r="A672" s="167" t="s">
        <v>1254</v>
      </c>
      <c r="B672" s="166" t="s">
        <v>1252</v>
      </c>
      <c r="C672" s="956" t="s">
        <v>75</v>
      </c>
      <c r="D672" s="956" t="s">
        <v>119</v>
      </c>
    </row>
    <row r="673" spans="1:4">
      <c r="A673" s="167" t="s">
        <v>1285</v>
      </c>
      <c r="B673" s="166" t="s">
        <v>1283</v>
      </c>
      <c r="C673" s="956" t="s">
        <v>75</v>
      </c>
      <c r="D673" s="956" t="s">
        <v>117</v>
      </c>
    </row>
    <row r="674" spans="1:4">
      <c r="A674" s="166" t="s">
        <v>1307</v>
      </c>
      <c r="B674" s="166" t="s">
        <v>1414</v>
      </c>
      <c r="C674" s="956" t="s">
        <v>75</v>
      </c>
      <c r="D674" s="956" t="s">
        <v>118</v>
      </c>
    </row>
    <row r="675" spans="1:4">
      <c r="A675" s="167" t="s">
        <v>1159</v>
      </c>
      <c r="B675" s="166" t="s">
        <v>1157</v>
      </c>
      <c r="C675" s="956" t="s">
        <v>75</v>
      </c>
      <c r="D675" s="956" t="s">
        <v>127</v>
      </c>
    </row>
    <row r="676" spans="1:4">
      <c r="A676" s="167" t="s">
        <v>933</v>
      </c>
      <c r="B676" s="166" t="s">
        <v>932</v>
      </c>
      <c r="C676" s="956" t="s">
        <v>155</v>
      </c>
      <c r="D676" s="956" t="s">
        <v>128</v>
      </c>
    </row>
    <row r="677" spans="1:4">
      <c r="A677" s="167" t="s">
        <v>935</v>
      </c>
      <c r="B677" s="166" t="s">
        <v>934</v>
      </c>
      <c r="C677" s="956" t="s">
        <v>75</v>
      </c>
      <c r="D677" s="956" t="s">
        <v>133</v>
      </c>
    </row>
    <row r="678" spans="1:4">
      <c r="A678" s="167" t="s">
        <v>1188</v>
      </c>
      <c r="B678" s="166" t="s">
        <v>1186</v>
      </c>
      <c r="C678" s="956" t="s">
        <v>75</v>
      </c>
      <c r="D678" s="956" t="s">
        <v>123</v>
      </c>
    </row>
    <row r="679" spans="1:4">
      <c r="A679" s="167" t="s">
        <v>1182</v>
      </c>
      <c r="B679" s="166" t="s">
        <v>1180</v>
      </c>
      <c r="C679" s="956" t="s">
        <v>75</v>
      </c>
      <c r="D679" s="956" t="s">
        <v>131</v>
      </c>
    </row>
    <row r="680" spans="1:4">
      <c r="A680" s="167" t="s">
        <v>1288</v>
      </c>
      <c r="B680" s="166" t="s">
        <v>1286</v>
      </c>
      <c r="C680" s="956" t="s">
        <v>75</v>
      </c>
      <c r="D680" s="956" t="s">
        <v>124</v>
      </c>
    </row>
    <row r="681" spans="1:4">
      <c r="A681" s="167" t="s">
        <v>1208</v>
      </c>
      <c r="B681" s="166" t="s">
        <v>1206</v>
      </c>
      <c r="C681" s="956" t="s">
        <v>75</v>
      </c>
      <c r="D681" s="956" t="s">
        <v>129</v>
      </c>
    </row>
    <row r="682" spans="1:4">
      <c r="A682" s="167" t="s">
        <v>1156</v>
      </c>
      <c r="B682" s="166" t="s">
        <v>1154</v>
      </c>
      <c r="C682" s="956" t="s">
        <v>75</v>
      </c>
      <c r="D682" s="956" t="s">
        <v>130</v>
      </c>
    </row>
    <row r="683" spans="1:4">
      <c r="A683" s="167" t="s">
        <v>1239</v>
      </c>
      <c r="B683" s="166" t="s">
        <v>1237</v>
      </c>
      <c r="C683" s="956" t="s">
        <v>75</v>
      </c>
      <c r="D683" s="956" t="s">
        <v>132</v>
      </c>
    </row>
    <row r="684" spans="1:4">
      <c r="A684" s="167" t="s">
        <v>1219</v>
      </c>
      <c r="B684" s="166" t="s">
        <v>1315</v>
      </c>
      <c r="C684" s="956" t="s">
        <v>75</v>
      </c>
      <c r="D684" s="956" t="s">
        <v>125</v>
      </c>
    </row>
    <row r="685" spans="1:4">
      <c r="A685" s="167" t="s">
        <v>1310</v>
      </c>
      <c r="B685" s="166" t="s">
        <v>1308</v>
      </c>
      <c r="C685" s="956" t="s">
        <v>75</v>
      </c>
      <c r="D685" s="956" t="s">
        <v>126</v>
      </c>
    </row>
    <row r="686" spans="1:4">
      <c r="A686" s="167" t="s">
        <v>1335</v>
      </c>
      <c r="B686" s="166" t="s">
        <v>1333</v>
      </c>
      <c r="C686" s="956" t="s">
        <v>1646</v>
      </c>
      <c r="D686" s="956" t="s">
        <v>260</v>
      </c>
    </row>
    <row r="687" spans="1:4">
      <c r="A687" s="167" t="s">
        <v>937</v>
      </c>
      <c r="B687" s="166" t="s">
        <v>936</v>
      </c>
      <c r="C687" s="956" t="s">
        <v>1646</v>
      </c>
      <c r="D687" s="956" t="s">
        <v>250</v>
      </c>
    </row>
    <row r="688" spans="1:4">
      <c r="A688" s="167" t="s">
        <v>1246</v>
      </c>
      <c r="B688" s="166" t="s">
        <v>1332</v>
      </c>
      <c r="C688" s="956" t="s">
        <v>1646</v>
      </c>
      <c r="D688" s="956" t="s">
        <v>244</v>
      </c>
    </row>
    <row r="689" spans="1:4">
      <c r="A689" s="167" t="s">
        <v>1400</v>
      </c>
      <c r="B689" s="166" t="s">
        <v>1469</v>
      </c>
      <c r="C689" s="956" t="s">
        <v>75</v>
      </c>
      <c r="D689" s="956" t="s">
        <v>235</v>
      </c>
    </row>
    <row r="690" spans="1:4">
      <c r="A690" s="167" t="s">
        <v>1257</v>
      </c>
      <c r="B690" s="166" t="s">
        <v>1366</v>
      </c>
      <c r="C690" s="956" t="s">
        <v>1646</v>
      </c>
      <c r="D690" s="956" t="s">
        <v>242</v>
      </c>
    </row>
    <row r="691" spans="1:4">
      <c r="A691" s="167" t="s">
        <v>1205</v>
      </c>
      <c r="B691" s="166" t="s">
        <v>1362</v>
      </c>
      <c r="C691" s="956" t="s">
        <v>1646</v>
      </c>
      <c r="D691" s="956" t="s">
        <v>237</v>
      </c>
    </row>
    <row r="692" spans="1:4">
      <c r="A692" s="167" t="s">
        <v>1887</v>
      </c>
      <c r="B692" s="166" t="s">
        <v>1888</v>
      </c>
      <c r="C692" s="956" t="s">
        <v>1646</v>
      </c>
      <c r="D692" s="956" t="s">
        <v>241</v>
      </c>
    </row>
    <row r="693" spans="1:4">
      <c r="A693" s="167" t="s">
        <v>1227</v>
      </c>
      <c r="B693" s="166" t="s">
        <v>1296</v>
      </c>
      <c r="C693" s="956" t="s">
        <v>1646</v>
      </c>
      <c r="D693" s="956" t="s">
        <v>239</v>
      </c>
    </row>
    <row r="694" spans="1:4">
      <c r="A694" s="167" t="s">
        <v>1273</v>
      </c>
      <c r="B694" s="166" t="s">
        <v>1395</v>
      </c>
      <c r="C694" s="956" t="s">
        <v>1646</v>
      </c>
      <c r="D694" s="956" t="s">
        <v>246</v>
      </c>
    </row>
    <row r="695" spans="1:4">
      <c r="A695" s="167" t="s">
        <v>1897</v>
      </c>
      <c r="B695" s="166" t="s">
        <v>1898</v>
      </c>
      <c r="C695" s="956" t="s">
        <v>1646</v>
      </c>
      <c r="D695" s="956" t="s">
        <v>252</v>
      </c>
    </row>
    <row r="696" spans="1:4">
      <c r="A696" s="167" t="s">
        <v>1484</v>
      </c>
      <c r="B696" s="166" t="s">
        <v>1483</v>
      </c>
      <c r="C696" s="956" t="s">
        <v>144</v>
      </c>
      <c r="D696" s="956" t="s">
        <v>103</v>
      </c>
    </row>
    <row r="697" spans="1:4">
      <c r="A697" s="167" t="s">
        <v>1443</v>
      </c>
      <c r="B697" s="166" t="s">
        <v>1442</v>
      </c>
      <c r="C697" s="956" t="s">
        <v>144</v>
      </c>
      <c r="D697" s="956" t="s">
        <v>104</v>
      </c>
    </row>
    <row r="698" spans="1:4">
      <c r="A698" s="167" t="s">
        <v>1231</v>
      </c>
      <c r="B698" s="166" t="s">
        <v>1230</v>
      </c>
      <c r="C698" s="956" t="s">
        <v>144</v>
      </c>
      <c r="D698" s="956" t="s">
        <v>106</v>
      </c>
    </row>
    <row r="699" spans="1:4">
      <c r="A699" s="167" t="s">
        <v>1361</v>
      </c>
      <c r="B699" s="166" t="s">
        <v>1360</v>
      </c>
      <c r="C699" s="956" t="s">
        <v>144</v>
      </c>
      <c r="D699" s="956" t="s">
        <v>107</v>
      </c>
    </row>
    <row r="700" spans="1:4">
      <c r="A700" s="167" t="s">
        <v>939</v>
      </c>
      <c r="B700" s="166" t="s">
        <v>938</v>
      </c>
      <c r="C700" s="956" t="s">
        <v>1646</v>
      </c>
      <c r="D700" s="956" t="s">
        <v>262</v>
      </c>
    </row>
    <row r="701" spans="1:4">
      <c r="A701" s="167" t="s">
        <v>1408</v>
      </c>
      <c r="B701" s="166" t="s">
        <v>1407</v>
      </c>
      <c r="C701" s="956" t="s">
        <v>144</v>
      </c>
      <c r="D701" s="956" t="s">
        <v>105</v>
      </c>
    </row>
    <row r="702" spans="1:4">
      <c r="A702" s="167" t="s">
        <v>1415</v>
      </c>
      <c r="B702" s="166" t="s">
        <v>1374</v>
      </c>
      <c r="C702" s="956" t="s">
        <v>144</v>
      </c>
      <c r="D702" s="956" t="s">
        <v>108</v>
      </c>
    </row>
    <row r="703" spans="1:4">
      <c r="A703" s="167" t="s">
        <v>491</v>
      </c>
      <c r="B703" s="166" t="s">
        <v>490</v>
      </c>
      <c r="C703" s="956" t="s">
        <v>144</v>
      </c>
      <c r="D703" s="956" t="s">
        <v>108</v>
      </c>
    </row>
    <row r="704" spans="1:4">
      <c r="A704" s="167" t="s">
        <v>1297</v>
      </c>
      <c r="B704" s="166" t="s">
        <v>1259</v>
      </c>
      <c r="C704" s="956" t="s">
        <v>144</v>
      </c>
      <c r="D704" s="956" t="s">
        <v>213</v>
      </c>
    </row>
    <row r="705" spans="1:4">
      <c r="A705" s="167" t="s">
        <v>1184</v>
      </c>
      <c r="B705" s="166" t="s">
        <v>1183</v>
      </c>
      <c r="C705" s="956" t="s">
        <v>144</v>
      </c>
      <c r="D705" s="956" t="s">
        <v>112</v>
      </c>
    </row>
    <row r="706" spans="1:4">
      <c r="A706" s="167" t="s">
        <v>1373</v>
      </c>
      <c r="B706" s="166" t="s">
        <v>1342</v>
      </c>
      <c r="C706" s="956" t="s">
        <v>144</v>
      </c>
      <c r="D706" s="956" t="s">
        <v>113</v>
      </c>
    </row>
    <row r="707" spans="1:4">
      <c r="A707" s="167" t="s">
        <v>1413</v>
      </c>
      <c r="B707" s="166" t="s">
        <v>1412</v>
      </c>
      <c r="C707" s="956" t="s">
        <v>144</v>
      </c>
      <c r="D707" s="956" t="s">
        <v>114</v>
      </c>
    </row>
    <row r="708" spans="1:4">
      <c r="A708" s="167" t="s">
        <v>1303</v>
      </c>
      <c r="B708" s="166" t="s">
        <v>1211</v>
      </c>
      <c r="C708" s="956" t="s">
        <v>144</v>
      </c>
      <c r="D708" s="956" t="s">
        <v>116</v>
      </c>
    </row>
    <row r="709" spans="1:4">
      <c r="A709" s="167" t="s">
        <v>1289</v>
      </c>
      <c r="B709" s="166" t="s">
        <v>1252</v>
      </c>
      <c r="C709" s="956" t="s">
        <v>144</v>
      </c>
      <c r="D709" s="956" t="s">
        <v>119</v>
      </c>
    </row>
    <row r="710" spans="1:4">
      <c r="A710" s="167" t="s">
        <v>1337</v>
      </c>
      <c r="B710" s="166" t="s">
        <v>1283</v>
      </c>
      <c r="C710" s="956" t="s">
        <v>144</v>
      </c>
      <c r="D710" s="956" t="s">
        <v>117</v>
      </c>
    </row>
    <row r="711" spans="1:4">
      <c r="A711" s="166" t="s">
        <v>1350</v>
      </c>
      <c r="B711" s="166" t="s">
        <v>1305</v>
      </c>
      <c r="C711" s="956" t="s">
        <v>144</v>
      </c>
      <c r="D711" s="956" t="s">
        <v>118</v>
      </c>
    </row>
    <row r="712" spans="1:4">
      <c r="A712" s="167" t="s">
        <v>1170</v>
      </c>
      <c r="B712" s="166" t="s">
        <v>1157</v>
      </c>
      <c r="C712" s="956" t="s">
        <v>144</v>
      </c>
      <c r="D712" s="956" t="s">
        <v>127</v>
      </c>
    </row>
    <row r="713" spans="1:4">
      <c r="A713" s="167" t="s">
        <v>941</v>
      </c>
      <c r="B713" s="166" t="s">
        <v>932</v>
      </c>
      <c r="C713" s="956" t="s">
        <v>155</v>
      </c>
      <c r="D713" s="956" t="s">
        <v>128</v>
      </c>
    </row>
    <row r="714" spans="1:4">
      <c r="A714" s="167" t="s">
        <v>942</v>
      </c>
      <c r="B714" s="166" t="s">
        <v>934</v>
      </c>
      <c r="C714" s="956" t="s">
        <v>144</v>
      </c>
      <c r="D714" s="956" t="s">
        <v>133</v>
      </c>
    </row>
    <row r="715" spans="1:4">
      <c r="A715" s="167" t="s">
        <v>1241</v>
      </c>
      <c r="B715" s="166" t="s">
        <v>1186</v>
      </c>
      <c r="C715" s="956" t="s">
        <v>144</v>
      </c>
      <c r="D715" s="956" t="s">
        <v>123</v>
      </c>
    </row>
    <row r="716" spans="1:4">
      <c r="A716" s="167" t="s">
        <v>1198</v>
      </c>
      <c r="B716" s="166" t="s">
        <v>1180</v>
      </c>
      <c r="C716" s="956" t="s">
        <v>144</v>
      </c>
      <c r="D716" s="956" t="s">
        <v>131</v>
      </c>
    </row>
    <row r="717" spans="1:4">
      <c r="A717" s="167" t="s">
        <v>1336</v>
      </c>
      <c r="B717" s="166" t="s">
        <v>1286</v>
      </c>
      <c r="C717" s="956" t="s">
        <v>144</v>
      </c>
      <c r="D717" s="956" t="s">
        <v>124</v>
      </c>
    </row>
    <row r="718" spans="1:4">
      <c r="A718" s="167" t="s">
        <v>1232</v>
      </c>
      <c r="B718" s="166" t="s">
        <v>1206</v>
      </c>
      <c r="C718" s="956" t="s">
        <v>144</v>
      </c>
      <c r="D718" s="956" t="s">
        <v>129</v>
      </c>
    </row>
    <row r="719" spans="1:4">
      <c r="A719" s="167" t="s">
        <v>1201</v>
      </c>
      <c r="B719" s="166" t="s">
        <v>1154</v>
      </c>
      <c r="C719" s="956" t="s">
        <v>144</v>
      </c>
      <c r="D719" s="956" t="s">
        <v>130</v>
      </c>
    </row>
    <row r="720" spans="1:4">
      <c r="A720" s="167" t="s">
        <v>1270</v>
      </c>
      <c r="B720" s="166" t="s">
        <v>1237</v>
      </c>
      <c r="C720" s="956" t="s">
        <v>1923</v>
      </c>
      <c r="D720" s="956" t="s">
        <v>132</v>
      </c>
    </row>
    <row r="721" spans="1:4">
      <c r="A721" s="167" t="s">
        <v>1248</v>
      </c>
      <c r="B721" s="166" t="s">
        <v>1247</v>
      </c>
      <c r="C721" s="956" t="s">
        <v>144</v>
      </c>
      <c r="D721" s="956" t="s">
        <v>125</v>
      </c>
    </row>
    <row r="722" spans="1:4">
      <c r="A722" s="167" t="s">
        <v>1359</v>
      </c>
      <c r="B722" s="166" t="s">
        <v>1308</v>
      </c>
      <c r="C722" s="956" t="s">
        <v>144</v>
      </c>
      <c r="D722" s="956" t="s">
        <v>126</v>
      </c>
    </row>
    <row r="723" spans="1:4">
      <c r="A723" s="167" t="s">
        <v>1456</v>
      </c>
      <c r="B723" s="166" t="s">
        <v>1333</v>
      </c>
      <c r="C723" s="956" t="s">
        <v>1646</v>
      </c>
      <c r="D723" s="956" t="s">
        <v>260</v>
      </c>
    </row>
    <row r="724" spans="1:4">
      <c r="A724" s="167" t="s">
        <v>943</v>
      </c>
      <c r="B724" s="166" t="s">
        <v>936</v>
      </c>
      <c r="C724" s="956" t="s">
        <v>1646</v>
      </c>
      <c r="D724" s="956" t="s">
        <v>250</v>
      </c>
    </row>
    <row r="725" spans="1:4">
      <c r="A725" s="167" t="s">
        <v>1381</v>
      </c>
      <c r="B725" s="166" t="s">
        <v>1380</v>
      </c>
      <c r="C725" s="956" t="s">
        <v>144</v>
      </c>
      <c r="D725" s="956" t="s">
        <v>244</v>
      </c>
    </row>
    <row r="726" spans="1:4">
      <c r="A726" s="167" t="s">
        <v>1463</v>
      </c>
      <c r="B726" s="166" t="s">
        <v>1462</v>
      </c>
      <c r="C726" s="956" t="s">
        <v>144</v>
      </c>
      <c r="D726" s="956" t="s">
        <v>235</v>
      </c>
    </row>
    <row r="727" spans="1:4">
      <c r="A727" s="167" t="s">
        <v>1291</v>
      </c>
      <c r="B727" s="166" t="s">
        <v>1290</v>
      </c>
      <c r="C727" s="956" t="s">
        <v>144</v>
      </c>
      <c r="D727" s="956" t="s">
        <v>242</v>
      </c>
    </row>
    <row r="728" spans="1:4">
      <c r="A728" s="167" t="s">
        <v>1204</v>
      </c>
      <c r="B728" s="166" t="s">
        <v>1203</v>
      </c>
      <c r="C728" s="956" t="s">
        <v>144</v>
      </c>
      <c r="D728" s="956" t="s">
        <v>237</v>
      </c>
    </row>
    <row r="729" spans="1:4">
      <c r="A729" s="167" t="s">
        <v>1889</v>
      </c>
      <c r="B729" s="166" t="s">
        <v>1890</v>
      </c>
      <c r="C729" s="956" t="s">
        <v>144</v>
      </c>
      <c r="D729" s="956" t="s">
        <v>241</v>
      </c>
    </row>
    <row r="730" spans="1:4">
      <c r="A730" s="167" t="s">
        <v>1394</v>
      </c>
      <c r="B730" s="166" t="s">
        <v>1393</v>
      </c>
      <c r="C730" s="956" t="s">
        <v>144</v>
      </c>
      <c r="D730" s="956" t="s">
        <v>239</v>
      </c>
    </row>
    <row r="731" spans="1:4">
      <c r="A731" s="167" t="s">
        <v>1319</v>
      </c>
      <c r="B731" s="166" t="s">
        <v>1318</v>
      </c>
      <c r="C731" s="956" t="s">
        <v>144</v>
      </c>
      <c r="D731" s="956" t="s">
        <v>246</v>
      </c>
    </row>
    <row r="732" spans="1:4">
      <c r="A732" s="167" t="s">
        <v>1899</v>
      </c>
      <c r="B732" s="166" t="s">
        <v>1900</v>
      </c>
      <c r="C732" s="956" t="s">
        <v>144</v>
      </c>
      <c r="D732" s="956" t="s">
        <v>1661</v>
      </c>
    </row>
    <row r="733" spans="1:4">
      <c r="A733" s="167" t="s">
        <v>1404</v>
      </c>
      <c r="B733" s="571" t="s">
        <v>1403</v>
      </c>
      <c r="C733" s="956" t="s">
        <v>155</v>
      </c>
      <c r="D733" s="956" t="s">
        <v>122</v>
      </c>
    </row>
    <row r="734" spans="1:4">
      <c r="A734" s="167" t="s">
        <v>1451</v>
      </c>
      <c r="B734" s="166" t="s">
        <v>1450</v>
      </c>
      <c r="C734" s="956" t="s">
        <v>155</v>
      </c>
      <c r="D734" s="956" t="s">
        <v>122</v>
      </c>
    </row>
    <row r="735" spans="1:4">
      <c r="A735" s="167" t="s">
        <v>1427</v>
      </c>
      <c r="B735" s="166" t="s">
        <v>1374</v>
      </c>
      <c r="C735" s="956" t="s">
        <v>155</v>
      </c>
      <c r="D735" s="956" t="s">
        <v>121</v>
      </c>
    </row>
    <row r="736" spans="1:4">
      <c r="A736" s="167" t="s">
        <v>1356</v>
      </c>
      <c r="B736" s="166" t="s">
        <v>1259</v>
      </c>
      <c r="C736" s="956" t="s">
        <v>155</v>
      </c>
      <c r="D736" s="956" t="s">
        <v>213</v>
      </c>
    </row>
    <row r="737" spans="1:4">
      <c r="A737" s="167" t="s">
        <v>1324</v>
      </c>
      <c r="B737" s="166" t="s">
        <v>1183</v>
      </c>
      <c r="C737" s="956" t="s">
        <v>155</v>
      </c>
      <c r="D737" s="956" t="s">
        <v>112</v>
      </c>
    </row>
    <row r="738" spans="1:4">
      <c r="A738" s="167" t="s">
        <v>1349</v>
      </c>
      <c r="B738" s="166" t="s">
        <v>1266</v>
      </c>
      <c r="C738" s="956" t="s">
        <v>155</v>
      </c>
      <c r="D738" s="956" t="s">
        <v>113</v>
      </c>
    </row>
    <row r="739" spans="1:4">
      <c r="A739" s="167" t="s">
        <v>1461</v>
      </c>
      <c r="B739" s="166" t="s">
        <v>1249</v>
      </c>
      <c r="C739" s="956" t="s">
        <v>155</v>
      </c>
      <c r="D739" s="956" t="s">
        <v>114</v>
      </c>
    </row>
    <row r="740" spans="1:4">
      <c r="A740" s="167" t="s">
        <v>1496</v>
      </c>
      <c r="B740" s="166" t="s">
        <v>1330</v>
      </c>
      <c r="C740" s="956" t="s">
        <v>155</v>
      </c>
      <c r="D740" s="956" t="s">
        <v>115</v>
      </c>
    </row>
    <row r="741" spans="1:4">
      <c r="A741" s="167" t="s">
        <v>1449</v>
      </c>
      <c r="B741" s="166" t="s">
        <v>1448</v>
      </c>
      <c r="C741" s="956" t="s">
        <v>155</v>
      </c>
      <c r="D741" s="956" t="s">
        <v>116</v>
      </c>
    </row>
    <row r="742" spans="1:4">
      <c r="A742" s="167" t="s">
        <v>1346</v>
      </c>
      <c r="B742" s="166" t="s">
        <v>1252</v>
      </c>
      <c r="C742" s="956" t="s">
        <v>155</v>
      </c>
      <c r="D742" s="956" t="s">
        <v>119</v>
      </c>
    </row>
    <row r="743" spans="1:4">
      <c r="A743" s="167" t="s">
        <v>1455</v>
      </c>
      <c r="B743" s="166" t="s">
        <v>1283</v>
      </c>
      <c r="C743" s="956" t="s">
        <v>155</v>
      </c>
      <c r="D743" s="956" t="s">
        <v>117</v>
      </c>
    </row>
    <row r="744" spans="1:4">
      <c r="A744" s="166" t="s">
        <v>1221</v>
      </c>
      <c r="B744" s="166" t="s">
        <v>1220</v>
      </c>
      <c r="C744" s="956" t="s">
        <v>155</v>
      </c>
      <c r="D744" s="956" t="s">
        <v>118</v>
      </c>
    </row>
    <row r="745" spans="1:4">
      <c r="A745" s="166" t="s">
        <v>1401</v>
      </c>
      <c r="B745" s="166" t="s">
        <v>1305</v>
      </c>
      <c r="C745" s="956" t="s">
        <v>155</v>
      </c>
      <c r="D745" s="956" t="s">
        <v>118</v>
      </c>
    </row>
    <row r="746" spans="1:4">
      <c r="A746" s="167" t="s">
        <v>1300</v>
      </c>
      <c r="B746" s="166" t="s">
        <v>1178</v>
      </c>
      <c r="C746" s="956" t="s">
        <v>155</v>
      </c>
      <c r="D746" s="956" t="s">
        <v>122</v>
      </c>
    </row>
    <row r="747" spans="1:4">
      <c r="A747" s="167" t="s">
        <v>1304</v>
      </c>
      <c r="B747" s="166" t="s">
        <v>1157</v>
      </c>
      <c r="C747" s="956" t="s">
        <v>155</v>
      </c>
      <c r="D747" s="956" t="s">
        <v>127</v>
      </c>
    </row>
    <row r="748" spans="1:4">
      <c r="A748" s="167" t="s">
        <v>1177</v>
      </c>
      <c r="B748" s="166" t="s">
        <v>932</v>
      </c>
      <c r="C748" s="956" t="s">
        <v>155</v>
      </c>
      <c r="D748" s="956" t="s">
        <v>128</v>
      </c>
    </row>
    <row r="749" spans="1:4">
      <c r="A749" s="167" t="s">
        <v>944</v>
      </c>
      <c r="B749" s="166" t="s">
        <v>934</v>
      </c>
      <c r="C749" s="956" t="s">
        <v>155</v>
      </c>
      <c r="D749" s="956" t="s">
        <v>133</v>
      </c>
    </row>
    <row r="750" spans="1:4">
      <c r="A750" s="167" t="s">
        <v>1528</v>
      </c>
      <c r="B750" s="166" t="s">
        <v>1527</v>
      </c>
      <c r="C750" s="956" t="s">
        <v>155</v>
      </c>
      <c r="D750" s="956" t="s">
        <v>123</v>
      </c>
    </row>
    <row r="751" spans="1:4">
      <c r="A751" s="167" t="s">
        <v>1236</v>
      </c>
      <c r="B751" s="166" t="s">
        <v>1180</v>
      </c>
      <c r="C751" s="956" t="s">
        <v>155</v>
      </c>
      <c r="D751" s="956" t="s">
        <v>131</v>
      </c>
    </row>
    <row r="752" spans="1:4">
      <c r="A752" s="167" t="s">
        <v>1379</v>
      </c>
      <c r="B752" s="556" t="s">
        <v>1286</v>
      </c>
      <c r="C752" s="956" t="s">
        <v>155</v>
      </c>
      <c r="D752" s="956" t="s">
        <v>124</v>
      </c>
    </row>
    <row r="753" spans="1:4">
      <c r="A753" s="167" t="s">
        <v>1269</v>
      </c>
      <c r="B753" s="166" t="s">
        <v>1206</v>
      </c>
      <c r="C753" s="956" t="s">
        <v>155</v>
      </c>
      <c r="D753" s="956" t="s">
        <v>129</v>
      </c>
    </row>
    <row r="754" spans="1:4">
      <c r="A754" s="167" t="s">
        <v>1195</v>
      </c>
      <c r="B754" s="166" t="s">
        <v>1154</v>
      </c>
      <c r="C754" s="956" t="s">
        <v>155</v>
      </c>
      <c r="D754" s="956" t="s">
        <v>130</v>
      </c>
    </row>
    <row r="755" spans="1:4">
      <c r="A755" s="167" t="s">
        <v>1325</v>
      </c>
      <c r="B755" s="166" t="s">
        <v>1237</v>
      </c>
      <c r="C755" s="956" t="s">
        <v>155</v>
      </c>
      <c r="D755" s="956" t="s">
        <v>132</v>
      </c>
    </row>
    <row r="756" spans="1:4">
      <c r="A756" s="167" t="s">
        <v>1293</v>
      </c>
      <c r="B756" s="166" t="s">
        <v>1292</v>
      </c>
      <c r="C756" s="956" t="s">
        <v>155</v>
      </c>
      <c r="D756" s="956" t="s">
        <v>125</v>
      </c>
    </row>
    <row r="757" spans="1:4">
      <c r="A757" s="167" t="s">
        <v>1430</v>
      </c>
      <c r="B757" s="166" t="s">
        <v>1308</v>
      </c>
      <c r="C757" s="956" t="s">
        <v>155</v>
      </c>
      <c r="D757" s="956" t="s">
        <v>126</v>
      </c>
    </row>
    <row r="758" spans="1:4">
      <c r="A758" s="167" t="s">
        <v>1405</v>
      </c>
      <c r="B758" s="166" t="s">
        <v>1333</v>
      </c>
      <c r="C758" s="956" t="s">
        <v>1646</v>
      </c>
      <c r="D758" s="956" t="s">
        <v>260</v>
      </c>
    </row>
    <row r="759" spans="1:4">
      <c r="A759" s="167" t="s">
        <v>945</v>
      </c>
      <c r="B759" s="166" t="s">
        <v>936</v>
      </c>
      <c r="C759" s="956" t="s">
        <v>1646</v>
      </c>
      <c r="D759" s="956" t="s">
        <v>250</v>
      </c>
    </row>
    <row r="760" spans="1:4">
      <c r="A760" s="167" t="s">
        <v>1169</v>
      </c>
      <c r="B760" s="166" t="s">
        <v>1168</v>
      </c>
      <c r="C760" s="956" t="s">
        <v>1646</v>
      </c>
      <c r="D760" s="956" t="s">
        <v>248</v>
      </c>
    </row>
    <row r="761" spans="1:4">
      <c r="A761" s="167" t="s">
        <v>1312</v>
      </c>
      <c r="B761" s="166" t="s">
        <v>1311</v>
      </c>
      <c r="C761" s="956" t="s">
        <v>155</v>
      </c>
      <c r="D761" s="956" t="s">
        <v>244</v>
      </c>
    </row>
    <row r="762" spans="1:4">
      <c r="A762" s="167" t="s">
        <v>1453</v>
      </c>
      <c r="B762" s="166" t="s">
        <v>1452</v>
      </c>
      <c r="C762" s="956" t="s">
        <v>155</v>
      </c>
      <c r="D762" s="956" t="s">
        <v>235</v>
      </c>
    </row>
    <row r="763" spans="1:4">
      <c r="A763" s="167" t="s">
        <v>1348</v>
      </c>
      <c r="B763" s="166" t="s">
        <v>1347</v>
      </c>
      <c r="C763" s="956" t="s">
        <v>155</v>
      </c>
      <c r="D763" s="956" t="s">
        <v>242</v>
      </c>
    </row>
    <row r="764" spans="1:4">
      <c r="A764" s="167" t="s">
        <v>1341</v>
      </c>
      <c r="B764" s="166" t="s">
        <v>1340</v>
      </c>
      <c r="C764" s="956" t="s">
        <v>155</v>
      </c>
      <c r="D764" s="956" t="s">
        <v>237</v>
      </c>
    </row>
    <row r="765" spans="1:4">
      <c r="A765" s="167" t="s">
        <v>1891</v>
      </c>
      <c r="B765" s="166" t="s">
        <v>1892</v>
      </c>
      <c r="C765" s="956" t="s">
        <v>155</v>
      </c>
      <c r="D765" s="956" t="s">
        <v>241</v>
      </c>
    </row>
    <row r="766" spans="1:4">
      <c r="A766" s="167" t="s">
        <v>1275</v>
      </c>
      <c r="B766" s="166" t="s">
        <v>1274</v>
      </c>
      <c r="C766" s="956" t="s">
        <v>155</v>
      </c>
      <c r="D766" s="956" t="s">
        <v>239</v>
      </c>
    </row>
    <row r="767" spans="1:4">
      <c r="A767" s="167" t="s">
        <v>1368</v>
      </c>
      <c r="B767" s="166" t="s">
        <v>1367</v>
      </c>
      <c r="C767" s="956" t="s">
        <v>155</v>
      </c>
      <c r="D767" s="956" t="s">
        <v>246</v>
      </c>
    </row>
    <row r="768" spans="1:4">
      <c r="A768" s="167" t="s">
        <v>1901</v>
      </c>
      <c r="B768" s="166" t="s">
        <v>1902</v>
      </c>
      <c r="C768" s="956" t="s">
        <v>155</v>
      </c>
      <c r="D768" s="956" t="s">
        <v>1661</v>
      </c>
    </row>
    <row r="769" spans="1:4">
      <c r="A769" s="167" t="s">
        <v>946</v>
      </c>
      <c r="B769" s="166" t="s">
        <v>399</v>
      </c>
      <c r="C769" s="956" t="s">
        <v>171</v>
      </c>
      <c r="D769" s="956" t="s">
        <v>122</v>
      </c>
    </row>
    <row r="770" spans="1:4">
      <c r="A770" s="167" t="s">
        <v>1884</v>
      </c>
      <c r="B770" s="166" t="s">
        <v>1391</v>
      </c>
      <c r="C770" s="956" t="s">
        <v>171</v>
      </c>
      <c r="D770" s="956" t="s">
        <v>122</v>
      </c>
    </row>
    <row r="771" spans="1:4">
      <c r="A771" s="167" t="s">
        <v>1260</v>
      </c>
      <c r="B771" s="166" t="s">
        <v>1259</v>
      </c>
      <c r="C771" s="956" t="s">
        <v>171</v>
      </c>
      <c r="D771" s="956" t="s">
        <v>213</v>
      </c>
    </row>
    <row r="772" spans="1:4">
      <c r="A772" s="167" t="s">
        <v>1202</v>
      </c>
      <c r="B772" s="166" t="s">
        <v>1183</v>
      </c>
      <c r="C772" s="956" t="s">
        <v>171</v>
      </c>
      <c r="D772" s="956" t="s">
        <v>112</v>
      </c>
    </row>
    <row r="773" spans="1:4">
      <c r="A773" s="167" t="s">
        <v>1267</v>
      </c>
      <c r="B773" s="166" t="s">
        <v>1266</v>
      </c>
      <c r="C773" s="956" t="s">
        <v>171</v>
      </c>
      <c r="D773" s="956" t="s">
        <v>113</v>
      </c>
    </row>
    <row r="774" spans="1:4">
      <c r="A774" s="176" t="s">
        <v>1250</v>
      </c>
      <c r="B774" s="962" t="s">
        <v>1249</v>
      </c>
      <c r="C774" s="956" t="s">
        <v>171</v>
      </c>
      <c r="D774" s="956" t="s">
        <v>114</v>
      </c>
    </row>
    <row r="775" spans="1:4">
      <c r="A775" s="167" t="s">
        <v>1331</v>
      </c>
      <c r="B775" s="166" t="s">
        <v>1330</v>
      </c>
      <c r="C775" s="956" t="s">
        <v>171</v>
      </c>
      <c r="D775" s="956" t="s">
        <v>115</v>
      </c>
    </row>
    <row r="776" spans="1:4">
      <c r="A776" s="167" t="s">
        <v>1212</v>
      </c>
      <c r="B776" s="166" t="s">
        <v>1211</v>
      </c>
      <c r="C776" s="956" t="s">
        <v>171</v>
      </c>
      <c r="D776" s="956" t="s">
        <v>116</v>
      </c>
    </row>
    <row r="777" spans="1:4">
      <c r="A777" s="167" t="s">
        <v>1253</v>
      </c>
      <c r="B777" s="166" t="s">
        <v>1252</v>
      </c>
      <c r="C777" s="956" t="s">
        <v>171</v>
      </c>
      <c r="D777" s="956" t="s">
        <v>119</v>
      </c>
    </row>
    <row r="778" spans="1:4">
      <c r="A778" s="167" t="s">
        <v>1284</v>
      </c>
      <c r="B778" s="166" t="s">
        <v>1283</v>
      </c>
      <c r="C778" s="956" t="s">
        <v>171</v>
      </c>
      <c r="D778" s="956" t="s">
        <v>117</v>
      </c>
    </row>
    <row r="779" spans="1:4">
      <c r="A779" s="166" t="s">
        <v>1306</v>
      </c>
      <c r="B779" s="166" t="s">
        <v>1305</v>
      </c>
      <c r="C779" s="956" t="s">
        <v>171</v>
      </c>
      <c r="D779" s="956" t="s">
        <v>118</v>
      </c>
    </row>
    <row r="780" spans="1:4">
      <c r="A780" s="167" t="s">
        <v>1179</v>
      </c>
      <c r="B780" s="166" t="s">
        <v>1178</v>
      </c>
      <c r="C780" s="956" t="s">
        <v>171</v>
      </c>
      <c r="D780" s="956" t="s">
        <v>122</v>
      </c>
    </row>
    <row r="781" spans="1:4">
      <c r="A781" s="167" t="s">
        <v>1158</v>
      </c>
      <c r="B781" s="166" t="s">
        <v>1157</v>
      </c>
      <c r="C781" s="956" t="s">
        <v>171</v>
      </c>
      <c r="D781" s="956" t="s">
        <v>127</v>
      </c>
    </row>
    <row r="782" spans="1:4">
      <c r="A782" s="167" t="s">
        <v>1197</v>
      </c>
      <c r="B782" s="166" t="s">
        <v>1196</v>
      </c>
      <c r="C782" s="956" t="s">
        <v>171</v>
      </c>
      <c r="D782" s="956" t="s">
        <v>128</v>
      </c>
    </row>
    <row r="783" spans="1:4">
      <c r="A783" s="167" t="s">
        <v>947</v>
      </c>
      <c r="B783" s="166" t="s">
        <v>934</v>
      </c>
      <c r="C783" s="956" t="s">
        <v>171</v>
      </c>
      <c r="D783" s="956" t="s">
        <v>133</v>
      </c>
    </row>
    <row r="784" spans="1:4">
      <c r="A784" s="167" t="s">
        <v>1187</v>
      </c>
      <c r="B784" s="166" t="s">
        <v>1186</v>
      </c>
      <c r="C784" s="956" t="s">
        <v>171</v>
      </c>
      <c r="D784" s="956" t="s">
        <v>123</v>
      </c>
    </row>
    <row r="785" spans="1:4">
      <c r="A785" s="167" t="s">
        <v>1181</v>
      </c>
      <c r="B785" s="166" t="s">
        <v>1180</v>
      </c>
      <c r="C785" s="956" t="s">
        <v>171</v>
      </c>
      <c r="D785" s="956" t="s">
        <v>131</v>
      </c>
    </row>
    <row r="786" spans="1:4">
      <c r="A786" s="167" t="s">
        <v>1287</v>
      </c>
      <c r="B786" s="166" t="s">
        <v>1286</v>
      </c>
      <c r="C786" s="956" t="s">
        <v>171</v>
      </c>
      <c r="D786" s="956" t="s">
        <v>124</v>
      </c>
    </row>
    <row r="787" spans="1:4">
      <c r="A787" s="167" t="s">
        <v>1207</v>
      </c>
      <c r="B787" s="166" t="s">
        <v>1206</v>
      </c>
      <c r="C787" s="956" t="s">
        <v>171</v>
      </c>
      <c r="D787" s="956" t="s">
        <v>129</v>
      </c>
    </row>
    <row r="788" spans="1:4">
      <c r="A788" s="167" t="s">
        <v>1155</v>
      </c>
      <c r="B788" s="166" t="s">
        <v>1154</v>
      </c>
      <c r="C788" s="956" t="s">
        <v>171</v>
      </c>
      <c r="D788" s="956" t="s">
        <v>130</v>
      </c>
    </row>
    <row r="789" spans="1:4">
      <c r="A789" s="167" t="s">
        <v>1238</v>
      </c>
      <c r="B789" s="166" t="s">
        <v>1237</v>
      </c>
      <c r="C789" s="956" t="s">
        <v>171</v>
      </c>
      <c r="D789" s="956" t="s">
        <v>132</v>
      </c>
    </row>
    <row r="790" spans="1:4">
      <c r="A790" s="167" t="s">
        <v>1218</v>
      </c>
      <c r="B790" s="166" t="s">
        <v>1217</v>
      </c>
      <c r="C790" s="956" t="s">
        <v>171</v>
      </c>
      <c r="D790" s="956" t="s">
        <v>125</v>
      </c>
    </row>
    <row r="791" spans="1:4">
      <c r="A791" s="167" t="s">
        <v>1309</v>
      </c>
      <c r="B791" s="166" t="s">
        <v>1308</v>
      </c>
      <c r="C791" s="956" t="s">
        <v>171</v>
      </c>
      <c r="D791" s="956" t="s">
        <v>126</v>
      </c>
    </row>
    <row r="792" spans="1:4">
      <c r="A792" s="167" t="s">
        <v>1334</v>
      </c>
      <c r="B792" s="166" t="s">
        <v>1333</v>
      </c>
      <c r="C792" s="956" t="s">
        <v>1646</v>
      </c>
      <c r="D792" s="956" t="s">
        <v>260</v>
      </c>
    </row>
    <row r="793" spans="1:4">
      <c r="A793" s="167" t="s">
        <v>948</v>
      </c>
      <c r="B793" s="166" t="s">
        <v>936</v>
      </c>
      <c r="C793" s="956" t="s">
        <v>1646</v>
      </c>
      <c r="D793" s="956" t="s">
        <v>250</v>
      </c>
    </row>
    <row r="794" spans="1:4">
      <c r="A794" s="167" t="s">
        <v>1245</v>
      </c>
      <c r="B794" s="166" t="s">
        <v>1244</v>
      </c>
      <c r="C794" s="956" t="s">
        <v>171</v>
      </c>
      <c r="D794" s="956" t="s">
        <v>244</v>
      </c>
    </row>
    <row r="795" spans="1:4">
      <c r="A795" s="167" t="s">
        <v>1399</v>
      </c>
      <c r="B795" s="166" t="s">
        <v>1398</v>
      </c>
      <c r="C795" s="956" t="s">
        <v>171</v>
      </c>
      <c r="D795" s="956" t="s">
        <v>235</v>
      </c>
    </row>
    <row r="796" spans="1:4">
      <c r="A796" s="167" t="s">
        <v>1256</v>
      </c>
      <c r="B796" s="166" t="s">
        <v>1255</v>
      </c>
      <c r="C796" s="956" t="s">
        <v>1646</v>
      </c>
      <c r="D796" s="956" t="s">
        <v>242</v>
      </c>
    </row>
    <row r="797" spans="1:4">
      <c r="A797" s="167" t="s">
        <v>1265</v>
      </c>
      <c r="B797" s="166" t="s">
        <v>1264</v>
      </c>
      <c r="C797" s="956" t="s">
        <v>171</v>
      </c>
      <c r="D797" s="956" t="s">
        <v>237</v>
      </c>
    </row>
    <row r="798" spans="1:4">
      <c r="A798" s="167" t="s">
        <v>1893</v>
      </c>
      <c r="B798" s="166" t="s">
        <v>1894</v>
      </c>
      <c r="C798" s="956" t="s">
        <v>171</v>
      </c>
      <c r="D798" s="956" t="s">
        <v>241</v>
      </c>
    </row>
    <row r="799" spans="1:4">
      <c r="A799" s="167" t="s">
        <v>1226</v>
      </c>
      <c r="B799" s="166" t="s">
        <v>1225</v>
      </c>
      <c r="C799" s="956" t="s">
        <v>171</v>
      </c>
      <c r="D799" s="956" t="s">
        <v>239</v>
      </c>
    </row>
    <row r="800" spans="1:4">
      <c r="A800" s="166" t="s">
        <v>1272</v>
      </c>
      <c r="B800" s="166" t="s">
        <v>1271</v>
      </c>
      <c r="C800" s="956" t="s">
        <v>171</v>
      </c>
      <c r="D800" s="956" t="s">
        <v>246</v>
      </c>
    </row>
    <row r="801" spans="1:4">
      <c r="A801" s="167" t="s">
        <v>1903</v>
      </c>
      <c r="B801" s="166" t="s">
        <v>1904</v>
      </c>
      <c r="C801" s="956" t="s">
        <v>171</v>
      </c>
      <c r="D801" s="956" t="s">
        <v>1661</v>
      </c>
    </row>
    <row r="802" spans="1:4">
      <c r="A802" s="167" t="s">
        <v>1216</v>
      </c>
      <c r="B802" s="166" t="s">
        <v>399</v>
      </c>
      <c r="C802" s="956" t="s">
        <v>175</v>
      </c>
      <c r="D802" s="956" t="s">
        <v>122</v>
      </c>
    </row>
    <row r="803" spans="1:4">
      <c r="A803" s="167" t="s">
        <v>1392</v>
      </c>
      <c r="B803" s="166" t="s">
        <v>1391</v>
      </c>
      <c r="C803" s="956" t="s">
        <v>175</v>
      </c>
      <c r="D803" s="956" t="s">
        <v>122</v>
      </c>
    </row>
    <row r="804" spans="1:4">
      <c r="A804" s="167" t="s">
        <v>1375</v>
      </c>
      <c r="B804" s="166" t="s">
        <v>1374</v>
      </c>
      <c r="C804" s="956" t="s">
        <v>175</v>
      </c>
      <c r="D804" s="956" t="s">
        <v>121</v>
      </c>
    </row>
    <row r="805" spans="1:4">
      <c r="A805" s="167" t="s">
        <v>1358</v>
      </c>
      <c r="B805" s="166" t="s">
        <v>1357</v>
      </c>
      <c r="C805" s="956" t="s">
        <v>175</v>
      </c>
      <c r="D805" s="956" t="s">
        <v>213</v>
      </c>
    </row>
    <row r="806" spans="1:4">
      <c r="A806" s="167" t="s">
        <v>1258</v>
      </c>
      <c r="B806" s="166" t="s">
        <v>1183</v>
      </c>
      <c r="C806" s="956" t="s">
        <v>175</v>
      </c>
      <c r="D806" s="956" t="s">
        <v>112</v>
      </c>
    </row>
    <row r="807" spans="1:4">
      <c r="A807" s="167" t="s">
        <v>1343</v>
      </c>
      <c r="B807" s="166" t="s">
        <v>1342</v>
      </c>
      <c r="C807" s="956" t="s">
        <v>175</v>
      </c>
      <c r="D807" s="956" t="s">
        <v>113</v>
      </c>
    </row>
    <row r="808" spans="1:4">
      <c r="A808" s="167" t="s">
        <v>1466</v>
      </c>
      <c r="B808" s="166" t="s">
        <v>1249</v>
      </c>
      <c r="C808" s="956" t="s">
        <v>175</v>
      </c>
      <c r="D808" s="956" t="s">
        <v>114</v>
      </c>
    </row>
    <row r="809" spans="1:4">
      <c r="A809" s="167" t="s">
        <v>1329</v>
      </c>
      <c r="B809" s="166" t="s">
        <v>1328</v>
      </c>
      <c r="C809" s="956" t="s">
        <v>175</v>
      </c>
      <c r="D809" s="956" t="s">
        <v>116</v>
      </c>
    </row>
    <row r="810" spans="1:4">
      <c r="A810" s="167" t="s">
        <v>1351</v>
      </c>
      <c r="B810" s="166" t="s">
        <v>1252</v>
      </c>
      <c r="C810" s="956" t="s">
        <v>175</v>
      </c>
      <c r="D810" s="956" t="s">
        <v>119</v>
      </c>
    </row>
    <row r="811" spans="1:4">
      <c r="A811" s="166" t="s">
        <v>1388</v>
      </c>
      <c r="B811" s="166" t="s">
        <v>1283</v>
      </c>
      <c r="C811" s="956" t="s">
        <v>175</v>
      </c>
      <c r="D811" s="956" t="s">
        <v>117</v>
      </c>
    </row>
    <row r="812" spans="1:4">
      <c r="A812" s="166" t="s">
        <v>1165</v>
      </c>
      <c r="B812" s="166" t="s">
        <v>1164</v>
      </c>
      <c r="C812" s="956" t="s">
        <v>175</v>
      </c>
      <c r="D812" s="956" t="s">
        <v>118</v>
      </c>
    </row>
    <row r="813" spans="1:4">
      <c r="A813" s="167" t="s">
        <v>1402</v>
      </c>
      <c r="B813" s="166" t="s">
        <v>1305</v>
      </c>
      <c r="C813" s="956" t="s">
        <v>175</v>
      </c>
      <c r="D813" s="956" t="s">
        <v>118</v>
      </c>
    </row>
    <row r="814" spans="1:4">
      <c r="A814" s="167" t="s">
        <v>1191</v>
      </c>
      <c r="B814" s="166" t="s">
        <v>1157</v>
      </c>
      <c r="C814" s="956" t="s">
        <v>175</v>
      </c>
      <c r="D814" s="956" t="s">
        <v>127</v>
      </c>
    </row>
    <row r="815" spans="1:4">
      <c r="A815" s="167" t="s">
        <v>949</v>
      </c>
      <c r="B815" s="166" t="s">
        <v>932</v>
      </c>
      <c r="C815" s="956" t="s">
        <v>155</v>
      </c>
      <c r="D815" s="956" t="s">
        <v>128</v>
      </c>
    </row>
    <row r="816" spans="1:4">
      <c r="A816" s="167" t="s">
        <v>950</v>
      </c>
      <c r="B816" s="166" t="s">
        <v>934</v>
      </c>
      <c r="C816" s="956" t="s">
        <v>175</v>
      </c>
      <c r="D816" s="956" t="s">
        <v>133</v>
      </c>
    </row>
    <row r="817" spans="1:4">
      <c r="A817" s="167" t="s">
        <v>1229</v>
      </c>
      <c r="B817" s="166" t="s">
        <v>1186</v>
      </c>
      <c r="C817" s="956" t="s">
        <v>175</v>
      </c>
      <c r="D817" s="956" t="s">
        <v>123</v>
      </c>
    </row>
    <row r="818" spans="1:4">
      <c r="A818" s="167" t="s">
        <v>1240</v>
      </c>
      <c r="B818" s="166" t="s">
        <v>1180</v>
      </c>
      <c r="C818" s="956" t="s">
        <v>175</v>
      </c>
      <c r="D818" s="956" t="s">
        <v>131</v>
      </c>
    </row>
    <row r="819" spans="1:4">
      <c r="A819" s="167" t="s">
        <v>1365</v>
      </c>
      <c r="B819" s="166" t="s">
        <v>1286</v>
      </c>
      <c r="C819" s="956" t="s">
        <v>175</v>
      </c>
      <c r="D819" s="956" t="s">
        <v>124</v>
      </c>
    </row>
    <row r="820" spans="1:4">
      <c r="A820" s="167" t="s">
        <v>1280</v>
      </c>
      <c r="B820" s="166" t="s">
        <v>1206</v>
      </c>
      <c r="C820" s="956" t="s">
        <v>175</v>
      </c>
      <c r="D820" s="956" t="s">
        <v>129</v>
      </c>
    </row>
    <row r="821" spans="1:4">
      <c r="A821" s="167" t="s">
        <v>1192</v>
      </c>
      <c r="B821" s="166" t="s">
        <v>1154</v>
      </c>
      <c r="C821" s="956" t="s">
        <v>175</v>
      </c>
      <c r="D821" s="956" t="s">
        <v>130</v>
      </c>
    </row>
    <row r="822" spans="1:4">
      <c r="A822" s="167" t="s">
        <v>1327</v>
      </c>
      <c r="B822" s="166" t="s">
        <v>1237</v>
      </c>
      <c r="C822" s="956" t="s">
        <v>175</v>
      </c>
      <c r="D822" s="956" t="s">
        <v>132</v>
      </c>
    </row>
    <row r="823" spans="1:4">
      <c r="A823" s="167" t="s">
        <v>1295</v>
      </c>
      <c r="B823" s="166" t="s">
        <v>1294</v>
      </c>
      <c r="C823" s="956" t="s">
        <v>175</v>
      </c>
      <c r="D823" s="956" t="s">
        <v>125</v>
      </c>
    </row>
    <row r="824" spans="1:4">
      <c r="A824" s="167" t="s">
        <v>1437</v>
      </c>
      <c r="B824" s="166" t="s">
        <v>1308</v>
      </c>
      <c r="C824" s="956" t="s">
        <v>175</v>
      </c>
      <c r="D824" s="956" t="s">
        <v>126</v>
      </c>
    </row>
    <row r="825" spans="1:4">
      <c r="A825" s="167" t="s">
        <v>1406</v>
      </c>
      <c r="B825" s="166" t="s">
        <v>1333</v>
      </c>
      <c r="C825" s="956" t="s">
        <v>1646</v>
      </c>
      <c r="D825" s="956" t="s">
        <v>260</v>
      </c>
    </row>
    <row r="826" spans="1:4">
      <c r="A826" s="167" t="s">
        <v>951</v>
      </c>
      <c r="B826" s="166" t="s">
        <v>936</v>
      </c>
      <c r="C826" s="956" t="s">
        <v>1646</v>
      </c>
      <c r="D826" s="956" t="s">
        <v>250</v>
      </c>
    </row>
    <row r="827" spans="1:4">
      <c r="A827" s="167" t="s">
        <v>1317</v>
      </c>
      <c r="B827" s="166" t="s">
        <v>1316</v>
      </c>
      <c r="C827" s="956" t="s">
        <v>175</v>
      </c>
      <c r="D827" s="956" t="s">
        <v>244</v>
      </c>
    </row>
    <row r="828" spans="1:4">
      <c r="A828" s="167" t="s">
        <v>1458</v>
      </c>
      <c r="B828" s="166" t="s">
        <v>1457</v>
      </c>
      <c r="C828" s="956" t="s">
        <v>175</v>
      </c>
      <c r="D828" s="956" t="s">
        <v>235</v>
      </c>
    </row>
    <row r="829" spans="1:4">
      <c r="A829" s="167" t="s">
        <v>1353</v>
      </c>
      <c r="B829" s="166" t="s">
        <v>1352</v>
      </c>
      <c r="C829" s="956" t="s">
        <v>175</v>
      </c>
      <c r="D829" s="956" t="s">
        <v>242</v>
      </c>
    </row>
    <row r="830" spans="1:4">
      <c r="A830" s="167" t="s">
        <v>1345</v>
      </c>
      <c r="B830" s="166" t="s">
        <v>1344</v>
      </c>
      <c r="C830" s="956" t="s">
        <v>175</v>
      </c>
      <c r="D830" s="956" t="s">
        <v>237</v>
      </c>
    </row>
    <row r="831" spans="1:4">
      <c r="A831" s="167" t="s">
        <v>1895</v>
      </c>
      <c r="B831" s="166" t="s">
        <v>1896</v>
      </c>
      <c r="C831" s="956" t="s">
        <v>175</v>
      </c>
      <c r="D831" s="956" t="s">
        <v>241</v>
      </c>
    </row>
    <row r="832" spans="1:4">
      <c r="A832" s="167" t="s">
        <v>1279</v>
      </c>
      <c r="B832" s="166" t="s">
        <v>1278</v>
      </c>
      <c r="C832" s="956" t="s">
        <v>175</v>
      </c>
      <c r="D832" s="956" t="s">
        <v>239</v>
      </c>
    </row>
    <row r="833" spans="1:4">
      <c r="A833" s="167" t="s">
        <v>1372</v>
      </c>
      <c r="B833" s="166" t="s">
        <v>1371</v>
      </c>
      <c r="C833" s="956" t="s">
        <v>175</v>
      </c>
      <c r="D833" s="956" t="s">
        <v>246</v>
      </c>
    </row>
    <row r="834" spans="1:4">
      <c r="A834" s="167" t="s">
        <v>1905</v>
      </c>
      <c r="B834" s="166" t="s">
        <v>1906</v>
      </c>
      <c r="C834" s="956" t="s">
        <v>175</v>
      </c>
      <c r="D834" s="956" t="s">
        <v>1661</v>
      </c>
    </row>
    <row r="835" spans="1:4">
      <c r="A835" s="168" t="s">
        <v>305</v>
      </c>
      <c r="B835" s="169" t="s">
        <v>952</v>
      </c>
      <c r="C835" s="956" t="s">
        <v>1646</v>
      </c>
      <c r="D835" s="956"/>
    </row>
    <row r="836" spans="1:4">
      <c r="A836" s="166" t="s">
        <v>1911</v>
      </c>
      <c r="B836" s="166" t="s">
        <v>1912</v>
      </c>
      <c r="C836" s="956" t="s">
        <v>175</v>
      </c>
      <c r="D836" s="956" t="s">
        <v>183</v>
      </c>
    </row>
    <row r="837" spans="1:4">
      <c r="A837" s="166" t="s">
        <v>1913</v>
      </c>
      <c r="B837" s="166" t="s">
        <v>1914</v>
      </c>
      <c r="C837" s="956" t="s">
        <v>1646</v>
      </c>
      <c r="D837" s="956" t="s">
        <v>1947</v>
      </c>
    </row>
    <row r="838" spans="1:4">
      <c r="A838" s="167" t="s">
        <v>325</v>
      </c>
      <c r="B838" s="166" t="s">
        <v>324</v>
      </c>
      <c r="C838" s="956" t="s">
        <v>75</v>
      </c>
      <c r="D838" s="956" t="s">
        <v>137</v>
      </c>
    </row>
    <row r="839" spans="1:4">
      <c r="A839" s="167" t="s">
        <v>303</v>
      </c>
      <c r="B839" s="166" t="s">
        <v>302</v>
      </c>
      <c r="C839" s="956" t="s">
        <v>75</v>
      </c>
      <c r="D839" s="956" t="s">
        <v>140</v>
      </c>
    </row>
    <row r="840" spans="1:4">
      <c r="A840" s="167" t="s">
        <v>1907</v>
      </c>
      <c r="B840" s="166" t="s">
        <v>1908</v>
      </c>
      <c r="C840" s="956" t="s">
        <v>1646</v>
      </c>
      <c r="D840" s="956"/>
    </row>
    <row r="841" spans="1:4">
      <c r="A841" s="167" t="s">
        <v>507</v>
      </c>
      <c r="B841" s="166" t="s">
        <v>506</v>
      </c>
      <c r="C841" s="956" t="s">
        <v>75</v>
      </c>
      <c r="D841" s="956" t="s">
        <v>97</v>
      </c>
    </row>
    <row r="842" spans="1:4">
      <c r="A842" s="167" t="s">
        <v>360</v>
      </c>
      <c r="B842" s="166" t="s">
        <v>510</v>
      </c>
      <c r="C842" s="956" t="s">
        <v>75</v>
      </c>
      <c r="D842" s="956" t="s">
        <v>97</v>
      </c>
    </row>
    <row r="843" spans="1:4">
      <c r="A843" s="168" t="s">
        <v>1126</v>
      </c>
      <c r="B843" s="169" t="s">
        <v>1125</v>
      </c>
      <c r="C843" s="956" t="s">
        <v>1646</v>
      </c>
      <c r="D843" s="956" t="s">
        <v>89</v>
      </c>
    </row>
    <row r="844" spans="1:4">
      <c r="A844" s="167" t="s">
        <v>421</v>
      </c>
      <c r="B844" s="166" t="s">
        <v>461</v>
      </c>
      <c r="C844" s="956" t="s">
        <v>144</v>
      </c>
      <c r="D844" s="956" t="s">
        <v>97</v>
      </c>
    </row>
    <row r="845" spans="1:4">
      <c r="A845" s="168" t="s">
        <v>1128</v>
      </c>
      <c r="B845" s="169" t="s">
        <v>1127</v>
      </c>
      <c r="C845" s="956" t="s">
        <v>144</v>
      </c>
      <c r="D845" s="956" t="s">
        <v>97</v>
      </c>
    </row>
    <row r="846" spans="1:4">
      <c r="A846" s="167" t="s">
        <v>1909</v>
      </c>
      <c r="B846" s="166" t="s">
        <v>1910</v>
      </c>
      <c r="C846" s="956" t="s">
        <v>144</v>
      </c>
      <c r="D846" s="956"/>
    </row>
    <row r="847" spans="1:4">
      <c r="A847" s="167" t="s">
        <v>515</v>
      </c>
      <c r="B847" s="166" t="s">
        <v>514</v>
      </c>
      <c r="C847" s="956" t="s">
        <v>75</v>
      </c>
      <c r="D847" s="956" t="s">
        <v>97</v>
      </c>
    </row>
    <row r="848" spans="1:4">
      <c r="A848" s="168" t="s">
        <v>1130</v>
      </c>
      <c r="B848" s="169" t="s">
        <v>1129</v>
      </c>
      <c r="C848" s="956" t="s">
        <v>75</v>
      </c>
      <c r="D848" s="956">
        <v>0</v>
      </c>
    </row>
    <row r="849" spans="1:4">
      <c r="A849" s="166" t="s">
        <v>954</v>
      </c>
      <c r="B849" s="166" t="s">
        <v>953</v>
      </c>
      <c r="C849" s="956" t="s">
        <v>144</v>
      </c>
      <c r="D849" s="956"/>
    </row>
    <row r="850" spans="1:4">
      <c r="A850" s="168" t="s">
        <v>1132</v>
      </c>
      <c r="B850" s="169" t="s">
        <v>1131</v>
      </c>
      <c r="C850" s="956" t="s">
        <v>144</v>
      </c>
      <c r="D850" s="956" t="s">
        <v>146</v>
      </c>
    </row>
    <row r="851" spans="1:4">
      <c r="A851" s="167" t="s">
        <v>436</v>
      </c>
      <c r="B851" s="166" t="s">
        <v>435</v>
      </c>
      <c r="C851" s="956" t="s">
        <v>75</v>
      </c>
      <c r="D851" s="956" t="s">
        <v>98</v>
      </c>
    </row>
    <row r="852" spans="1:4">
      <c r="A852" s="168" t="s">
        <v>1134</v>
      </c>
      <c r="B852" s="169" t="s">
        <v>1133</v>
      </c>
      <c r="C852" s="956" t="s">
        <v>75</v>
      </c>
      <c r="D852" s="956">
        <v>0</v>
      </c>
    </row>
    <row r="853" spans="1:4">
      <c r="A853" s="167" t="s">
        <v>359</v>
      </c>
      <c r="B853" s="166" t="s">
        <v>358</v>
      </c>
      <c r="C853" s="956" t="s">
        <v>75</v>
      </c>
      <c r="D853" s="956" t="s">
        <v>98</v>
      </c>
    </row>
    <row r="854" spans="1:4">
      <c r="A854" s="168" t="s">
        <v>1136</v>
      </c>
      <c r="B854" s="169" t="s">
        <v>1135</v>
      </c>
      <c r="C854" s="956" t="s">
        <v>75</v>
      </c>
      <c r="D854" s="956">
        <v>0</v>
      </c>
    </row>
    <row r="855" spans="1:4">
      <c r="A855" s="167" t="s">
        <v>420</v>
      </c>
      <c r="B855" s="166" t="s">
        <v>419</v>
      </c>
      <c r="C855" s="956" t="s">
        <v>144</v>
      </c>
      <c r="D855" s="956" t="s">
        <v>98</v>
      </c>
    </row>
    <row r="856" spans="1:4">
      <c r="A856" s="168" t="s">
        <v>1138</v>
      </c>
      <c r="B856" s="169" t="s">
        <v>1137</v>
      </c>
      <c r="C856" s="956" t="s">
        <v>144</v>
      </c>
      <c r="D856" s="956" t="s">
        <v>98</v>
      </c>
    </row>
    <row r="857" spans="1:4">
      <c r="A857" s="167" t="s">
        <v>432</v>
      </c>
      <c r="B857" s="166" t="s">
        <v>431</v>
      </c>
      <c r="C857" s="956" t="s">
        <v>144</v>
      </c>
      <c r="D857" s="956" t="s">
        <v>98</v>
      </c>
    </row>
    <row r="858" spans="1:4">
      <c r="A858" s="168" t="s">
        <v>1140</v>
      </c>
      <c r="B858" s="169" t="s">
        <v>1139</v>
      </c>
      <c r="C858" s="956" t="s">
        <v>144</v>
      </c>
      <c r="D858" s="956" t="s">
        <v>98</v>
      </c>
    </row>
    <row r="859" spans="1:4">
      <c r="A859" s="166" t="s">
        <v>381</v>
      </c>
      <c r="B859" s="166" t="s">
        <v>380</v>
      </c>
      <c r="C859" s="956" t="s">
        <v>1646</v>
      </c>
      <c r="D859" s="956" t="s">
        <v>141</v>
      </c>
    </row>
    <row r="860" spans="1:4">
      <c r="A860" s="166" t="s">
        <v>382</v>
      </c>
      <c r="B860" s="166" t="s">
        <v>528</v>
      </c>
      <c r="C860" s="956" t="s">
        <v>1646</v>
      </c>
      <c r="D860" s="956" t="s">
        <v>1947</v>
      </c>
    </row>
    <row r="861" spans="1:4">
      <c r="A861" s="166" t="s">
        <v>1387</v>
      </c>
      <c r="B861" s="166" t="s">
        <v>1431</v>
      </c>
      <c r="C861" s="956" t="s">
        <v>1646</v>
      </c>
      <c r="D861" s="956" t="s">
        <v>262</v>
      </c>
    </row>
    <row r="862" spans="1:4">
      <c r="A862" s="166" t="s">
        <v>1234</v>
      </c>
      <c r="B862" s="166" t="s">
        <v>1233</v>
      </c>
      <c r="C862" s="956" t="s">
        <v>1646</v>
      </c>
      <c r="D862" s="956" t="s">
        <v>261</v>
      </c>
    </row>
    <row r="863" spans="1:4">
      <c r="A863" s="166" t="s">
        <v>1390</v>
      </c>
      <c r="B863" s="166" t="s">
        <v>1389</v>
      </c>
      <c r="C863" s="956" t="s">
        <v>1646</v>
      </c>
      <c r="D863" s="956" t="s">
        <v>262</v>
      </c>
    </row>
    <row r="864" spans="1:4">
      <c r="A864" s="166" t="s">
        <v>1386</v>
      </c>
      <c r="B864" s="166" t="s">
        <v>1385</v>
      </c>
      <c r="C864" s="956" t="s">
        <v>1646</v>
      </c>
      <c r="D864" s="956" t="s">
        <v>134</v>
      </c>
    </row>
    <row r="865" spans="1:4">
      <c r="A865" s="167"/>
      <c r="B865" s="171"/>
      <c r="C865" s="956"/>
      <c r="D865" s="956"/>
    </row>
    <row r="866" spans="1:4">
      <c r="A866" s="167"/>
      <c r="B866" s="171"/>
      <c r="C866" s="956"/>
      <c r="D866" s="956"/>
    </row>
    <row r="867" spans="1:4">
      <c r="A867" s="167"/>
      <c r="B867" s="171"/>
      <c r="C867" s="956"/>
      <c r="D867" s="956"/>
    </row>
    <row r="868" spans="1:4">
      <c r="A868" s="167"/>
      <c r="B868" s="171"/>
      <c r="C868" s="956"/>
      <c r="D868" s="956"/>
    </row>
    <row r="869" spans="1:4">
      <c r="A869" s="167"/>
      <c r="B869" s="171"/>
      <c r="C869" s="956"/>
      <c r="D869" s="956"/>
    </row>
    <row r="870" spans="1:4">
      <c r="A870" s="167"/>
      <c r="B870" s="171"/>
      <c r="C870" s="956"/>
      <c r="D870" s="956"/>
    </row>
    <row r="871" spans="1:4">
      <c r="A871" s="167"/>
      <c r="B871" s="171"/>
      <c r="C871" s="956"/>
      <c r="D871" s="956"/>
    </row>
    <row r="872" spans="1:4">
      <c r="A872" s="963"/>
      <c r="B872" s="958"/>
      <c r="C872" s="956"/>
      <c r="D872" s="956"/>
    </row>
    <row r="873" spans="1:4">
      <c r="A873" s="167"/>
      <c r="B873" s="171"/>
      <c r="C873" s="956"/>
      <c r="D873" s="956"/>
    </row>
    <row r="874" spans="1:4">
      <c r="A874" s="167"/>
      <c r="B874" s="171"/>
      <c r="C874" s="956"/>
      <c r="D874" s="956"/>
    </row>
    <row r="875" spans="1:4">
      <c r="A875" s="167"/>
      <c r="B875" s="171"/>
      <c r="C875" s="956"/>
      <c r="D875" s="956"/>
    </row>
    <row r="876" spans="1:4">
      <c r="A876" s="167"/>
      <c r="B876" s="171"/>
      <c r="C876" s="956"/>
      <c r="D876" s="956"/>
    </row>
    <row r="877" spans="1:4">
      <c r="A877" s="167"/>
      <c r="B877" s="171"/>
      <c r="C877" s="956"/>
      <c r="D877" s="956"/>
    </row>
    <row r="878" spans="1:4">
      <c r="A878" s="167"/>
      <c r="B878" s="171"/>
      <c r="C878" s="956"/>
      <c r="D878" s="956"/>
    </row>
    <row r="879" spans="1:4">
      <c r="A879" s="167"/>
      <c r="B879" s="171"/>
      <c r="C879" s="956"/>
      <c r="D879" s="956"/>
    </row>
    <row r="880" spans="1:4">
      <c r="A880" s="167"/>
      <c r="B880" s="171"/>
      <c r="C880" s="956"/>
      <c r="D880" s="956"/>
    </row>
    <row r="881" spans="1:4">
      <c r="A881" s="167"/>
      <c r="B881" s="171"/>
      <c r="C881" s="956"/>
      <c r="D881" s="956"/>
    </row>
    <row r="882" spans="1:4">
      <c r="A882" s="167"/>
      <c r="B882" s="171"/>
      <c r="C882" s="956"/>
      <c r="D882" s="956"/>
    </row>
    <row r="883" spans="1:4">
      <c r="A883" s="167"/>
      <c r="B883" s="171"/>
      <c r="C883" s="956"/>
      <c r="D883" s="956"/>
    </row>
    <row r="884" spans="1:4">
      <c r="A884" s="964"/>
      <c r="B884" s="171"/>
      <c r="C884" s="956"/>
      <c r="D884" s="956"/>
    </row>
    <row r="885" spans="1:4">
      <c r="A885" s="964"/>
      <c r="B885" s="171"/>
      <c r="C885" s="956"/>
      <c r="D885" s="956"/>
    </row>
    <row r="886" spans="1:4">
      <c r="A886" s="167"/>
      <c r="B886" s="171"/>
      <c r="C886" s="956"/>
      <c r="D886" s="956"/>
    </row>
    <row r="887" spans="1:4">
      <c r="A887" s="167"/>
      <c r="B887" s="171"/>
      <c r="C887" s="956"/>
      <c r="D887" s="956"/>
    </row>
    <row r="888" spans="1:4">
      <c r="A888" s="167"/>
      <c r="B888" s="171"/>
      <c r="C888" s="956"/>
      <c r="D888" s="956"/>
    </row>
    <row r="889" spans="1:4">
      <c r="A889" s="965"/>
      <c r="B889" s="961"/>
      <c r="C889" s="956"/>
      <c r="D889" s="956"/>
    </row>
    <row r="890" spans="1:4">
      <c r="A890" s="167"/>
      <c r="B890" s="171"/>
      <c r="C890" s="956"/>
      <c r="D890" s="956"/>
    </row>
    <row r="891" spans="1:4">
      <c r="A891" s="167"/>
      <c r="B891" s="171"/>
      <c r="C891" s="956"/>
      <c r="D891" s="956"/>
    </row>
    <row r="892" spans="1:4">
      <c r="A892" s="167"/>
      <c r="B892" s="171"/>
      <c r="C892" s="956"/>
      <c r="D892" s="956"/>
    </row>
    <row r="893" spans="1:4">
      <c r="A893" s="167"/>
      <c r="B893" s="171"/>
      <c r="C893" s="956"/>
      <c r="D893" s="956"/>
    </row>
    <row r="894" spans="1:4">
      <c r="A894" s="167"/>
      <c r="B894" s="171"/>
      <c r="C894" s="956"/>
      <c r="D894" s="956"/>
    </row>
    <row r="895" spans="1:4">
      <c r="A895" s="167"/>
      <c r="B895" s="171"/>
      <c r="C895" s="956"/>
      <c r="D895" s="956"/>
    </row>
    <row r="896" spans="1:4">
      <c r="A896" s="167"/>
      <c r="B896" s="171"/>
      <c r="C896" s="956"/>
      <c r="D896" s="956"/>
    </row>
    <row r="897" spans="1:4">
      <c r="A897" s="167"/>
      <c r="B897" s="171"/>
      <c r="C897" s="956"/>
      <c r="D897" s="956"/>
    </row>
    <row r="898" spans="1:4">
      <c r="A898" s="167"/>
      <c r="B898" s="171"/>
      <c r="C898" s="956"/>
      <c r="D898" s="956"/>
    </row>
    <row r="899" spans="1:4">
      <c r="A899" s="167"/>
      <c r="B899" s="956"/>
      <c r="C899" s="956"/>
      <c r="D899" s="956"/>
    </row>
    <row r="900" spans="1:4">
      <c r="A900" s="167"/>
      <c r="B900" s="171"/>
      <c r="C900" s="956"/>
      <c r="D900" s="956"/>
    </row>
    <row r="901" spans="1:4">
      <c r="A901" s="167"/>
      <c r="B901" s="171"/>
      <c r="C901" s="956"/>
      <c r="D901" s="956"/>
    </row>
    <row r="902" spans="1:4">
      <c r="A902" s="167"/>
      <c r="B902" s="171"/>
      <c r="C902" s="956"/>
      <c r="D902" s="956"/>
    </row>
    <row r="903" spans="1:4">
      <c r="A903" s="167"/>
      <c r="B903" s="171"/>
      <c r="C903" s="956"/>
      <c r="D903" s="956"/>
    </row>
    <row r="904" spans="1:4">
      <c r="A904" s="167"/>
      <c r="B904" s="171"/>
      <c r="C904" s="956"/>
      <c r="D904" s="956"/>
    </row>
    <row r="905" spans="1:4">
      <c r="A905" s="167"/>
      <c r="B905" s="171"/>
      <c r="C905" s="956"/>
      <c r="D905" s="956"/>
    </row>
    <row r="906" spans="1:4">
      <c r="A906" s="167"/>
      <c r="B906" s="171"/>
      <c r="C906" s="956"/>
      <c r="D906" s="956"/>
    </row>
    <row r="907" spans="1:4">
      <c r="A907" s="167"/>
      <c r="B907" s="171"/>
      <c r="C907" s="956"/>
      <c r="D907" s="956"/>
    </row>
    <row r="908" spans="1:4">
      <c r="A908" s="167"/>
      <c r="B908" s="171"/>
      <c r="C908" s="956"/>
      <c r="D908" s="956"/>
    </row>
    <row r="909" spans="1:4">
      <c r="A909" s="167"/>
      <c r="B909" s="171"/>
      <c r="C909" s="956"/>
      <c r="D909" s="956"/>
    </row>
    <row r="910" spans="1:4">
      <c r="A910" s="167"/>
      <c r="B910" s="171"/>
      <c r="C910" s="956"/>
      <c r="D910" s="956"/>
    </row>
    <row r="911" spans="1:4">
      <c r="A911" s="167"/>
      <c r="B911" s="171"/>
      <c r="C911" s="956"/>
      <c r="D911" s="956"/>
    </row>
    <row r="912" spans="1:4">
      <c r="A912" s="167"/>
      <c r="B912" s="171"/>
      <c r="C912" s="956"/>
      <c r="D912" s="956"/>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2021-04-13T16:58:33Z</cp:lastPrinted>
  <dcterms:created xsi:type="dcterms:W3CDTF">2020-10-20T13:57:48Z</dcterms:created>
  <dcterms:modified xsi:type="dcterms:W3CDTF">2021-04-15T16:13:30Z</dcterms:modified>
</cp:coreProperties>
</file>